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3830" yWindow="15" windowWidth="14955" windowHeight="1176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J25" i="7"/>
  <c r="L24"/>
  <c r="J7"/>
  <c r="H154"/>
  <c r="H59"/>
  <c r="I26"/>
  <c r="J26"/>
  <c r="R141" i="18"/>
  <c r="A1"/>
  <c r="H49" i="3"/>
  <c r="S29"/>
  <c r="S11"/>
  <c r="S3"/>
  <c r="M32"/>
  <c r="M36"/>
  <c r="M35"/>
  <c r="M34"/>
  <c r="M33"/>
  <c r="L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B38"/>
  <c r="B39"/>
  <c r="B40"/>
  <c r="B41"/>
  <c r="B42"/>
  <c r="B43"/>
  <c r="B44"/>
  <c r="B45"/>
  <c r="B46"/>
  <c r="B37"/>
  <c r="B28"/>
  <c r="B29"/>
  <c r="B30"/>
  <c r="B31"/>
  <c r="B32"/>
  <c r="B33"/>
  <c r="B34"/>
  <c r="B35"/>
  <c r="B36"/>
  <c r="B27"/>
  <c r="B18"/>
  <c r="B19"/>
  <c r="B20"/>
  <c r="B21"/>
  <c r="B22"/>
  <c r="B23"/>
  <c r="B24"/>
  <c r="B25"/>
  <c r="B26"/>
  <c r="B17"/>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A1"/>
  <c r="A58"/>
  <c r="G58"/>
  <c r="D10" i="25"/>
  <c r="D18"/>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c r="A50"/>
  <c r="J108" i="15"/>
  <c r="J115"/>
  <c r="J117"/>
  <c r="J106"/>
  <c r="J79"/>
  <c r="J73"/>
  <c r="J72"/>
  <c r="J71"/>
  <c r="J66"/>
  <c r="J65"/>
  <c r="J63"/>
  <c r="J62"/>
  <c r="J61"/>
  <c r="J60"/>
  <c r="J59"/>
  <c r="J53"/>
  <c r="J52"/>
  <c r="J49"/>
  <c r="J48"/>
  <c r="J42"/>
  <c r="J35"/>
  <c r="J34"/>
  <c r="J29"/>
  <c r="J25"/>
  <c r="J12"/>
  <c r="J10"/>
  <c r="J9"/>
  <c r="J8"/>
  <c r="M156"/>
  <c r="V37"/>
  <c r="V129"/>
  <c r="V139"/>
  <c r="V118"/>
  <c r="V110"/>
  <c r="V88"/>
  <c r="V105"/>
  <c r="V99"/>
  <c r="V76"/>
  <c r="V70"/>
  <c r="V58"/>
  <c r="V47"/>
  <c r="V41"/>
  <c r="V33"/>
  <c r="V28"/>
  <c r="V24"/>
  <c r="V18"/>
  <c r="V7"/>
  <c r="V151"/>
  <c r="V128"/>
  <c r="V86"/>
  <c r="V45"/>
  <c r="V5"/>
  <c r="J158"/>
  <c r="J27"/>
  <c r="J84"/>
  <c r="J121"/>
  <c r="J137"/>
  <c r="J141"/>
  <c r="O41"/>
  <c r="M17"/>
  <c r="M23"/>
  <c r="M27"/>
  <c r="M32"/>
  <c r="M36"/>
  <c r="M57"/>
  <c r="M69"/>
  <c r="M75"/>
  <c r="M84"/>
  <c r="M109"/>
  <c r="M117"/>
  <c r="M121"/>
  <c r="M123"/>
  <c r="M140" s="1"/>
  <c r="M142" s="1"/>
  <c r="M144" s="1"/>
  <c r="G109"/>
  <c r="D37" i="3" s="1"/>
  <c r="F106" i="15"/>
  <c r="P117"/>
  <c r="P17"/>
  <c r="P27"/>
  <c r="P32"/>
  <c r="P36"/>
  <c r="P57"/>
  <c r="P69"/>
  <c r="P75"/>
  <c r="P84"/>
  <c r="P109"/>
  <c r="P121"/>
  <c r="P137"/>
  <c r="P141"/>
  <c r="G117"/>
  <c r="G17"/>
  <c r="G23"/>
  <c r="G27"/>
  <c r="B39" s="1"/>
  <c r="G32"/>
  <c r="G36"/>
  <c r="G57"/>
  <c r="G69"/>
  <c r="G75"/>
  <c r="G84"/>
  <c r="G98"/>
  <c r="G104"/>
  <c r="G121"/>
  <c r="E34"/>
  <c r="F34" s="1"/>
  <c r="E35"/>
  <c r="F35" s="1"/>
  <c r="S36"/>
  <c r="S17"/>
  <c r="S23"/>
  <c r="S27"/>
  <c r="S32"/>
  <c r="S57"/>
  <c r="S69"/>
  <c r="S75"/>
  <c r="S84"/>
  <c r="S98"/>
  <c r="S104"/>
  <c r="S109"/>
  <c r="S117"/>
  <c r="S121"/>
  <c r="S123"/>
  <c r="A120"/>
  <c r="A116"/>
  <c r="A103"/>
  <c r="A97"/>
  <c r="A96"/>
  <c r="A83"/>
  <c r="A68"/>
  <c r="A56"/>
  <c r="A15"/>
  <c r="A16"/>
  <c r="A14"/>
  <c r="U14"/>
  <c r="U120"/>
  <c r="U116"/>
  <c r="U103"/>
  <c r="U97"/>
  <c r="U96"/>
  <c r="U83"/>
  <c r="U68"/>
  <c r="U56"/>
  <c r="U15"/>
  <c r="U16"/>
  <c r="O7"/>
  <c r="O18"/>
  <c r="O24"/>
  <c r="O28"/>
  <c r="O33"/>
  <c r="O47"/>
  <c r="O58"/>
  <c r="O70"/>
  <c r="O76"/>
  <c r="O88"/>
  <c r="O99"/>
  <c r="O105"/>
  <c r="O110"/>
  <c r="O118"/>
  <c r="J156"/>
  <c r="P123"/>
  <c r="P140" s="1"/>
  <c r="P142" s="1"/>
  <c r="P144" s="1"/>
  <c r="A1"/>
  <c r="V1" s="1"/>
  <c r="C109"/>
  <c r="F108"/>
  <c r="F107"/>
  <c r="J154"/>
  <c r="J155" s="1"/>
  <c r="J157" s="1"/>
  <c r="J159" s="1"/>
  <c r="J109"/>
  <c r="J17"/>
  <c r="J69"/>
  <c r="J32"/>
  <c r="J57"/>
  <c r="J75"/>
  <c r="G123"/>
  <c r="J36"/>
  <c r="J123"/>
  <c r="J140" s="1"/>
  <c r="J142" s="1"/>
  <c r="J144" s="1"/>
  <c r="P265" i="11"/>
  <c r="P267"/>
  <c r="P269"/>
  <c r="P274"/>
  <c r="P278"/>
  <c r="O278"/>
  <c r="O274"/>
  <c r="O269"/>
  <c r="O267"/>
  <c r="O265"/>
  <c r="I211"/>
  <c r="L169"/>
  <c r="O74"/>
  <c r="M221"/>
  <c r="P218" s="1"/>
  <c r="N182"/>
  <c r="N177"/>
  <c r="N146"/>
  <c r="N67"/>
  <c r="P49"/>
  <c r="O49"/>
  <c r="M291"/>
  <c r="M6" s="1"/>
  <c r="L277"/>
  <c r="A265"/>
  <c r="P246"/>
  <c r="O246"/>
  <c r="L233"/>
  <c r="K221"/>
  <c r="L211"/>
  <c r="O139"/>
  <c r="M82"/>
  <c r="M81"/>
  <c r="A80"/>
  <c r="M79"/>
  <c r="M78"/>
  <c r="A77"/>
  <c r="L52"/>
  <c r="P38"/>
  <c r="O38"/>
  <c r="A104"/>
  <c r="O90"/>
  <c r="O8"/>
  <c r="O161"/>
  <c r="O254"/>
  <c r="L146"/>
  <c r="L133"/>
  <c r="N58"/>
  <c r="P8"/>
  <c r="P132"/>
  <c r="P161"/>
  <c r="P254"/>
  <c r="R246"/>
  <c r="R243"/>
  <c r="L243"/>
  <c r="M117"/>
  <c r="M118"/>
  <c r="M119"/>
  <c r="M120"/>
  <c r="M121"/>
  <c r="M115"/>
  <c r="A122"/>
  <c r="M106"/>
  <c r="M107"/>
  <c r="M108"/>
  <c r="M105"/>
  <c r="M100"/>
  <c r="M101"/>
  <c r="M99"/>
  <c r="M95"/>
  <c r="M96"/>
  <c r="M94"/>
  <c r="A98"/>
  <c r="A93"/>
  <c r="L50"/>
  <c r="L51"/>
  <c r="L182"/>
  <c r="R163"/>
  <c r="R162"/>
  <c r="L228"/>
  <c r="G133"/>
  <c r="A114"/>
  <c r="A112"/>
  <c r="L195"/>
  <c r="L193"/>
  <c r="P16"/>
  <c r="G12" s="1"/>
  <c r="K16"/>
  <c r="G11" s="1"/>
  <c r="F16"/>
  <c r="G10" s="1"/>
  <c r="L254"/>
  <c r="A1"/>
  <c r="O242"/>
  <c r="O132"/>
  <c r="P242"/>
  <c r="I213"/>
  <c r="I214" s="1"/>
  <c r="I17" i="29"/>
  <c r="M31"/>
  <c r="L31"/>
  <c r="K31"/>
  <c r="J31"/>
  <c r="I31"/>
  <c r="M17"/>
  <c r="L17"/>
  <c r="K17"/>
  <c r="J17"/>
  <c r="I3"/>
  <c r="A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T93"/>
  <c r="T83"/>
  <c r="T71"/>
  <c r="T67"/>
  <c r="T63"/>
  <c r="T128"/>
  <c r="T118"/>
  <c r="T108"/>
  <c r="T138"/>
  <c r="T133"/>
  <c r="T113"/>
  <c r="T123"/>
  <c r="T106"/>
  <c r="T104"/>
  <c r="T53"/>
  <c r="T3"/>
  <c r="P12"/>
  <c r="Q16"/>
  <c r="Q17"/>
  <c r="Q18"/>
  <c r="Q19"/>
  <c r="Q20"/>
  <c r="Q21"/>
  <c r="Q22"/>
  <c r="Q23"/>
  <c r="Q24"/>
  <c r="Q25"/>
  <c r="Q26"/>
  <c r="Q27"/>
  <c r="Q28"/>
  <c r="Q29"/>
  <c r="Q30"/>
  <c r="Q31"/>
  <c r="Q32"/>
  <c r="Q33"/>
  <c r="Q34"/>
  <c r="Q35"/>
  <c r="Q36"/>
  <c r="Q37"/>
  <c r="Q38"/>
  <c r="Q39"/>
  <c r="Q40"/>
  <c r="Q41"/>
  <c r="Q42"/>
  <c r="Q43"/>
  <c r="Q44"/>
  <c r="Q45"/>
  <c r="Q46"/>
  <c r="Q47"/>
  <c r="P10"/>
  <c r="V10"/>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s="1"/>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s="1"/>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s="1"/>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R10"/>
  <c r="AR46"/>
  <c r="AR47"/>
  <c r="AR48"/>
  <c r="AS45"/>
  <c r="AT45"/>
  <c r="AU45"/>
  <c r="AV45"/>
  <c r="AW45"/>
  <c r="AX45"/>
  <c r="AY45"/>
  <c r="AZ45"/>
  <c r="BA45"/>
  <c r="BB45"/>
  <c r="BC45"/>
  <c r="BD45"/>
  <c r="BD10"/>
  <c r="BD46"/>
  <c r="BD47"/>
  <c r="BD48"/>
  <c r="AP46"/>
  <c r="AQ46"/>
  <c r="AS46"/>
  <c r="AS10"/>
  <c r="AS48" s="1"/>
  <c r="AS47"/>
  <c r="AT46"/>
  <c r="AU46"/>
  <c r="AV46"/>
  <c r="AW46"/>
  <c r="AW10"/>
  <c r="AW48" s="1"/>
  <c r="J65" s="1"/>
  <c r="AW47"/>
  <c r="AX46"/>
  <c r="AY46"/>
  <c r="AZ46"/>
  <c r="BA46"/>
  <c r="BB46"/>
  <c r="BC46"/>
  <c r="AP47"/>
  <c r="AQ47"/>
  <c r="AT47"/>
  <c r="AT10"/>
  <c r="AT48" s="1"/>
  <c r="AU47"/>
  <c r="AV47"/>
  <c r="AX47"/>
  <c r="AY47"/>
  <c r="AZ47"/>
  <c r="BA47"/>
  <c r="BB47"/>
  <c r="BB10"/>
  <c r="BB48" s="1"/>
  <c r="J64" s="1"/>
  <c r="BC47"/>
  <c r="BC10"/>
  <c r="BA10"/>
  <c r="AZ10"/>
  <c r="AY10"/>
  <c r="AY48" s="1"/>
  <c r="L65" s="1"/>
  <c r="L66" s="1"/>
  <c r="AX10"/>
  <c r="AV10"/>
  <c r="AU10"/>
  <c r="AQ10"/>
  <c r="AQ48" s="1"/>
  <c r="AP10"/>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P15"/>
  <c r="P16"/>
  <c r="P17"/>
  <c r="P18"/>
  <c r="P19"/>
  <c r="P20"/>
  <c r="P21"/>
  <c r="P22"/>
  <c r="P23"/>
  <c r="P24"/>
  <c r="P25"/>
  <c r="P26"/>
  <c r="P27"/>
  <c r="P28"/>
  <c r="P29"/>
  <c r="P30"/>
  <c r="P31"/>
  <c r="P32"/>
  <c r="P33"/>
  <c r="P34"/>
  <c r="P35"/>
  <c r="P36"/>
  <c r="P37"/>
  <c r="P38"/>
  <c r="P39"/>
  <c r="P40"/>
  <c r="P41"/>
  <c r="P42"/>
  <c r="P43"/>
  <c r="P44"/>
  <c r="P45"/>
  <c r="P46"/>
  <c r="P47"/>
  <c r="P11"/>
  <c r="P13"/>
  <c r="P14"/>
  <c r="K162"/>
  <c r="F145"/>
  <c r="F165"/>
  <c r="K152"/>
  <c r="F154"/>
  <c r="P144"/>
  <c r="K143"/>
  <c r="V48"/>
  <c r="H56" s="1"/>
  <c r="AA48"/>
  <c r="H57" s="1"/>
  <c r="AK48"/>
  <c r="H59" s="1"/>
  <c r="BT48"/>
  <c r="H61" s="1"/>
  <c r="AB48"/>
  <c r="I57" s="1"/>
  <c r="AL48"/>
  <c r="I59" s="1"/>
  <c r="X48"/>
  <c r="J56" s="1"/>
  <c r="AC48"/>
  <c r="J57" s="1"/>
  <c r="Y48"/>
  <c r="K56"/>
  <c r="AN48"/>
  <c r="K59" s="1"/>
  <c r="Z48"/>
  <c r="L56"/>
  <c r="AE48"/>
  <c r="L57" s="1"/>
  <c r="AO48"/>
  <c r="L59"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I77" s="1"/>
  <c r="DS48"/>
  <c r="I75" s="1"/>
  <c r="DX48"/>
  <c r="I76"/>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8" s="1"/>
  <c r="K75" s="1"/>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8" s="1"/>
  <c r="I73" s="1"/>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s="1"/>
  <c r="J73" s="1"/>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8" s="1"/>
  <c r="L73" s="1"/>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O11"/>
  <c r="GO12"/>
  <c r="GO10"/>
  <c r="GO13"/>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0"/>
  <c r="HJ13"/>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8" s="1"/>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8" s="1"/>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A7" s="1"/>
  <c r="E48"/>
  <c r="CS11"/>
  <c r="CT11"/>
  <c r="CU11"/>
  <c r="CV11"/>
  <c r="CW11"/>
  <c r="CS12"/>
  <c r="CT12"/>
  <c r="CU12"/>
  <c r="CV12"/>
  <c r="CW12"/>
  <c r="CS13"/>
  <c r="CS10"/>
  <c r="CS14"/>
  <c r="CS15"/>
  <c r="CS16"/>
  <c r="CS17"/>
  <c r="CS18"/>
  <c r="CS19"/>
  <c r="CS20"/>
  <c r="CS21"/>
  <c r="CS22"/>
  <c r="CS23"/>
  <c r="CS24"/>
  <c r="CS25"/>
  <c r="CS26"/>
  <c r="CS27"/>
  <c r="CS28"/>
  <c r="CS29"/>
  <c r="CS30"/>
  <c r="CS31"/>
  <c r="CS32"/>
  <c r="CS33"/>
  <c r="CS34"/>
  <c r="CS35"/>
  <c r="CS36"/>
  <c r="CS37"/>
  <c r="CS38"/>
  <c r="CS39"/>
  <c r="CS40"/>
  <c r="CS41"/>
  <c r="CS42"/>
  <c r="CS43"/>
  <c r="CS44"/>
  <c r="CS45"/>
  <c r="CS46"/>
  <c r="CS48" s="1"/>
  <c r="CS47"/>
  <c r="CT13"/>
  <c r="CU13"/>
  <c r="CV13"/>
  <c r="CW13"/>
  <c r="CT14"/>
  <c r="CU14"/>
  <c r="CV14"/>
  <c r="CW14"/>
  <c r="CT15"/>
  <c r="CU15"/>
  <c r="CV15"/>
  <c r="CW15"/>
  <c r="CT16"/>
  <c r="CU16"/>
  <c r="CV16"/>
  <c r="CW16"/>
  <c r="CT17"/>
  <c r="CU17"/>
  <c r="CV17"/>
  <c r="CW17"/>
  <c r="CT18"/>
  <c r="CU18"/>
  <c r="CV18"/>
  <c r="CW18"/>
  <c r="CT19"/>
  <c r="CU19"/>
  <c r="CV19"/>
  <c r="CW19"/>
  <c r="CT20"/>
  <c r="CU20"/>
  <c r="CV20"/>
  <c r="CW20"/>
  <c r="CT21"/>
  <c r="CU21"/>
  <c r="CV21"/>
  <c r="CW21"/>
  <c r="CT22"/>
  <c r="CU22"/>
  <c r="CV22"/>
  <c r="CW22"/>
  <c r="CT23"/>
  <c r="CU23"/>
  <c r="CV23"/>
  <c r="CW23"/>
  <c r="CT24"/>
  <c r="CU24"/>
  <c r="CV24"/>
  <c r="CW24"/>
  <c r="CT25"/>
  <c r="CU25"/>
  <c r="CV25"/>
  <c r="CW25"/>
  <c r="CT26"/>
  <c r="CU26"/>
  <c r="CV26"/>
  <c r="CW26"/>
  <c r="CT27"/>
  <c r="CU27"/>
  <c r="CV27"/>
  <c r="CW27"/>
  <c r="CT28"/>
  <c r="CU28"/>
  <c r="CV28"/>
  <c r="CW28"/>
  <c r="CT29"/>
  <c r="CU29"/>
  <c r="CV29"/>
  <c r="CW29"/>
  <c r="CT30"/>
  <c r="CU30"/>
  <c r="CV30"/>
  <c r="CW30"/>
  <c r="CT31"/>
  <c r="CU31"/>
  <c r="CV31"/>
  <c r="CW31"/>
  <c r="CT32"/>
  <c r="CU32"/>
  <c r="CV32"/>
  <c r="CW32"/>
  <c r="CT33"/>
  <c r="CU33"/>
  <c r="CV33"/>
  <c r="CW33"/>
  <c r="CT34"/>
  <c r="CU34"/>
  <c r="CV34"/>
  <c r="CW34"/>
  <c r="CT35"/>
  <c r="CU35"/>
  <c r="CV35"/>
  <c r="CW35"/>
  <c r="CT36"/>
  <c r="CU36"/>
  <c r="CV36"/>
  <c r="CW36"/>
  <c r="CT37"/>
  <c r="CU37"/>
  <c r="CV37"/>
  <c r="CW37"/>
  <c r="CT38"/>
  <c r="CU38"/>
  <c r="CV38"/>
  <c r="CW38"/>
  <c r="CT39"/>
  <c r="CU39"/>
  <c r="CV39"/>
  <c r="CW39"/>
  <c r="CT40"/>
  <c r="CU40"/>
  <c r="CV40"/>
  <c r="CW40"/>
  <c r="CT41"/>
  <c r="CU41"/>
  <c r="CV41"/>
  <c r="CW41"/>
  <c r="CT42"/>
  <c r="CU42"/>
  <c r="CV42"/>
  <c r="CW42"/>
  <c r="CT43"/>
  <c r="CU43"/>
  <c r="CV43"/>
  <c r="CW43"/>
  <c r="CT44"/>
  <c r="CU44"/>
  <c r="CV44"/>
  <c r="CW44"/>
  <c r="CT45"/>
  <c r="CU45"/>
  <c r="CV45"/>
  <c r="CW45"/>
  <c r="CT46"/>
  <c r="CU46"/>
  <c r="CV46"/>
  <c r="CW46"/>
  <c r="CT47"/>
  <c r="CU47"/>
  <c r="CV47"/>
  <c r="CW47"/>
  <c r="CW10"/>
  <c r="CV10"/>
  <c r="CV48" s="1"/>
  <c r="CU10"/>
  <c r="CT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8" s="1"/>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8" s="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8" s="1"/>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K12"/>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H131"/>
  <c r="I131"/>
  <c r="J131"/>
  <c r="K131"/>
  <c r="L131"/>
  <c r="M131"/>
  <c r="N131"/>
  <c r="O131"/>
  <c r="P131"/>
  <c r="G131"/>
  <c r="H136"/>
  <c r="I136"/>
  <c r="J136"/>
  <c r="K136"/>
  <c r="L136"/>
  <c r="M136"/>
  <c r="N136"/>
  <c r="O136"/>
  <c r="P136"/>
  <c r="G136"/>
  <c r="H126"/>
  <c r="I126"/>
  <c r="J126"/>
  <c r="K126"/>
  <c r="L126"/>
  <c r="M126"/>
  <c r="N126"/>
  <c r="O126"/>
  <c r="P126"/>
  <c r="G126"/>
  <c r="H116"/>
  <c r="I116"/>
  <c r="J116"/>
  <c r="K116"/>
  <c r="L116"/>
  <c r="M116"/>
  <c r="N116"/>
  <c r="O116"/>
  <c r="P116"/>
  <c r="G116"/>
  <c r="F48"/>
  <c r="EV44"/>
  <c r="EW44"/>
  <c r="EX44"/>
  <c r="EY44"/>
  <c r="EZ44"/>
  <c r="FA44"/>
  <c r="FB44"/>
  <c r="FC44"/>
  <c r="FD44"/>
  <c r="FE44"/>
  <c r="FF44"/>
  <c r="FG44"/>
  <c r="FH44"/>
  <c r="FI44"/>
  <c r="FJ44"/>
  <c r="FK44"/>
  <c r="FL44"/>
  <c r="FM44"/>
  <c r="FN44"/>
  <c r="FO44"/>
  <c r="FP44"/>
  <c r="FQ44"/>
  <c r="FR44"/>
  <c r="FS44"/>
  <c r="FT44"/>
  <c r="FU44"/>
  <c r="FV44"/>
  <c r="FV10"/>
  <c r="FV11"/>
  <c r="FV12"/>
  <c r="FV13"/>
  <c r="FV14"/>
  <c r="FV15"/>
  <c r="FV16"/>
  <c r="FV17"/>
  <c r="FV18"/>
  <c r="FV19"/>
  <c r="FV20"/>
  <c r="FV21"/>
  <c r="FV22"/>
  <c r="FV23"/>
  <c r="FV24"/>
  <c r="FV25"/>
  <c r="FV26"/>
  <c r="FV27"/>
  <c r="FV28"/>
  <c r="FV29"/>
  <c r="FV30"/>
  <c r="FV31"/>
  <c r="FV32"/>
  <c r="FV33"/>
  <c r="FV34"/>
  <c r="FV35"/>
  <c r="FV36"/>
  <c r="FV37"/>
  <c r="FV38"/>
  <c r="FV39"/>
  <c r="FV40"/>
  <c r="FV41"/>
  <c r="FV42"/>
  <c r="FV43"/>
  <c r="FV45"/>
  <c r="FV46"/>
  <c r="FV47"/>
  <c r="FV48" s="1"/>
  <c r="I85" s="1"/>
  <c r="FW44"/>
  <c r="FW10"/>
  <c r="FW11"/>
  <c r="FW12"/>
  <c r="FW13"/>
  <c r="FW14"/>
  <c r="FW15"/>
  <c r="FW16"/>
  <c r="FW17"/>
  <c r="FW18"/>
  <c r="FW19"/>
  <c r="FW20"/>
  <c r="FW21"/>
  <c r="FW22"/>
  <c r="FW23"/>
  <c r="FW24"/>
  <c r="FW25"/>
  <c r="FW26"/>
  <c r="FW27"/>
  <c r="FW28"/>
  <c r="FW29"/>
  <c r="FW30"/>
  <c r="FW31"/>
  <c r="FW32"/>
  <c r="FW33"/>
  <c r="FW34"/>
  <c r="FW35"/>
  <c r="FW36"/>
  <c r="FW37"/>
  <c r="FW38"/>
  <c r="FW39"/>
  <c r="FW40"/>
  <c r="FW41"/>
  <c r="FW42"/>
  <c r="FW43"/>
  <c r="FW45"/>
  <c r="FW46"/>
  <c r="FW47"/>
  <c r="FW48" s="1"/>
  <c r="J85" s="1"/>
  <c r="FX44"/>
  <c r="FY44"/>
  <c r="FZ44"/>
  <c r="FZ10"/>
  <c r="FZ11"/>
  <c r="FZ12"/>
  <c r="FZ13"/>
  <c r="FZ14"/>
  <c r="FZ15"/>
  <c r="FZ16"/>
  <c r="FZ17"/>
  <c r="FZ18"/>
  <c r="FZ19"/>
  <c r="FZ20"/>
  <c r="FZ21"/>
  <c r="FZ22"/>
  <c r="FZ23"/>
  <c r="FZ24"/>
  <c r="FZ25"/>
  <c r="FZ26"/>
  <c r="FZ27"/>
  <c r="FZ28"/>
  <c r="FZ29"/>
  <c r="FZ30"/>
  <c r="FZ31"/>
  <c r="FZ32"/>
  <c r="FZ33"/>
  <c r="FZ34"/>
  <c r="FZ35"/>
  <c r="FZ36"/>
  <c r="FZ37"/>
  <c r="FZ38"/>
  <c r="FZ39"/>
  <c r="FZ40"/>
  <c r="FZ41"/>
  <c r="FZ42"/>
  <c r="FZ43"/>
  <c r="FZ45"/>
  <c r="FZ48" s="1"/>
  <c r="H86" s="1"/>
  <c r="FZ46"/>
  <c r="FZ47"/>
  <c r="GA44"/>
  <c r="GB44"/>
  <c r="GC44"/>
  <c r="GD44"/>
  <c r="GE44"/>
  <c r="GF44"/>
  <c r="GG44"/>
  <c r="GH44"/>
  <c r="GH10"/>
  <c r="GH11"/>
  <c r="GH12"/>
  <c r="GH13"/>
  <c r="GH14"/>
  <c r="GH15"/>
  <c r="GH16"/>
  <c r="GH17"/>
  <c r="GH18"/>
  <c r="GH19"/>
  <c r="GH20"/>
  <c r="GH21"/>
  <c r="GH22"/>
  <c r="GH23"/>
  <c r="GH24"/>
  <c r="GH25"/>
  <c r="GH26"/>
  <c r="GH27"/>
  <c r="GH28"/>
  <c r="GH29"/>
  <c r="GH30"/>
  <c r="GH31"/>
  <c r="GH32"/>
  <c r="GH33"/>
  <c r="GH34"/>
  <c r="GH35"/>
  <c r="GH36"/>
  <c r="GH37"/>
  <c r="GH38"/>
  <c r="GH39"/>
  <c r="GH40"/>
  <c r="GH41"/>
  <c r="GH42"/>
  <c r="GH43"/>
  <c r="GH45"/>
  <c r="GH46"/>
  <c r="GH47"/>
  <c r="GH48"/>
  <c r="K87" s="1"/>
  <c r="GI44"/>
  <c r="GJ44"/>
  <c r="GK44"/>
  <c r="GL44"/>
  <c r="GL10"/>
  <c r="GL11"/>
  <c r="GL12"/>
  <c r="GL13"/>
  <c r="GL14"/>
  <c r="GL15"/>
  <c r="GL16"/>
  <c r="GL17"/>
  <c r="GL18"/>
  <c r="GL19"/>
  <c r="GL20"/>
  <c r="GL21"/>
  <c r="GL22"/>
  <c r="GL23"/>
  <c r="GL24"/>
  <c r="GL25"/>
  <c r="GL26"/>
  <c r="GL27"/>
  <c r="GL28"/>
  <c r="GL29"/>
  <c r="GL30"/>
  <c r="GL31"/>
  <c r="GL32"/>
  <c r="GL33"/>
  <c r="GL34"/>
  <c r="GL35"/>
  <c r="GL36"/>
  <c r="GL37"/>
  <c r="GL38"/>
  <c r="GL39"/>
  <c r="GL40"/>
  <c r="GL41"/>
  <c r="GL42"/>
  <c r="GL43"/>
  <c r="GL45"/>
  <c r="GL46"/>
  <c r="GL47"/>
  <c r="GL48"/>
  <c r="J88" s="1"/>
  <c r="GM44"/>
  <c r="GN44"/>
  <c r="EV45"/>
  <c r="EW45"/>
  <c r="EX45"/>
  <c r="EY45"/>
  <c r="EZ45"/>
  <c r="FA45"/>
  <c r="FB45"/>
  <c r="FC45"/>
  <c r="FD45"/>
  <c r="FE45"/>
  <c r="FF45"/>
  <c r="FG45"/>
  <c r="FH45"/>
  <c r="FI45"/>
  <c r="FJ45"/>
  <c r="FK45"/>
  <c r="FL45"/>
  <c r="FM45"/>
  <c r="FN45"/>
  <c r="FO45"/>
  <c r="FP45"/>
  <c r="FQ45"/>
  <c r="FR45"/>
  <c r="FS45"/>
  <c r="FT45"/>
  <c r="FU45"/>
  <c r="FX45"/>
  <c r="FY45"/>
  <c r="GA45"/>
  <c r="GB45"/>
  <c r="GC45"/>
  <c r="GD45"/>
  <c r="GE45"/>
  <c r="GF45"/>
  <c r="GG45"/>
  <c r="GI45"/>
  <c r="GJ45"/>
  <c r="GK45"/>
  <c r="GM45"/>
  <c r="GN45"/>
  <c r="EV46"/>
  <c r="EW46"/>
  <c r="EX46"/>
  <c r="EY46"/>
  <c r="EZ46"/>
  <c r="FA46"/>
  <c r="FB46"/>
  <c r="FC46"/>
  <c r="FD46"/>
  <c r="FE46"/>
  <c r="FF46"/>
  <c r="FG46"/>
  <c r="FH46"/>
  <c r="FI46"/>
  <c r="FJ46"/>
  <c r="FK46"/>
  <c r="FL46"/>
  <c r="FM46"/>
  <c r="FN46"/>
  <c r="FO46"/>
  <c r="FP46"/>
  <c r="FQ46"/>
  <c r="FR46"/>
  <c r="FS46"/>
  <c r="FT46"/>
  <c r="FU46"/>
  <c r="FX46"/>
  <c r="FY46"/>
  <c r="GA46"/>
  <c r="GB46"/>
  <c r="GB10"/>
  <c r="GB11"/>
  <c r="GB12"/>
  <c r="GB13"/>
  <c r="GB14"/>
  <c r="GB15"/>
  <c r="GB16"/>
  <c r="GB17"/>
  <c r="GB18"/>
  <c r="GB19"/>
  <c r="GB20"/>
  <c r="GB21"/>
  <c r="GB22"/>
  <c r="GB23"/>
  <c r="GB24"/>
  <c r="GB25"/>
  <c r="GB26"/>
  <c r="GB27"/>
  <c r="GB28"/>
  <c r="GB29"/>
  <c r="GB30"/>
  <c r="GB31"/>
  <c r="GB32"/>
  <c r="GB33"/>
  <c r="GB34"/>
  <c r="GB35"/>
  <c r="GB36"/>
  <c r="GB37"/>
  <c r="GB38"/>
  <c r="GB39"/>
  <c r="GB40"/>
  <c r="GB48" s="1"/>
  <c r="J86" s="1"/>
  <c r="GB41"/>
  <c r="GB42"/>
  <c r="GB43"/>
  <c r="GB47"/>
  <c r="GC46"/>
  <c r="GD46"/>
  <c r="GE46"/>
  <c r="GF46"/>
  <c r="GF10"/>
  <c r="GF11"/>
  <c r="GF12"/>
  <c r="GF13"/>
  <c r="GF14"/>
  <c r="GF15"/>
  <c r="GF16"/>
  <c r="GF17"/>
  <c r="GF18"/>
  <c r="GF19"/>
  <c r="GF20"/>
  <c r="GF21"/>
  <c r="GF22"/>
  <c r="GF23"/>
  <c r="GF24"/>
  <c r="GF25"/>
  <c r="GF26"/>
  <c r="GF27"/>
  <c r="GF28"/>
  <c r="GF29"/>
  <c r="GF30"/>
  <c r="GF31"/>
  <c r="GF32"/>
  <c r="GF33"/>
  <c r="GF34"/>
  <c r="GF35"/>
  <c r="GF36"/>
  <c r="GF37"/>
  <c r="GF38"/>
  <c r="GF39"/>
  <c r="GF40"/>
  <c r="GF41"/>
  <c r="GF42"/>
  <c r="GF43"/>
  <c r="GF47"/>
  <c r="GF48"/>
  <c r="I87" s="1"/>
  <c r="GG46"/>
  <c r="GI46"/>
  <c r="GJ46"/>
  <c r="GK46"/>
  <c r="GM46"/>
  <c r="GN46"/>
  <c r="G121"/>
  <c r="P121"/>
  <c r="O121"/>
  <c r="N121"/>
  <c r="M121"/>
  <c r="L121"/>
  <c r="K121"/>
  <c r="J121"/>
  <c r="I121"/>
  <c r="H121"/>
  <c r="G111"/>
  <c r="H111"/>
  <c r="I111"/>
  <c r="J111"/>
  <c r="K111"/>
  <c r="L111"/>
  <c r="M111"/>
  <c r="N111"/>
  <c r="O111"/>
  <c r="P111"/>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EX10"/>
  <c r="EX11"/>
  <c r="EX12"/>
  <c r="EX13"/>
  <c r="EX14"/>
  <c r="EX15"/>
  <c r="EX16"/>
  <c r="EX17"/>
  <c r="EX18"/>
  <c r="EX19"/>
  <c r="EX20"/>
  <c r="EX21"/>
  <c r="EX22"/>
  <c r="EX23"/>
  <c r="EX24"/>
  <c r="EX25"/>
  <c r="EX26"/>
  <c r="EX27"/>
  <c r="EX28"/>
  <c r="EX29"/>
  <c r="EX30"/>
  <c r="EX31"/>
  <c r="EX32"/>
  <c r="EX33"/>
  <c r="EX34"/>
  <c r="EX35"/>
  <c r="EX36"/>
  <c r="EX37"/>
  <c r="EX38"/>
  <c r="EX39"/>
  <c r="EX40"/>
  <c r="EX41"/>
  <c r="EX42"/>
  <c r="EX43"/>
  <c r="EX48" s="1"/>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48" s="1"/>
  <c r="K91" s="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48" s="1"/>
  <c r="L92" s="1"/>
  <c r="FJ12"/>
  <c r="FJ13"/>
  <c r="FJ14"/>
  <c r="FJ15"/>
  <c r="FJ16"/>
  <c r="FJ17"/>
  <c r="FJ18"/>
  <c r="FJ19"/>
  <c r="FJ20"/>
  <c r="FJ21"/>
  <c r="FJ22"/>
  <c r="FJ23"/>
  <c r="FJ24"/>
  <c r="FJ25"/>
  <c r="FJ26"/>
  <c r="FJ27"/>
  <c r="FJ28"/>
  <c r="FJ29"/>
  <c r="FJ30"/>
  <c r="FJ31"/>
  <c r="FJ32"/>
  <c r="FJ33"/>
  <c r="FJ34"/>
  <c r="FJ35"/>
  <c r="FJ36"/>
  <c r="FJ37"/>
  <c r="FJ38"/>
  <c r="FJ39"/>
  <c r="FJ40"/>
  <c r="FJ41"/>
  <c r="FJ42"/>
  <c r="FJ43"/>
  <c r="FJ47"/>
  <c r="FU11"/>
  <c r="FX11"/>
  <c r="FY11"/>
  <c r="GA11"/>
  <c r="GC11"/>
  <c r="GD11"/>
  <c r="GE11"/>
  <c r="GG11"/>
  <c r="GI11"/>
  <c r="GJ11"/>
  <c r="GK11"/>
  <c r="GM11"/>
  <c r="GN11"/>
  <c r="FU12"/>
  <c r="FX12"/>
  <c r="FY12"/>
  <c r="GA12"/>
  <c r="GC12"/>
  <c r="GD12"/>
  <c r="GE12"/>
  <c r="GG12"/>
  <c r="GI12"/>
  <c r="GJ12"/>
  <c r="GK12"/>
  <c r="GM12"/>
  <c r="GN12"/>
  <c r="FU13"/>
  <c r="FX13"/>
  <c r="FY13"/>
  <c r="GA13"/>
  <c r="GC13"/>
  <c r="GD13"/>
  <c r="GE13"/>
  <c r="GG13"/>
  <c r="GI13"/>
  <c r="GJ13"/>
  <c r="GK13"/>
  <c r="GM13"/>
  <c r="GN13"/>
  <c r="FU14"/>
  <c r="FX14"/>
  <c r="FY14"/>
  <c r="GA14"/>
  <c r="GC14"/>
  <c r="GD14"/>
  <c r="GE14"/>
  <c r="GG14"/>
  <c r="GI14"/>
  <c r="GJ14"/>
  <c r="GK14"/>
  <c r="GM14"/>
  <c r="GN14"/>
  <c r="FU15"/>
  <c r="FX15"/>
  <c r="FY15"/>
  <c r="GA15"/>
  <c r="GC15"/>
  <c r="GD15"/>
  <c r="GE15"/>
  <c r="GG15"/>
  <c r="GI15"/>
  <c r="GJ15"/>
  <c r="GK15"/>
  <c r="GM15"/>
  <c r="GN15"/>
  <c r="FU16"/>
  <c r="FX16"/>
  <c r="FY16"/>
  <c r="GA16"/>
  <c r="GC16"/>
  <c r="GD16"/>
  <c r="GE16"/>
  <c r="GG16"/>
  <c r="GI16"/>
  <c r="GJ16"/>
  <c r="GK16"/>
  <c r="GM16"/>
  <c r="GN16"/>
  <c r="FU17"/>
  <c r="FX17"/>
  <c r="FY17"/>
  <c r="GA17"/>
  <c r="GC17"/>
  <c r="GD17"/>
  <c r="GE17"/>
  <c r="GG17"/>
  <c r="GI17"/>
  <c r="GJ17"/>
  <c r="GK17"/>
  <c r="GM17"/>
  <c r="GN17"/>
  <c r="FU18"/>
  <c r="FX18"/>
  <c r="FY18"/>
  <c r="GA18"/>
  <c r="GC18"/>
  <c r="GD18"/>
  <c r="GE18"/>
  <c r="GG18"/>
  <c r="GI18"/>
  <c r="GJ18"/>
  <c r="GK18"/>
  <c r="GM18"/>
  <c r="GN18"/>
  <c r="FU19"/>
  <c r="FX19"/>
  <c r="FY19"/>
  <c r="GA19"/>
  <c r="GC19"/>
  <c r="GD19"/>
  <c r="GE19"/>
  <c r="GG19"/>
  <c r="GI19"/>
  <c r="GJ19"/>
  <c r="GK19"/>
  <c r="GM19"/>
  <c r="GN19"/>
  <c r="FU20"/>
  <c r="FX20"/>
  <c r="FY20"/>
  <c r="GA20"/>
  <c r="GC20"/>
  <c r="GD20"/>
  <c r="GE20"/>
  <c r="GG20"/>
  <c r="GI20"/>
  <c r="GJ20"/>
  <c r="GK20"/>
  <c r="GM20"/>
  <c r="GN20"/>
  <c r="FU21"/>
  <c r="FX21"/>
  <c r="FY21"/>
  <c r="GA21"/>
  <c r="GC21"/>
  <c r="GD21"/>
  <c r="GE21"/>
  <c r="GG21"/>
  <c r="GI21"/>
  <c r="GJ21"/>
  <c r="GK21"/>
  <c r="GM21"/>
  <c r="GN21"/>
  <c r="FU22"/>
  <c r="FX22"/>
  <c r="FY22"/>
  <c r="GA22"/>
  <c r="GC22"/>
  <c r="GD22"/>
  <c r="GE22"/>
  <c r="GG22"/>
  <c r="GI22"/>
  <c r="GJ22"/>
  <c r="GK22"/>
  <c r="GM22"/>
  <c r="GN22"/>
  <c r="FU23"/>
  <c r="FX23"/>
  <c r="FY23"/>
  <c r="GA23"/>
  <c r="GC23"/>
  <c r="GD23"/>
  <c r="GE23"/>
  <c r="GG23"/>
  <c r="GI23"/>
  <c r="GJ23"/>
  <c r="GK23"/>
  <c r="GM23"/>
  <c r="GN23"/>
  <c r="FU24"/>
  <c r="FX24"/>
  <c r="FY24"/>
  <c r="GA24"/>
  <c r="GC24"/>
  <c r="GD24"/>
  <c r="GE24"/>
  <c r="GG24"/>
  <c r="GI24"/>
  <c r="GJ24"/>
  <c r="GK24"/>
  <c r="GM24"/>
  <c r="GN24"/>
  <c r="FU25"/>
  <c r="FX25"/>
  <c r="FY25"/>
  <c r="GA25"/>
  <c r="GC25"/>
  <c r="GD25"/>
  <c r="GE25"/>
  <c r="GG25"/>
  <c r="GI25"/>
  <c r="GJ25"/>
  <c r="GK25"/>
  <c r="GM25"/>
  <c r="GN25"/>
  <c r="FU26"/>
  <c r="FX26"/>
  <c r="FY26"/>
  <c r="GA26"/>
  <c r="GC26"/>
  <c r="GD26"/>
  <c r="GE26"/>
  <c r="GG26"/>
  <c r="GI26"/>
  <c r="GJ26"/>
  <c r="GK26"/>
  <c r="GM26"/>
  <c r="GN26"/>
  <c r="FU27"/>
  <c r="FX27"/>
  <c r="FY27"/>
  <c r="GA27"/>
  <c r="GC27"/>
  <c r="GD27"/>
  <c r="GE27"/>
  <c r="GG27"/>
  <c r="GI27"/>
  <c r="GJ27"/>
  <c r="GK27"/>
  <c r="GM27"/>
  <c r="GN27"/>
  <c r="FU28"/>
  <c r="FX28"/>
  <c r="FY28"/>
  <c r="GA28"/>
  <c r="GC28"/>
  <c r="GD28"/>
  <c r="GE28"/>
  <c r="GG28"/>
  <c r="GI28"/>
  <c r="GJ28"/>
  <c r="GK28"/>
  <c r="GM28"/>
  <c r="GN28"/>
  <c r="FU29"/>
  <c r="FX29"/>
  <c r="FY29"/>
  <c r="GA29"/>
  <c r="GC29"/>
  <c r="GD29"/>
  <c r="GE29"/>
  <c r="GG29"/>
  <c r="GI29"/>
  <c r="GJ29"/>
  <c r="GK29"/>
  <c r="GM29"/>
  <c r="GN29"/>
  <c r="FU30"/>
  <c r="FX30"/>
  <c r="FY30"/>
  <c r="GA30"/>
  <c r="GC30"/>
  <c r="GD30"/>
  <c r="GE30"/>
  <c r="GG30"/>
  <c r="GI30"/>
  <c r="GJ30"/>
  <c r="GK30"/>
  <c r="GM30"/>
  <c r="GN30"/>
  <c r="FU31"/>
  <c r="FX31"/>
  <c r="FY31"/>
  <c r="GA31"/>
  <c r="GC31"/>
  <c r="GD31"/>
  <c r="GE31"/>
  <c r="GG31"/>
  <c r="GI31"/>
  <c r="GJ31"/>
  <c r="GK31"/>
  <c r="GM31"/>
  <c r="GN31"/>
  <c r="FU32"/>
  <c r="FX32"/>
  <c r="FY32"/>
  <c r="GA32"/>
  <c r="GC32"/>
  <c r="GD32"/>
  <c r="GE32"/>
  <c r="GG32"/>
  <c r="GI32"/>
  <c r="GJ32"/>
  <c r="GK32"/>
  <c r="GM32"/>
  <c r="GN32"/>
  <c r="FU33"/>
  <c r="FX33"/>
  <c r="FY33"/>
  <c r="GA33"/>
  <c r="GC33"/>
  <c r="GD33"/>
  <c r="GE33"/>
  <c r="GG33"/>
  <c r="GI33"/>
  <c r="GJ33"/>
  <c r="GK33"/>
  <c r="GM33"/>
  <c r="GN33"/>
  <c r="FU34"/>
  <c r="FX34"/>
  <c r="FY34"/>
  <c r="GA34"/>
  <c r="GC34"/>
  <c r="GD34"/>
  <c r="GE34"/>
  <c r="GG34"/>
  <c r="GI34"/>
  <c r="GJ34"/>
  <c r="GK34"/>
  <c r="GM34"/>
  <c r="GN34"/>
  <c r="FU35"/>
  <c r="FX35"/>
  <c r="FY35"/>
  <c r="GA35"/>
  <c r="GC35"/>
  <c r="GD35"/>
  <c r="GE35"/>
  <c r="GG35"/>
  <c r="GI35"/>
  <c r="GJ35"/>
  <c r="GK35"/>
  <c r="GM35"/>
  <c r="GN35"/>
  <c r="GN48" s="1"/>
  <c r="L88" s="1"/>
  <c r="FU36"/>
  <c r="FX36"/>
  <c r="FY36"/>
  <c r="GA36"/>
  <c r="GC36"/>
  <c r="GD36"/>
  <c r="GE36"/>
  <c r="GG36"/>
  <c r="GI36"/>
  <c r="GJ36"/>
  <c r="GK36"/>
  <c r="GM36"/>
  <c r="GN36"/>
  <c r="FU37"/>
  <c r="FX37"/>
  <c r="FY37"/>
  <c r="FY48" s="1"/>
  <c r="L85" s="1"/>
  <c r="GA37"/>
  <c r="GC37"/>
  <c r="GD37"/>
  <c r="GE37"/>
  <c r="GE48" s="1"/>
  <c r="H87" s="1"/>
  <c r="GG37"/>
  <c r="GI37"/>
  <c r="GJ37"/>
  <c r="GK37"/>
  <c r="GM37"/>
  <c r="GN37"/>
  <c r="FU38"/>
  <c r="FX38"/>
  <c r="FY38"/>
  <c r="GA38"/>
  <c r="GC38"/>
  <c r="GD38"/>
  <c r="GE38"/>
  <c r="GG38"/>
  <c r="GI38"/>
  <c r="GJ38"/>
  <c r="GK38"/>
  <c r="GM38"/>
  <c r="GN38"/>
  <c r="FU39"/>
  <c r="FX39"/>
  <c r="FY39"/>
  <c r="GA39"/>
  <c r="GC39"/>
  <c r="GD39"/>
  <c r="GE39"/>
  <c r="GG39"/>
  <c r="GI39"/>
  <c r="GJ39"/>
  <c r="GK39"/>
  <c r="GM39"/>
  <c r="GN39"/>
  <c r="FU40"/>
  <c r="FX40"/>
  <c r="FY40"/>
  <c r="GA40"/>
  <c r="GC40"/>
  <c r="GD40"/>
  <c r="GE40"/>
  <c r="GG40"/>
  <c r="GI40"/>
  <c r="GJ40"/>
  <c r="GK40"/>
  <c r="GM40"/>
  <c r="GN40"/>
  <c r="FU41"/>
  <c r="FX41"/>
  <c r="FY41"/>
  <c r="GA41"/>
  <c r="GC41"/>
  <c r="GD41"/>
  <c r="GE41"/>
  <c r="GG41"/>
  <c r="GI41"/>
  <c r="GJ41"/>
  <c r="GK41"/>
  <c r="GM41"/>
  <c r="GN41"/>
  <c r="FU42"/>
  <c r="FX42"/>
  <c r="FY42"/>
  <c r="GA42"/>
  <c r="GC42"/>
  <c r="GD42"/>
  <c r="GE42"/>
  <c r="GG42"/>
  <c r="GI42"/>
  <c r="GJ42"/>
  <c r="GK42"/>
  <c r="GM42"/>
  <c r="GN42"/>
  <c r="FU43"/>
  <c r="FX43"/>
  <c r="FY43"/>
  <c r="GA43"/>
  <c r="GC43"/>
  <c r="GD43"/>
  <c r="GE43"/>
  <c r="GG43"/>
  <c r="GI43"/>
  <c r="GJ43"/>
  <c r="GK43"/>
  <c r="GM43"/>
  <c r="GN43"/>
  <c r="FU47"/>
  <c r="FX47"/>
  <c r="FY47"/>
  <c r="GA47"/>
  <c r="GC47"/>
  <c r="GD47"/>
  <c r="GE47"/>
  <c r="GG47"/>
  <c r="GI47"/>
  <c r="GJ47"/>
  <c r="GK47"/>
  <c r="GM47"/>
  <c r="GN47"/>
  <c r="GJ10"/>
  <c r="GJ48" s="1"/>
  <c r="H88" s="1"/>
  <c r="GE10"/>
  <c r="FU10"/>
  <c r="GN10"/>
  <c r="GM10"/>
  <c r="GM48" s="1"/>
  <c r="K88" s="1"/>
  <c r="GK10"/>
  <c r="GI10"/>
  <c r="GI48" s="1"/>
  <c r="L87" s="1"/>
  <c r="GG10"/>
  <c r="GD10"/>
  <c r="GC10"/>
  <c r="GA10"/>
  <c r="FY10"/>
  <c r="FX10"/>
  <c r="FT48"/>
  <c r="L90"/>
  <c r="AZ48"/>
  <c r="H64"/>
  <c r="L64"/>
  <c r="AX48"/>
  <c r="K65"/>
  <c r="AU48"/>
  <c r="H65"/>
  <c r="AV48"/>
  <c r="I65"/>
  <c r="BC48"/>
  <c r="K64"/>
  <c r="K66" s="1"/>
  <c r="BA48"/>
  <c r="I64"/>
  <c r="CU48"/>
  <c r="BG48"/>
  <c r="BY48"/>
  <c r="H94"/>
  <c r="H96" s="1"/>
  <c r="CD48"/>
  <c r="H95"/>
  <c r="M95" s="1"/>
  <c r="Q95" s="1"/>
  <c r="AP48"/>
  <c r="EA48"/>
  <c r="L76"/>
  <c r="DY48"/>
  <c r="J76"/>
  <c r="EU48"/>
  <c r="EK48"/>
  <c r="L78" s="1"/>
  <c r="ES48"/>
  <c r="EI48"/>
  <c r="J78"/>
  <c r="EG48"/>
  <c r="H78"/>
  <c r="EH48"/>
  <c r="I78" s="1"/>
  <c r="I80" s="1"/>
  <c r="EJ48"/>
  <c r="K78"/>
  <c r="EM48"/>
  <c r="I79"/>
  <c r="EQ48"/>
  <c r="DD48"/>
  <c r="I72" s="1"/>
  <c r="DN48"/>
  <c r="BM48"/>
  <c r="K69" s="1"/>
  <c r="BR48"/>
  <c r="K68" s="1"/>
  <c r="DW48"/>
  <c r="H76" s="1"/>
  <c r="M76" s="1"/>
  <c r="Q76" s="1"/>
  <c r="DZ48"/>
  <c r="K76" s="1"/>
  <c r="EO48"/>
  <c r="K79" s="1"/>
  <c r="GA48"/>
  <c r="I86" s="1"/>
  <c r="DH48"/>
  <c r="H73" s="1"/>
  <c r="EF48"/>
  <c r="L77" s="1"/>
  <c r="DV48"/>
  <c r="L75"/>
  <c r="EE48"/>
  <c r="DT48"/>
  <c r="J75"/>
  <c r="EB48"/>
  <c r="DR48"/>
  <c r="H75" s="1"/>
  <c r="EP48"/>
  <c r="L79" s="1"/>
  <c r="ET48"/>
  <c r="EN48"/>
  <c r="J79"/>
  <c r="ER48"/>
  <c r="EL48"/>
  <c r="H79"/>
  <c r="DM48"/>
  <c r="DC48"/>
  <c r="H72" s="1"/>
  <c r="BJ48"/>
  <c r="H69" s="1"/>
  <c r="M69" s="1"/>
  <c r="Q69" s="1"/>
  <c r="BP48"/>
  <c r="I68" s="1"/>
  <c r="I70" s="1"/>
  <c r="BE48"/>
  <c r="BI48"/>
  <c r="FC48"/>
  <c r="J89" s="1"/>
  <c r="DE48"/>
  <c r="J72" s="1"/>
  <c r="DA48"/>
  <c r="K99" s="1"/>
  <c r="CY48"/>
  <c r="I99" s="1"/>
  <c r="BF48"/>
  <c r="BH48"/>
  <c r="BN48"/>
  <c r="L69" s="1"/>
  <c r="BS48"/>
  <c r="L68" s="1"/>
  <c r="BO48"/>
  <c r="H68"/>
  <c r="BL48"/>
  <c r="J69"/>
  <c r="BQ48"/>
  <c r="J68"/>
  <c r="J70" s="1"/>
  <c r="GD48"/>
  <c r="L86" s="1"/>
  <c r="FG48"/>
  <c r="I92" s="1"/>
  <c r="A1"/>
  <c r="T1" s="1"/>
  <c r="CR48"/>
  <c r="L97" s="1"/>
  <c r="CQ48"/>
  <c r="K97" s="1"/>
  <c r="CP48"/>
  <c r="J97" s="1"/>
  <c r="CO48"/>
  <c r="I97" s="1"/>
  <c r="CN48"/>
  <c r="H97" s="1"/>
  <c r="CH48"/>
  <c r="L95"/>
  <c r="CC48"/>
  <c r="L94"/>
  <c r="L96" s="1"/>
  <c r="L98" s="1"/>
  <c r="L100" s="1"/>
  <c r="CG48"/>
  <c r="K95"/>
  <c r="CB48"/>
  <c r="K94"/>
  <c r="K96" s="1"/>
  <c r="K98" s="1"/>
  <c r="K100" s="1"/>
  <c r="CF48"/>
  <c r="J95"/>
  <c r="J96" s="1"/>
  <c r="J98" s="1"/>
  <c r="J100" s="1"/>
  <c r="CE48"/>
  <c r="I95"/>
  <c r="CA48"/>
  <c r="J94"/>
  <c r="BZ48"/>
  <c r="I94"/>
  <c r="I96" s="1"/>
  <c r="GS48"/>
  <c r="GQ48"/>
  <c r="GP48"/>
  <c r="GX48"/>
  <c r="GV48"/>
  <c r="GT48"/>
  <c r="DQ48"/>
  <c r="DG48"/>
  <c r="L72" s="1"/>
  <c r="L74" s="1"/>
  <c r="DP48"/>
  <c r="DO48"/>
  <c r="J77"/>
  <c r="FU48"/>
  <c r="H85"/>
  <c r="M85" s="1"/>
  <c r="FI48"/>
  <c r="K92"/>
  <c r="FH48"/>
  <c r="J92"/>
  <c r="FO48"/>
  <c r="L91"/>
  <c r="FK48"/>
  <c r="H91"/>
  <c r="FP48"/>
  <c r="H90"/>
  <c r="M90" s="1"/>
  <c r="Q90" s="1"/>
  <c r="FQ48"/>
  <c r="I90"/>
  <c r="FR48"/>
  <c r="J90"/>
  <c r="FS48"/>
  <c r="K90"/>
  <c r="FE48"/>
  <c r="L89"/>
  <c r="FA48"/>
  <c r="H89"/>
  <c r="EY48"/>
  <c r="AH48"/>
  <c r="AF48"/>
  <c r="HG48"/>
  <c r="HE48"/>
  <c r="HM48"/>
  <c r="HL48"/>
  <c r="GR48"/>
  <c r="GW48"/>
  <c r="DK48"/>
  <c r="K73" s="1"/>
  <c r="DF48"/>
  <c r="K72" s="1"/>
  <c r="CM48"/>
  <c r="AI48"/>
  <c r="HB48"/>
  <c r="GZ48"/>
  <c r="GG48"/>
  <c r="J87" s="1"/>
  <c r="FM48"/>
  <c r="J91"/>
  <c r="FD48"/>
  <c r="K89"/>
  <c r="AG48"/>
  <c r="CT48"/>
  <c r="HA48"/>
  <c r="GY48"/>
  <c r="J80"/>
  <c r="GK48"/>
  <c r="I88"/>
  <c r="FB48"/>
  <c r="I89" s="1"/>
  <c r="CJ48"/>
  <c r="AJ48"/>
  <c r="AM48"/>
  <c r="J59"/>
  <c r="CW48"/>
  <c r="HH48"/>
  <c r="HF48"/>
  <c r="HD48"/>
  <c r="AD48"/>
  <c r="K57"/>
  <c r="K58" s="1"/>
  <c r="K60" s="1"/>
  <c r="K62" s="1"/>
  <c r="BU48"/>
  <c r="I61" s="1"/>
  <c r="DB48"/>
  <c r="L99" s="1"/>
  <c r="CZ48"/>
  <c r="J99"/>
  <c r="CX48"/>
  <c r="H99"/>
  <c r="L48"/>
  <c r="L49"/>
  <c r="I66"/>
  <c r="H66"/>
  <c r="FX48"/>
  <c r="K85"/>
  <c r="K84" s="1"/>
  <c r="GC48"/>
  <c r="K86"/>
  <c r="FF48"/>
  <c r="H92" s="1"/>
  <c r="M92" s="1"/>
  <c r="Q92" s="1"/>
  <c r="FL48"/>
  <c r="I91" s="1"/>
  <c r="EZ48"/>
  <c r="EV48"/>
  <c r="BK48"/>
  <c r="I69"/>
  <c r="W48"/>
  <c r="I56"/>
  <c r="I58" s="1"/>
  <c r="I60" s="1"/>
  <c r="P6"/>
  <c r="Q13" s="1"/>
  <c r="N6"/>
  <c r="O104"/>
  <c r="F77" i="8"/>
  <c r="J77"/>
  <c r="D78"/>
  <c r="H78"/>
  <c r="B78"/>
  <c r="F48"/>
  <c r="J48"/>
  <c r="I47"/>
  <c r="H47"/>
  <c r="D47"/>
  <c r="B100"/>
  <c r="B70"/>
  <c r="B40"/>
  <c r="C40" s="1"/>
  <c r="D40" s="1"/>
  <c r="E40" s="1"/>
  <c r="F40" s="1"/>
  <c r="B99"/>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M11"/>
  <c r="M3"/>
  <c r="A33"/>
  <c r="A63" s="1"/>
  <c r="A93" s="1"/>
  <c r="A32"/>
  <c r="A62" s="1"/>
  <c r="A92" s="1"/>
  <c r="A31"/>
  <c r="A61" s="1"/>
  <c r="A91" s="1"/>
  <c r="K83"/>
  <c r="B53"/>
  <c r="F53"/>
  <c r="D83"/>
  <c r="F83"/>
  <c r="C53"/>
  <c r="E53"/>
  <c r="C83"/>
  <c r="G83"/>
  <c r="A64"/>
  <c r="A94" s="1"/>
  <c r="A56"/>
  <c r="A86" s="1"/>
  <c r="A55"/>
  <c r="A85" s="1"/>
  <c r="A54"/>
  <c r="A84" s="1"/>
  <c r="A53"/>
  <c r="A83" s="1"/>
  <c r="B28"/>
  <c r="C28" s="1"/>
  <c r="D28" s="1"/>
  <c r="B17"/>
  <c r="C13"/>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77"/>
  <c r="I77"/>
  <c r="H77"/>
  <c r="G77"/>
  <c r="E77"/>
  <c r="D77"/>
  <c r="C77"/>
  <c r="B77"/>
  <c r="K47"/>
  <c r="J47"/>
  <c r="G47"/>
  <c r="F47"/>
  <c r="E47"/>
  <c r="C47"/>
  <c r="B47"/>
  <c r="E17"/>
  <c r="F17"/>
  <c r="I17"/>
  <c r="J17"/>
  <c r="C78"/>
  <c r="E78"/>
  <c r="F78"/>
  <c r="G78"/>
  <c r="I78"/>
  <c r="J78"/>
  <c r="K78"/>
  <c r="C48"/>
  <c r="D48"/>
  <c r="E48"/>
  <c r="G48"/>
  <c r="H48"/>
  <c r="I48"/>
  <c r="K48"/>
  <c r="B48"/>
  <c r="B29"/>
  <c r="K18"/>
  <c r="J18"/>
  <c r="F18"/>
  <c r="C18"/>
  <c r="D85"/>
  <c r="B85"/>
  <c r="D55"/>
  <c r="B55"/>
  <c r="D25"/>
  <c r="K85"/>
  <c r="C85"/>
  <c r="C93" s="1"/>
  <c r="K55"/>
  <c r="C55"/>
  <c r="K25"/>
  <c r="C25"/>
  <c r="I18"/>
  <c r="G18"/>
  <c r="E18"/>
  <c r="J84"/>
  <c r="H84"/>
  <c r="H94" s="1"/>
  <c r="F84"/>
  <c r="D84"/>
  <c r="B84"/>
  <c r="J54"/>
  <c r="H54"/>
  <c r="F54"/>
  <c r="D54"/>
  <c r="B54"/>
  <c r="J24"/>
  <c r="H24"/>
  <c r="F24"/>
  <c r="D24"/>
  <c r="B24"/>
  <c r="K84"/>
  <c r="I84"/>
  <c r="I92" s="1"/>
  <c r="G84"/>
  <c r="E84"/>
  <c r="C84"/>
  <c r="K54"/>
  <c r="I54"/>
  <c r="G54"/>
  <c r="E54"/>
  <c r="C54"/>
  <c r="K24"/>
  <c r="G24"/>
  <c r="C24"/>
  <c r="I24"/>
  <c r="E24"/>
  <c r="E33" s="1"/>
  <c r="J86"/>
  <c r="H86"/>
  <c r="F86"/>
  <c r="F94" s="1"/>
  <c r="D86"/>
  <c r="B86"/>
  <c r="J56"/>
  <c r="H56"/>
  <c r="F56"/>
  <c r="D56"/>
  <c r="B56"/>
  <c r="J26"/>
  <c r="H26"/>
  <c r="F26"/>
  <c r="D26"/>
  <c r="B26"/>
  <c r="K86"/>
  <c r="I86"/>
  <c r="G86"/>
  <c r="E86"/>
  <c r="C86"/>
  <c r="K56"/>
  <c r="I56"/>
  <c r="G56"/>
  <c r="E56"/>
  <c r="C56"/>
  <c r="K26"/>
  <c r="I26"/>
  <c r="G26"/>
  <c r="E26"/>
  <c r="C26"/>
  <c r="F62"/>
  <c r="D23"/>
  <c r="J23"/>
  <c r="G23"/>
  <c r="K23"/>
  <c r="A1"/>
  <c r="M1" s="1"/>
  <c r="B37"/>
  <c r="C23"/>
  <c r="C34" s="1"/>
  <c r="G17"/>
  <c r="D18"/>
  <c r="D53"/>
  <c r="K17"/>
  <c r="I23"/>
  <c r="C17"/>
  <c r="B18"/>
  <c r="E62"/>
  <c r="C70"/>
  <c r="H18"/>
  <c r="G25"/>
  <c r="B62"/>
  <c r="H83"/>
  <c r="K53"/>
  <c r="B63"/>
  <c r="F85"/>
  <c r="H55"/>
  <c r="J25"/>
  <c r="B25"/>
  <c r="E85"/>
  <c r="G55"/>
  <c r="I25"/>
  <c r="J85"/>
  <c r="J55"/>
  <c r="H25"/>
  <c r="I85"/>
  <c r="I55"/>
  <c r="H85"/>
  <c r="F55"/>
  <c r="F25"/>
  <c r="G85"/>
  <c r="E55"/>
  <c r="E25"/>
  <c r="E23"/>
  <c r="B83"/>
  <c r="J83"/>
  <c r="G53"/>
  <c r="E83"/>
  <c r="E92" s="1"/>
  <c r="H53"/>
  <c r="I53"/>
  <c r="I83"/>
  <c r="B23"/>
  <c r="J53"/>
  <c r="H23"/>
  <c r="F23"/>
  <c r="F92"/>
  <c r="H17"/>
  <c r="D17"/>
  <c r="B14"/>
  <c r="J44" s="1"/>
  <c r="G63"/>
  <c r="I64"/>
  <c r="B101"/>
  <c r="A3" i="6"/>
  <c r="H3"/>
  <c r="J43"/>
  <c r="A1"/>
  <c r="A2" i="37"/>
  <c r="A3"/>
  <c r="A2" i="38"/>
  <c r="A3"/>
  <c r="A2" i="39"/>
  <c r="A3"/>
  <c r="I34" i="8" l="1"/>
  <c r="E32"/>
  <c r="K14"/>
  <c r="H74"/>
  <c r="J62"/>
  <c r="G33"/>
  <c r="E63"/>
  <c r="C64"/>
  <c r="B34"/>
  <c r="K92"/>
  <c r="G14"/>
  <c r="E44"/>
  <c r="F32"/>
  <c r="I63"/>
  <c r="I94"/>
  <c r="F93"/>
  <c r="I62"/>
  <c r="B36"/>
  <c r="C36" s="1"/>
  <c r="B32"/>
  <c r="H34"/>
  <c r="C94"/>
  <c r="D32"/>
  <c r="E33" i="15"/>
  <c r="E74" i="8"/>
  <c r="B44"/>
  <c r="J63"/>
  <c r="G74"/>
  <c r="B74"/>
  <c r="E28"/>
  <c r="J93"/>
  <c r="J64"/>
  <c r="G94"/>
  <c r="G93"/>
  <c r="G92"/>
  <c r="O218" i="11"/>
  <c r="G40" i="8"/>
  <c r="H14"/>
  <c r="F74"/>
  <c r="E14"/>
  <c r="G44"/>
  <c r="C74"/>
  <c r="B15"/>
  <c r="E45" s="1"/>
  <c r="F44"/>
  <c r="J92"/>
  <c r="F64"/>
  <c r="H93"/>
  <c r="C100"/>
  <c r="K63"/>
  <c r="C63"/>
  <c r="K33"/>
  <c r="D93"/>
  <c r="P264" i="11"/>
  <c r="P273"/>
  <c r="C101" i="8"/>
  <c r="F28"/>
  <c r="D14"/>
  <c r="I14"/>
  <c r="K44"/>
  <c r="K74"/>
  <c r="I44"/>
  <c r="D44"/>
  <c r="F14"/>
  <c r="D74"/>
  <c r="K62"/>
  <c r="B93"/>
  <c r="B33"/>
  <c r="G62"/>
  <c r="F34"/>
  <c r="F63"/>
  <c r="E93"/>
  <c r="E94"/>
  <c r="B94"/>
  <c r="J94"/>
  <c r="K64"/>
  <c r="B64"/>
  <c r="H92"/>
  <c r="D94"/>
  <c r="J32"/>
  <c r="K93"/>
  <c r="D92"/>
  <c r="C92"/>
  <c r="B41"/>
  <c r="Q14" i="36"/>
  <c r="L214" i="11"/>
  <c r="O264"/>
  <c r="L278"/>
  <c r="J74" i="8"/>
  <c r="I74"/>
  <c r="C14"/>
  <c r="H44"/>
  <c r="C44"/>
  <c r="J14"/>
  <c r="J34"/>
  <c r="F33"/>
  <c r="H64"/>
  <c r="B92"/>
  <c r="G64"/>
  <c r="D62"/>
  <c r="K34"/>
  <c r="C62"/>
  <c r="H63"/>
  <c r="H62"/>
  <c r="C33"/>
  <c r="C32"/>
  <c r="K74" i="36"/>
  <c r="I98"/>
  <c r="I100" s="1"/>
  <c r="M97"/>
  <c r="H70"/>
  <c r="K70"/>
  <c r="M96"/>
  <c r="H98"/>
  <c r="K77"/>
  <c r="L58"/>
  <c r="L60" s="1"/>
  <c r="L62" s="1"/>
  <c r="M56"/>
  <c r="H58"/>
  <c r="M64"/>
  <c r="J66"/>
  <c r="O201" i="11"/>
  <c r="H75" i="8"/>
  <c r="D63"/>
  <c r="D64"/>
  <c r="K80" i="36"/>
  <c r="M79"/>
  <c r="Q79" s="1"/>
  <c r="M87"/>
  <c r="L84"/>
  <c r="M86"/>
  <c r="H84"/>
  <c r="I84"/>
  <c r="M61"/>
  <c r="F42" i="15"/>
  <c r="J282" i="11"/>
  <c r="H32" i="8"/>
  <c r="H33"/>
  <c r="I32"/>
  <c r="J74" i="36"/>
  <c r="L70"/>
  <c r="M99"/>
  <c r="M72"/>
  <c r="Q72" s="1"/>
  <c r="H74"/>
  <c r="M74" s="1"/>
  <c r="I74"/>
  <c r="M78"/>
  <c r="Q78" s="1"/>
  <c r="J58"/>
  <c r="J60" s="1"/>
  <c r="J62" s="1"/>
  <c r="M59"/>
  <c r="E34" i="8"/>
  <c r="I93"/>
  <c r="I33"/>
  <c r="J33"/>
  <c r="D70"/>
  <c r="I62" i="36"/>
  <c r="M66"/>
  <c r="Q66" s="1"/>
  <c r="M89"/>
  <c r="M91"/>
  <c r="Q91" s="1"/>
  <c r="M75"/>
  <c r="Q75" s="1"/>
  <c r="H77"/>
  <c r="M77" s="1"/>
  <c r="M73"/>
  <c r="Q73" s="1"/>
  <c r="L80"/>
  <c r="M88"/>
  <c r="J84"/>
  <c r="M57"/>
  <c r="M65"/>
  <c r="O273" i="11"/>
  <c r="A1" i="34"/>
  <c r="K32" i="8"/>
  <c r="G34"/>
  <c r="C37"/>
  <c r="Q12" i="36"/>
  <c r="Q11"/>
  <c r="M68"/>
  <c r="Q68" s="1"/>
  <c r="P201" i="11"/>
  <c r="H50" i="3"/>
  <c r="D33" i="8"/>
  <c r="Q15" i="36"/>
  <c r="Q10"/>
  <c r="A1" i="3"/>
  <c r="S1" s="1"/>
  <c r="F46" i="7"/>
  <c r="A1"/>
  <c r="E64" i="8"/>
  <c r="K94"/>
  <c r="D34"/>
  <c r="G32"/>
  <c r="M94" i="36"/>
  <c r="Q94" s="1"/>
  <c r="H80"/>
  <c r="M80" s="1"/>
  <c r="R218" i="11"/>
  <c r="L26" i="3"/>
  <c r="L27" s="1"/>
  <c r="F43" i="7"/>
  <c r="C15" i="8" l="1"/>
  <c r="C16" s="1"/>
  <c r="C20" s="1"/>
  <c r="P263" i="11"/>
  <c r="G28" i="8"/>
  <c r="D100"/>
  <c r="H40"/>
  <c r="I40" s="1"/>
  <c r="C41"/>
  <c r="D101"/>
  <c r="B16"/>
  <c r="J75"/>
  <c r="F45"/>
  <c r="F46" s="1"/>
  <c r="F50" s="1"/>
  <c r="C75"/>
  <c r="B75"/>
  <c r="I15"/>
  <c r="C45"/>
  <c r="C46" s="1"/>
  <c r="C50" s="1"/>
  <c r="E15"/>
  <c r="E16" s="1"/>
  <c r="F75"/>
  <c r="F76" s="1"/>
  <c r="F80" s="1"/>
  <c r="I75"/>
  <c r="E75"/>
  <c r="K75"/>
  <c r="K76" s="1"/>
  <c r="K15"/>
  <c r="D75"/>
  <c r="H15"/>
  <c r="H16" s="1"/>
  <c r="H20" s="1"/>
  <c r="D45"/>
  <c r="D46" s="1"/>
  <c r="G15"/>
  <c r="G75"/>
  <c r="I45"/>
  <c r="I46" s="1"/>
  <c r="I50" s="1"/>
  <c r="G45"/>
  <c r="G46" s="1"/>
  <c r="K45"/>
  <c r="J15"/>
  <c r="J16" s="1"/>
  <c r="B45"/>
  <c r="F15"/>
  <c r="H45"/>
  <c r="H46" s="1"/>
  <c r="J45"/>
  <c r="D15"/>
  <c r="K46"/>
  <c r="F45" i="7"/>
  <c r="Q80" i="36"/>
  <c r="H51" i="3"/>
  <c r="O41"/>
  <c r="O43" s="1"/>
  <c r="O42"/>
  <c r="D37" i="8"/>
  <c r="O263" i="11"/>
  <c r="H50" i="7"/>
  <c r="Q57" i="36"/>
  <c r="Q89"/>
  <c r="H52" i="7"/>
  <c r="Q59" i="36"/>
  <c r="J177" i="11"/>
  <c r="L177" s="1"/>
  <c r="Q74" i="36"/>
  <c r="F42" i="7"/>
  <c r="M84" i="36"/>
  <c r="Q84" s="1"/>
  <c r="Q64"/>
  <c r="I51" i="7"/>
  <c r="M70" i="36"/>
  <c r="Q70" s="1"/>
  <c r="F44" i="7"/>
  <c r="Q77" i="36"/>
  <c r="E70" i="8"/>
  <c r="E46"/>
  <c r="E50" s="1"/>
  <c r="O193" i="11"/>
  <c r="H60" i="36"/>
  <c r="M58"/>
  <c r="M98"/>
  <c r="Q98" s="1"/>
  <c r="H100"/>
  <c r="M100" s="1"/>
  <c r="P50" i="7"/>
  <c r="Q97" i="36"/>
  <c r="P52" i="7"/>
  <c r="Q99" i="36"/>
  <c r="Q61"/>
  <c r="H54" i="7"/>
  <c r="H76" i="8"/>
  <c r="H80" s="1"/>
  <c r="H51" i="7"/>
  <c r="Q56" i="36"/>
  <c r="P49" i="7"/>
  <c r="Q96" i="36"/>
  <c r="D36" i="8"/>
  <c r="P193" i="11"/>
  <c r="Q65" i="36"/>
  <c r="I50" i="7"/>
  <c r="P51" l="1"/>
  <c r="D20" i="8"/>
  <c r="D16"/>
  <c r="J46"/>
  <c r="J50"/>
  <c r="G76"/>
  <c r="G80" s="1"/>
  <c r="I16"/>
  <c r="I20"/>
  <c r="J76"/>
  <c r="J80" s="1"/>
  <c r="H28"/>
  <c r="B46"/>
  <c r="B50" s="1"/>
  <c r="E76"/>
  <c r="E80" s="1"/>
  <c r="F16"/>
  <c r="F20" s="1"/>
  <c r="D50"/>
  <c r="D76"/>
  <c r="D80" s="1"/>
  <c r="G50"/>
  <c r="I76"/>
  <c r="I80" s="1"/>
  <c r="K80"/>
  <c r="C76"/>
  <c r="C80" s="1"/>
  <c r="E101"/>
  <c r="D41"/>
  <c r="E100"/>
  <c r="G16"/>
  <c r="G20" s="1"/>
  <c r="K16"/>
  <c r="K20" s="1"/>
  <c r="B76"/>
  <c r="B80"/>
  <c r="B20"/>
  <c r="K7" s="1"/>
  <c r="K5"/>
  <c r="K6"/>
  <c r="E20"/>
  <c r="J20"/>
  <c r="H50"/>
  <c r="K50"/>
  <c r="P53" i="7"/>
  <c r="P58" s="1"/>
  <c r="F70" i="8"/>
  <c r="J40"/>
  <c r="E36"/>
  <c r="J145" i="15"/>
  <c r="J146" s="1"/>
  <c r="J148" s="1"/>
  <c r="Q58" i="36"/>
  <c r="H62"/>
  <c r="M60"/>
  <c r="Q100"/>
  <c r="D39" i="15"/>
  <c r="M125"/>
  <c r="H49" i="7"/>
  <c r="H53" s="1"/>
  <c r="H55" s="1"/>
  <c r="E37" i="8"/>
  <c r="F101" l="1"/>
  <c r="F100"/>
  <c r="E41"/>
  <c r="I28"/>
  <c r="P147" i="36"/>
  <c r="F37" i="8"/>
  <c r="M145" i="15"/>
  <c r="M146" s="1"/>
  <c r="M148" s="1"/>
  <c r="F36" i="8"/>
  <c r="G70"/>
  <c r="P145" i="15"/>
  <c r="P146" s="1"/>
  <c r="P148" s="1"/>
  <c r="L32" i="11"/>
  <c r="Q60" i="36"/>
  <c r="P140" i="7"/>
  <c r="P141"/>
  <c r="L31" i="11"/>
  <c r="K40" i="8"/>
  <c r="R12" i="24"/>
  <c r="R13"/>
  <c r="R11"/>
  <c r="D125" i="15" s="1"/>
  <c r="M62" i="36"/>
  <c r="J149" i="15" l="1"/>
  <c r="J161" s="1"/>
  <c r="P157" i="36"/>
  <c r="B19" i="8" s="1"/>
  <c r="F79" s="1"/>
  <c r="F41"/>
  <c r="G101"/>
  <c r="J28"/>
  <c r="G100"/>
  <c r="M151" i="15"/>
  <c r="J152"/>
  <c r="O30" i="11"/>
  <c r="P30"/>
  <c r="G37" i="8"/>
  <c r="H70"/>
  <c r="M163" i="15"/>
  <c r="J165"/>
  <c r="C19" i="8"/>
  <c r="P67" i="7"/>
  <c r="F115" i="15"/>
  <c r="J157" i="36"/>
  <c r="P71" i="7"/>
  <c r="Q62" i="36"/>
  <c r="Q53" s="1"/>
  <c r="P160"/>
  <c r="P69" i="7"/>
  <c r="J158" i="36"/>
  <c r="J159"/>
  <c r="D38" i="15"/>
  <c r="G125"/>
  <c r="E93"/>
  <c r="N148" i="36"/>
  <c r="N149"/>
  <c r="G36" i="8"/>
  <c r="H79" l="1"/>
  <c r="G19"/>
  <c r="E49"/>
  <c r="D49"/>
  <c r="J79"/>
  <c r="C79"/>
  <c r="K19"/>
  <c r="G49"/>
  <c r="D79"/>
  <c r="B79"/>
  <c r="N157" i="36"/>
  <c r="F49" i="8"/>
  <c r="H49"/>
  <c r="D19"/>
  <c r="K79"/>
  <c r="J49"/>
  <c r="J19"/>
  <c r="E79"/>
  <c r="F19"/>
  <c r="B49"/>
  <c r="H19"/>
  <c r="E19"/>
  <c r="H100"/>
  <c r="G41"/>
  <c r="K28"/>
  <c r="I19"/>
  <c r="I49"/>
  <c r="C49"/>
  <c r="G79"/>
  <c r="I79"/>
  <c r="K49"/>
  <c r="H101"/>
  <c r="H37"/>
  <c r="I70"/>
  <c r="P291" i="11"/>
  <c r="H36" i="8"/>
  <c r="B21"/>
  <c r="P165" i="36"/>
  <c r="J6" i="7"/>
  <c r="J41" i="3"/>
  <c r="L41" s="1"/>
  <c r="J40"/>
  <c r="L40" s="1"/>
  <c r="E92" i="15"/>
  <c r="O291" i="11"/>
  <c r="L30"/>
  <c r="R30"/>
  <c r="H41" i="8" l="1"/>
  <c r="I101"/>
  <c r="B58"/>
  <c r="I100"/>
  <c r="I36"/>
  <c r="P292" i="11"/>
  <c r="P6"/>
  <c r="O6"/>
  <c r="O292"/>
  <c r="K51" i="8"/>
  <c r="H81"/>
  <c r="F81"/>
  <c r="G51"/>
  <c r="E21"/>
  <c r="E81"/>
  <c r="G81"/>
  <c r="G21"/>
  <c r="C21"/>
  <c r="D51"/>
  <c r="J51"/>
  <c r="I51"/>
  <c r="D21"/>
  <c r="F21"/>
  <c r="K81"/>
  <c r="H21"/>
  <c r="H51"/>
  <c r="C51"/>
  <c r="E51"/>
  <c r="J21"/>
  <c r="J81"/>
  <c r="I81"/>
  <c r="I21"/>
  <c r="B51"/>
  <c r="K21"/>
  <c r="B81"/>
  <c r="D81"/>
  <c r="C81"/>
  <c r="F51"/>
  <c r="B22"/>
  <c r="B35"/>
  <c r="J70"/>
  <c r="I37"/>
  <c r="C58" l="1"/>
  <c r="I41"/>
  <c r="J100"/>
  <c r="J101"/>
  <c r="J37"/>
  <c r="K70"/>
  <c r="B30"/>
  <c r="B31"/>
  <c r="B82"/>
  <c r="B95"/>
  <c r="I82"/>
  <c r="I95"/>
  <c r="C52"/>
  <c r="C65"/>
  <c r="F35"/>
  <c r="F22"/>
  <c r="D65"/>
  <c r="D52"/>
  <c r="E82"/>
  <c r="E95"/>
  <c r="H82"/>
  <c r="H95"/>
  <c r="F52"/>
  <c r="F65"/>
  <c r="K22"/>
  <c r="K35"/>
  <c r="J95"/>
  <c r="J82"/>
  <c r="H52"/>
  <c r="H65"/>
  <c r="D22"/>
  <c r="D35"/>
  <c r="C22"/>
  <c r="C35"/>
  <c r="E22"/>
  <c r="E35"/>
  <c r="K52"/>
  <c r="K65"/>
  <c r="C95"/>
  <c r="C82"/>
  <c r="B52"/>
  <c r="B65"/>
  <c r="J35"/>
  <c r="J22"/>
  <c r="H22"/>
  <c r="H35"/>
  <c r="I52"/>
  <c r="I65"/>
  <c r="G35"/>
  <c r="G22"/>
  <c r="G52"/>
  <c r="G65"/>
  <c r="D82"/>
  <c r="D95"/>
  <c r="I22"/>
  <c r="I35"/>
  <c r="E65"/>
  <c r="E52"/>
  <c r="K82"/>
  <c r="K95"/>
  <c r="J52"/>
  <c r="J65"/>
  <c r="G82"/>
  <c r="G95"/>
  <c r="F82"/>
  <c r="F95"/>
  <c r="J36"/>
  <c r="K100" l="1"/>
  <c r="D58"/>
  <c r="J41"/>
  <c r="K101"/>
  <c r="K36"/>
  <c r="K91"/>
  <c r="G31"/>
  <c r="G30"/>
  <c r="I61"/>
  <c r="E30"/>
  <c r="E31"/>
  <c r="H91"/>
  <c r="F30"/>
  <c r="F31"/>
  <c r="C60"/>
  <c r="C61"/>
  <c r="J61"/>
  <c r="D91"/>
  <c r="J30"/>
  <c r="J31"/>
  <c r="B60"/>
  <c r="B61"/>
  <c r="K61"/>
  <c r="H61"/>
  <c r="D61"/>
  <c r="D60"/>
  <c r="G91"/>
  <c r="E61"/>
  <c r="I30"/>
  <c r="I31"/>
  <c r="G61"/>
  <c r="D30"/>
  <c r="D31"/>
  <c r="F61"/>
  <c r="B91"/>
  <c r="K37"/>
  <c r="F91"/>
  <c r="H31"/>
  <c r="H30"/>
  <c r="C91"/>
  <c r="C30"/>
  <c r="C31"/>
  <c r="J91"/>
  <c r="K31"/>
  <c r="K30"/>
  <c r="E91"/>
  <c r="I91"/>
  <c r="K41" l="1"/>
  <c r="E58"/>
  <c r="B67"/>
  <c r="B66"/>
  <c r="F58" l="1"/>
  <c r="E60"/>
  <c r="C67"/>
  <c r="C66"/>
  <c r="F60" l="1"/>
  <c r="G58"/>
  <c r="D66"/>
  <c r="D67"/>
  <c r="G60" l="1"/>
  <c r="H58"/>
  <c r="E67"/>
  <c r="E66"/>
  <c r="I58" l="1"/>
  <c r="H60"/>
  <c r="F66"/>
  <c r="F67"/>
  <c r="I60" l="1"/>
  <c r="J58"/>
  <c r="G66"/>
  <c r="G67"/>
  <c r="K58" l="1"/>
  <c r="J60"/>
  <c r="H67"/>
  <c r="H66"/>
  <c r="B88" l="1"/>
  <c r="K60"/>
  <c r="I66"/>
  <c r="I67"/>
  <c r="B90" l="1"/>
  <c r="C88"/>
  <c r="J67"/>
  <c r="J66"/>
  <c r="C90" l="1"/>
  <c r="D88"/>
  <c r="K66"/>
  <c r="K67"/>
  <c r="D90" l="1"/>
  <c r="E88"/>
  <c r="B97"/>
  <c r="B96"/>
  <c r="E90" l="1"/>
  <c r="F88"/>
  <c r="C97"/>
  <c r="C96"/>
  <c r="F90" l="1"/>
  <c r="G88"/>
  <c r="D96"/>
  <c r="D97"/>
  <c r="G90" l="1"/>
  <c r="H88"/>
  <c r="E97"/>
  <c r="E96"/>
  <c r="I88" l="1"/>
  <c r="H90"/>
  <c r="F96"/>
  <c r="F97"/>
  <c r="J88" l="1"/>
  <c r="I90"/>
  <c r="G97"/>
  <c r="G96"/>
  <c r="J90" l="1"/>
  <c r="K88"/>
  <c r="H96"/>
  <c r="H97"/>
  <c r="K90" l="1"/>
  <c r="I97"/>
  <c r="I96"/>
  <c r="J96" l="1"/>
  <c r="J97"/>
  <c r="K97" l="1"/>
  <c r="K96"/>
</calcChain>
</file>

<file path=xl/sharedStrings.xml><?xml version="1.0" encoding="utf-8"?>
<sst xmlns="http://schemas.openxmlformats.org/spreadsheetml/2006/main" count="7926" uniqueCount="4118">
  <si>
    <t xml:space="preserve">This project clearly provides optimal utilization the resources of the State of Georgia.   </t>
    <phoneticPr fontId="5" type="noConversion"/>
  </si>
  <si>
    <t>no</t>
    <phoneticPr fontId="5" type="noConversion"/>
  </si>
  <si>
    <t>The Beltline Redevelopment Plan is a land use plan with special zoning designations and is a comprehensive plan.  The plan was adopted 11-05</t>
    <phoneticPr fontId="5" type="noConversion"/>
  </si>
  <si>
    <t>Pass</t>
  </si>
  <si>
    <t>Construction hard costs have been estimated by our contractor, Woda Construction, Inc., using our plans and their construction expertise.  Please note our hard costs exceed DCA's per unit cost limits as we are incorporating sophisticated sustainable technologies.  Our LEED building incorporates a natural gas fuel cell heat &amp; power system (NGCHP) to generate clean, highly efficient power.  We have been awarded a Beltline Grant that more than covers the development cost that exceeds the PUCL.  This tranlates into lower rents that benefits the residents directly.</t>
    <phoneticPr fontId="5" type="noConversion"/>
  </si>
  <si>
    <t>IT Services</t>
  </si>
  <si>
    <t>Curry Wadsworth</t>
    <phoneticPr fontId="5" type="noConversion"/>
  </si>
  <si>
    <t>198 Boulevard</t>
    <phoneticPr fontId="5" type="noConversion"/>
  </si>
  <si>
    <t>Athens</t>
    <phoneticPr fontId="5" type="noConversion"/>
  </si>
  <si>
    <t>President, Parallel Housing Inc.</t>
    <phoneticPr fontId="5" type="noConversion"/>
  </si>
  <si>
    <t>curry@parallelhousing.org</t>
  </si>
  <si>
    <t>Dec. 31,2014</t>
    <phoneticPr fontId="5" type="noConversion"/>
  </si>
  <si>
    <t>Atlanta CDBG funds have been requested.  See Tab 5 b, CDBG documentation</t>
    <phoneticPr fontId="5" type="noConversion"/>
  </si>
  <si>
    <t>Novagratic</t>
    <phoneticPr fontId="5" type="noConversion"/>
  </si>
  <si>
    <t>The appaisal is for the land value only.  It was required for the Beltline Application.   We included it in this LIHTC application for back up information.</t>
    <phoneticPr fontId="5" type="noConversion"/>
  </si>
  <si>
    <t>Harry Walls Environmental Consulting</t>
    <phoneticPr fontId="5" type="noConversion"/>
  </si>
  <si>
    <t>Railroad Tracks, MARTA rail, Murphy Ave.</t>
    <phoneticPr fontId="5" type="noConversion"/>
  </si>
  <si>
    <t>Atlanta Gas Light</t>
    <phoneticPr fontId="5" type="noConversion"/>
  </si>
  <si>
    <t>The Development team was pre qualified under a different project, College Heights.  We are not submitting that project, but per DCA instructions the Development team can use the pre qualification for this project.</t>
    <phoneticPr fontId="5" type="noConversion"/>
  </si>
  <si>
    <t>Parallel Housing Inc.</t>
    <phoneticPr fontId="5" type="noConversion"/>
  </si>
  <si>
    <t>In question E. it is unclear what the "entity" is.  We assume that the referred to entity is Parallel Housing which is a qualified non profit corporation not held by any other corporation.</t>
    <phoneticPr fontId="5" type="noConversion"/>
  </si>
  <si>
    <t xml:space="preserve">Adair Court
Superior Concept Narrative
_____________________________________________________________
Adair Court is a proposed senior housing development along Murphy Avenue in the Adair Park neighborhood on the south side of Atlanta. It has a key location along the MARTA transit system, just 0.4 miles from the West End MARTA station. It is not only within walking distance from the station, but also directly adjacent to Adair Park, as well as many stores, banks, restaurants, and job opportunities.  The development will have 91 senior housing units, 69 with 1 Bedroom and 22 with 2-Bedrooms. It will have an activity room, library, fitness center, computer room, community garden and a covered gazebo/grill area surrounded by a native species landscape.  All units will be equipped with emergency call phones, and the development will have security cameras and monitoring systems inside and outside of the buildings and on the site.
Adair Court will expand the boundaries in sustainable technology used in Affordable/LIHTC developments, as the development team intends to use Natural Gas Fuel Cell technology in this project.  Natural gas fuel cells are an alternative, clean energy technology that converts natural gas to electricity through a combustion free electrochemical process that will result in an estimated reduction of carbon emissions by the project of 100 metric tons annually, greatly reducing Adair Court’s carbon footprint compared to other projects.  The system will provide enough electricity to offset the building’s base power consumption, while the systems emissions are cleaner than the existing outside background air.  The use of Natural Gas Fuel Cells will also generate heat that will be used for hot water production, further electric power consumption and reducing operating costs for the project.  Adair Court would be one of the first, if not the first, LIHTC project in the country to utilize natural gas fuel cells.  It would certainly be the first LIHTC in the Southeast to take advantage of this technology.  
As a result of the innovative approach to bringing this sustainable, clean, and highly efficient alternative energy to the affordable housing arena, Atlanta Gas Light and the Fuel Cell manufacturer have taken a keen interest in the project, and together with Parallel+Woda want to make this the pilot project for the rest of the country.  Atlanta Gas Light has indicated that it would provide the support of their Public Relations Department to create significant national attention and recognition for the project, sustainable affordable housing in Atlanta and Georgia, as well as the DCA and the development team.  Using the LIHTC program in this project will create a new national paradigm in sustainable, affordable housing.   Natural gas will be the most affordable and abundant energy source in the U.S. over the coming decades and the development team feels it is important to get ahead of the curve and implement this technology now.  By awarding Low Income Housing Tax Credits to Adair Court, DCA will be making a bold statement that it intends to continue in its position as a national leader in providing the best product available to the low income people it serves. 
Providing alternative, clean energy is not the only sustainable feature in Adair Court.  The project’s design includes a rainwater harvesting system that will capture 100% of the stormwater on site.  The collected rainwater will provide water for toilet flushing and irrigation that will reduce potable water consumption, reduce operating costs and simultaneously reduce the amount of stormwater that runs off of the site into the City of Atlanta’s storm system. In addition, the project will incorporate low VOC paints and finishes, low E windows, low flow water fixtures, and a variable  refrigerant flow HVAC system for maximum efficiency. 
The combination of the above sustainable features are a significant departure from the existing affordable housing stock in The City of Atlanta.  Parallel+Woda have proven that the team can produce a state of the art project with their award winning, LEED-H Platinum project Sustainable Fellwood Phase III.  But the development team wanted to take the next step in sustainability, which is using the benefits of the systems and design to reduce the actual costs to live in the building to its senior citizen residents.  No other senior housing development in the region will offer the rent reductions directly attributed to the sustainable features that are planned for Adair Court.  This component is what makes Adair Court the Superior Project Concept in Georgia in the 2012 QAP round.   The expected results are as follows:
                                                               RENT DISCOUNT
                                                                                                                    SAVINGS:
                                      50%/60% Max Rents       Actual Rent                     $        %
1 BR  LIHTC 50%                  $ 650                         $ 625                          $ 25       4%
1 BR  LIHTC 60%                  $  780                        $ 705                          $ 75     10%
Market Rate                            $  780                        $ 705                          $ 75     10%
2 BR  LIHTC 50%                  $  780                        $ 750                          $ 30       4%
2 BR  LIHTC 60%                  $  936                        $ 825                          $ 111   12%
Market Rate                            $  936                         $ 825                         $ 111    12%
Adair Court is designed to be a LEED-H Platinum building, and LEED ND.  This will result in lower water and sewer bills, lower electric bills, superior indoor air quality and decreased life-cycle/maintenance costs, and will decrease the burden on the City of Atlanta’s infrastructure. The Adair Court development has full support of the Adair Park Neighborhood Association and the City of Atlanta.
The development team will be a partnership between Parallel Housing, Inc. and The Woda Group, LLC. Parallel’s co-executive directors, Curry Wadsworth and Gregg Bayard, as well as Denis Blackburne, The Woda Group’s Senior VP in GA, have collaborated together on several projects over the past years in Georgia.
Parallel Housing, Inc. is a nonprofit organization from Athens, GA.  Parallel has been an industry leader in instituting sustainability in affordable housing in the State of Georgia, and uses the latest technology in its projects to help reduce costs, improve indoor air quality, and deliver a better product than what has previously built by the industry.
The Woda Group LLC, based out of Westerville, OH, with an office in Savannah, is a national leader in affordable housing development and was recently ranked 5th in the nation by Affordable Housing Finance. Woda has closed over 50 LIHTC deals in the last 3 years, and brings to the project a strong financial and development capacity.  Woda will attract many equity investors and banks interested to invest in this project.
The development team of Parallel+Woda has partnered on three projects in Georgia.    The team has recently finishing a project using the same basic building design, Sustainable Fellwood Phase III in Savannah. This has been a very successful development for Parallel+Woda.   The developers plan to use the same, architect, civil engineer, and landscape engineer on Adair Court project.  Sustainable Fellwood Phase III is the first LEED H Platinum affordable housing development in Georgia.  
Parallel+Woda combine very complementary skills and have been working successfully together for quite some time on projects in Georgia. It is a balanced partnership having strong financials, development expertise and local knowledge. What both organizations share in common is a passion to developing to a high level of sustainability. Once complete, Adair Court will stand at the forefront of modern, sustainable and efficient affordable housing, and will set the industry standard for years to come.
</t>
  </si>
  <si>
    <t xml:space="preserve">Adair Court
Project Narrative
__________________________________________________________________
Adair Court is a 91 unit senior housing development along Murphy Avenue in the Adair Park neighborhood on the south side of Atlanta. The development will have will have 69 1 Bedroom units and 22 2-Bedrooms units.  It will have an activity room, library, fitness center, computer room, community garden and a covered gazebo/grill area surrounded by a native species landscape.  It has a key location along the MARTA transit system, just 0.4 miles from the West End MARTA station. It is not only walking distance from the station, but also directly adjacent to Adair Park, as well as many stores, banks, restaurants and job opportunities. 
The development team will be a partnership between Parallel Housing, Inc. and The Woda Group, LLC.    Parallel Housing, Inc is an Athens, Georgia based non-profit corporation and will be the non-profit sponsor and 51% owner of Adair Court.  Parallel was founded in 2002 by Curry Wadsworth and Gregg Bayard.  During the 10 year history of Parallel Housing, the organization has become a leader in bringing sustainability to the affordable housing industry in Georgia.  Parallel currently holds an ownership position in four LIHTC projects in Georgia. Parallel has gained extensive experience by developing innovative projects that have multi-tiered ownership and financing structures.  Parallel is in good standing with its equity providers and lenders.
Parallel was instrumental in delivering the State of Georgia's first LEED Platinum LIHTC project, and has led the development team in implementing the sustainable components in the Adair Court project.  Adair Court is designed to be a LEED-H Platinum building, and LEED ND.  This will result in lower water, sewer and electric usage, and better indoor air quality and life-cycle/maintenance costs. (Please see the Superior Project Concept Narrative for more of the sustainable components for Adair Court)   The Adair Court development has full support of the Adair Park Neighborhood Association and the City of Atlanta, as demonstrated by the grant of $1.1 million just received from the Atlanta Beltline Affordable Housing Trust Fund. The development team of Parallel+Woda has partnered on three projects in Georgia.  Parallel+Woda has recently completed a project very similar in size, Sustainable Fellwood Phase III in Savannah. This has been a successful development and the same team, architect, civil and landscape engineers will be part of the Adair Court project.     
                                                                                                                                                                                                                                                                                                                                                                                   The Woda Group LLC, based out of Westerville, OH, with an office in Savannah is a National leader in affordable housing development and was recently ranked 5th in the nation by Affordable Housing Finance Magazine. Woda has closed over 50 LIHTC deals in the last 3 years, and brings to the project a strong financial and development capacity.  The Woda Group LLC has over 20 years in the LIHTC industry and has developed over 150 projects.  Woda owns and manages its own properties.  Woda will attract many equity investors and banks interested to finance this project.                                                                                                                                                                                                                                                   Parallel+Woda combine very complementary skills having worked successfully together for quite some time on projects in Georgia. It is a balanced partnership having strong financials, development expertise and local knowledge. What both organizations share in common is a passion to developing to a high level of sustainability and both are very committed to involving the community in the design process.  The Parallel+Woda team is equally committed to making sure the project exceeds W/MBE and Section 3 contracts and employment.  
</t>
  </si>
  <si>
    <t>allen@pimslerhoss.com</t>
  </si>
  <si>
    <t>For Profit</t>
  </si>
  <si>
    <t>Agree</t>
  </si>
  <si>
    <t>Bowen National Research</t>
  </si>
  <si>
    <t>2010-020</t>
  </si>
  <si>
    <t>Baptist Gardens</t>
  </si>
  <si>
    <t>2009-028</t>
  </si>
  <si>
    <t>Columbia at Mechanicsville Crossing</t>
  </si>
  <si>
    <t>United Consulting</t>
  </si>
  <si>
    <t>Contract/Option</t>
  </si>
  <si>
    <t>Georgia Power</t>
  </si>
  <si>
    <t>City of Atlanta</t>
  </si>
  <si>
    <t>Room</t>
  </si>
  <si>
    <t>Gazebo</t>
  </si>
  <si>
    <t>On-site laundry</t>
  </si>
  <si>
    <t>Furnished exercise/fitness center</t>
  </si>
  <si>
    <t>Equipped computer center</t>
  </si>
  <si>
    <t>Fenced community garden</t>
  </si>
  <si>
    <t>Qualified without Conditions</t>
  </si>
  <si>
    <t>Minority concentration</t>
  </si>
  <si>
    <t>Huntington National Bank</t>
  </si>
  <si>
    <t>RBC Capital Markets</t>
  </si>
  <si>
    <t>Parallel Housing/CDBG funds</t>
  </si>
  <si>
    <t>Adair Court LP</t>
  </si>
  <si>
    <t>Bank Charges</t>
  </si>
  <si>
    <t>Statutory Redevelopment Plan</t>
  </si>
  <si>
    <t>QCT</t>
  </si>
  <si>
    <t>Public Benefits Affidavit secure and verifiable documentation</t>
  </si>
  <si>
    <t>Current</t>
  </si>
  <si>
    <t>Rental</t>
  </si>
  <si>
    <t>Percent</t>
  </si>
  <si>
    <t>Diff</t>
  </si>
  <si>
    <t>Rehabs Only:</t>
  </si>
  <si>
    <t>Competitive Round</t>
  </si>
  <si>
    <t>229 Huber Village Blvd., Suite 100</t>
  </si>
  <si>
    <t>Westerville</t>
  </si>
  <si>
    <t>dcooper@wodagroup.com</t>
  </si>
  <si>
    <t>Adair Court</t>
  </si>
  <si>
    <t>No</t>
  </si>
  <si>
    <t>806 Murphy Avenue</t>
  </si>
  <si>
    <t>Yes</t>
  </si>
  <si>
    <t>Amortizing</t>
  </si>
  <si>
    <t>Atlanta Beltline Grant</t>
  </si>
  <si>
    <t>DDA/QCT</t>
  </si>
  <si>
    <t>3+ Story</t>
  </si>
  <si>
    <t>Other taxes/fees</t>
  </si>
  <si>
    <t>Fuel Cell Service Maintenance Contract</t>
  </si>
  <si>
    <t>Atlanta Housing Authority</t>
  </si>
  <si>
    <t>MF</t>
  </si>
  <si>
    <t>All utilities will be paid by the owner and the owner is incorporating fuel cell technology into the development to provide lower operating costs than traditional buildings.</t>
  </si>
  <si>
    <t>Our real estate taxes were determined based on two methodologies 1) a millage rate calculation and 2) market comparables.  Details of these calculations can be found in Tab 8.
Our insurance rate was determined by obtaining a quote for the development from our insurance provider.  Back-up documentation can be found in Tab 8.</t>
  </si>
  <si>
    <t>Fulton County</t>
  </si>
  <si>
    <t>Kasim Reed</t>
  </si>
  <si>
    <t>Mayor</t>
  </si>
  <si>
    <t>55 Trinity Avenue SW</t>
  </si>
  <si>
    <t>Elderly</t>
  </si>
  <si>
    <t>The Woda Group, LLC</t>
  </si>
  <si>
    <t>Parallel Housing, Inc.</t>
  </si>
  <si>
    <t>Fitzgerald Summit</t>
  </si>
  <si>
    <t>Adair Court Limited Partnership</t>
  </si>
  <si>
    <t>David Cooper, Jr.</t>
  </si>
  <si>
    <t>General Counsel/Member</t>
  </si>
  <si>
    <t>Curry Wadsworth</t>
  </si>
  <si>
    <t>curry850@earthlink.net</t>
  </si>
  <si>
    <t>198 Boulevard</t>
  </si>
  <si>
    <t>229 Huber Village Blvd, Suite 100</t>
  </si>
  <si>
    <t>Parallel Adair Court Developer, LLC</t>
  </si>
  <si>
    <t xml:space="preserve">President </t>
  </si>
  <si>
    <t>Woda Construction, Inc.</t>
  </si>
  <si>
    <t>Jeffrey J. Woda</t>
  </si>
  <si>
    <t>President</t>
  </si>
  <si>
    <t>jwoda@wodagroup.com</t>
  </si>
  <si>
    <t>Woda Management &amp; Real Estate, LLC</t>
  </si>
  <si>
    <t>General Counsel</t>
  </si>
  <si>
    <t>Hunter, Maclean, Exley &amp; Dunn, P.C.</t>
  </si>
  <si>
    <t>Edward Henneman, Jr.</t>
  </si>
  <si>
    <t>480 South Fifth Street</t>
  </si>
  <si>
    <t>Partner</t>
  </si>
  <si>
    <t>THenneman@HunterMaclean.com</t>
  </si>
  <si>
    <t>Stemen, Mertens &amp; Stickler</t>
  </si>
  <si>
    <t>Leo Mertens</t>
  </si>
  <si>
    <t>Managing Partner</t>
  </si>
  <si>
    <t>lmertens@lcscpa.com</t>
  </si>
  <si>
    <t>200 East Saint Julian Street</t>
  </si>
  <si>
    <t>Pimsler Hoss Architects, Inc.</t>
  </si>
  <si>
    <t>Allen Hoss</t>
  </si>
  <si>
    <t>1383 Spring Street Northwest</t>
  </si>
  <si>
    <t>&lt;&lt;Enter Pre-App Nbr&gt;&gt;</t>
  </si>
  <si>
    <t>131210075.00,131210112.01,131210024.00,131210060.00,131210060.00,131210061.00,131210084.00,131210080.00,131210062.00,131210039.00,131210042.00,131210041.00,131210076.02,131210066.02,131210066.01,131210076.01,131210064..00,131210070.01,131210053.00,131210022.00,131210026.00,131210057.00,131210037.00,131210036.00,131210044.00,131210063.00,131210058.00,131210038.00,131210043.00,131210046.00,131210056.00,131210049.00,131210055.01,131210048.00,131210055.02,131210067.00,131210065.00</t>
  </si>
  <si>
    <t>Georgia Department of Natural Resources</t>
  </si>
  <si>
    <t>LEED-ND</t>
  </si>
  <si>
    <t xml:space="preserve">Approved Performance Workbook for all project participants </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</si>
  <si>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</si>
  <si>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</si>
  <si>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</si>
  <si>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</si>
  <si>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</si>
  <si>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</si>
  <si>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</si>
  <si>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</si>
  <si>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</si>
  <si>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</si>
  <si>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</si>
  <si>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</si>
  <si>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</si>
  <si>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</si>
  <si>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</si>
  <si>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</si>
  <si>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</si>
  <si>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</si>
  <si>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</si>
  <si>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</si>
  <si>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</si>
  <si>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</si>
  <si>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</si>
  <si>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</si>
  <si>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</si>
  <si>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</si>
  <si>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</si>
  <si>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</si>
  <si>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</si>
  <si>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</si>
  <si>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</si>
  <si>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</si>
  <si>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</si>
  <si>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</si>
  <si>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</si>
  <si>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</si>
  <si>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</si>
  <si>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</si>
  <si>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</si>
  <si>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</si>
  <si>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</si>
  <si>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</si>
  <si>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</si>
  <si>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</si>
  <si>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</si>
  <si>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</si>
  <si>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</si>
  <si>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</si>
  <si>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</si>
  <si>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</si>
  <si>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</si>
  <si>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</si>
  <si>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</si>
  <si>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</si>
  <si>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</si>
  <si>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</si>
  <si>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</si>
  <si>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</si>
  <si>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</si>
  <si>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</si>
  <si>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</si>
  <si>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</si>
  <si>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</si>
  <si>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</si>
  <si>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</si>
  <si>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</si>
  <si>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</si>
  <si>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</si>
  <si>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</si>
  <si>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</si>
  <si>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</si>
  <si>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</si>
  <si>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</si>
  <si>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</si>
  <si>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</si>
  <si>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</si>
  <si>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</si>
  <si>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</si>
  <si>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Percent of Residential Units:</t>
  </si>
  <si>
    <t>Choose one.</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</si>
  <si>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</si>
  <si>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</si>
  <si>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</si>
  <si>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</si>
  <si>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</si>
  <si>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</si>
  <si>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</si>
  <si>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</si>
  <si>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</si>
  <si>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</si>
  <si>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</si>
  <si>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</si>
  <si>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</si>
  <si>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</si>
  <si>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</si>
  <si>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</si>
  <si>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</si>
  <si>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</si>
  <si>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</si>
  <si>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</si>
  <si>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</si>
  <si>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</si>
  <si>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</si>
  <si>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</si>
  <si>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</si>
  <si>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</si>
  <si>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</si>
  <si>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</si>
  <si>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</si>
  <si>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</si>
  <si>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</si>
  <si>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</si>
  <si>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</si>
  <si>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</si>
  <si>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</si>
  <si>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</si>
  <si>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 Check point score value for this criteria</t>
  </si>
  <si>
    <t>Indicate which of the following criteria the project will meet:</t>
  </si>
  <si>
    <t>Projects that have a project-based Section 8 contract but are eligible to opt out of that contract with a one-year notice to tenants. To be eligible to opt out, the Contract must be out of its original term and in a renewal period of 5 years or less.</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</si>
  <si>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</si>
  <si>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</si>
  <si>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</si>
  <si>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</si>
  <si>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</si>
  <si>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</si>
  <si>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</si>
  <si>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</si>
  <si>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</si>
  <si>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</si>
  <si>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</si>
  <si>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</si>
  <si>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</si>
  <si>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</si>
  <si>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t>Is documentation provided (on the Architectural Site Conceptual Development Plan either graphically or in written form) that demonstrates that the site layout conforms to any moratoriums, density, setbacks or other requirements?</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</si>
  <si>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</si>
  <si>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</si>
  <si>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</si>
  <si>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</si>
  <si>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</si>
  <si>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</si>
  <si>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</si>
  <si>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</si>
  <si>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</si>
  <si>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</si>
  <si>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</si>
  <si>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</si>
  <si>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</si>
  <si>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</si>
  <si>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</si>
  <si>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</si>
  <si>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</si>
  <si>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</si>
  <si>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</si>
  <si>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</si>
  <si>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</si>
  <si>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</si>
  <si>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</si>
  <si>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</si>
  <si>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</si>
  <si>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</si>
  <si>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</si>
  <si>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</si>
  <si>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</si>
  <si>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</si>
  <si>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</si>
  <si>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</si>
  <si>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</si>
  <si>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</si>
  <si>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</si>
  <si>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</si>
  <si>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t>Name of CHDO Managing GP:</t>
  </si>
  <si>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</si>
  <si>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</si>
  <si>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</si>
  <si>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</si>
  <si>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</si>
  <si>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</si>
  <si>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</si>
  <si>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</si>
  <si>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</si>
  <si>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</si>
  <si>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</si>
  <si>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</si>
  <si>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</si>
  <si>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</si>
  <si>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</si>
  <si>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</si>
  <si>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</si>
  <si>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</si>
  <si>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</si>
  <si>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</si>
  <si>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</si>
  <si>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</si>
  <si>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</si>
  <si>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</si>
  <si>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t>OPTIMAL UTILIZATION OF RESOURCES</t>
  </si>
  <si>
    <t>Indicate all that apply to the proposed project.</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</si>
  <si>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</si>
  <si>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</si>
  <si>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Community strategy includes local government requirements for greenspace?</t>
  </si>
  <si>
    <t>Local Government engagement and contribution towards redevelopment of the high priority area?</t>
  </si>
  <si>
    <t>Does the project concept clearly show:</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</si>
  <si>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</si>
  <si>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</si>
  <si>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</si>
  <si>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</si>
  <si>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</si>
  <si>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</si>
  <si>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</si>
  <si>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</si>
  <si>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</si>
  <si>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</si>
  <si>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</si>
  <si>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</si>
  <si>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</si>
  <si>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</si>
  <si>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</si>
  <si>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</si>
  <si>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</si>
  <si>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</si>
  <si>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r>
      <t xml:space="preserve">Does the letter include the zoning </t>
    </r>
    <r>
      <rPr>
        <i/>
        <sz val="8"/>
        <rFont val="Arial"/>
        <family val="2"/>
      </rPr>
      <t>and</t>
    </r>
    <r>
      <rPr>
        <sz val="8"/>
        <rFont val="Arial"/>
        <family val="2"/>
      </rPr>
      <t xml:space="preserve"> land use classification of the property?</t>
    </r>
  </si>
  <si>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</si>
  <si>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</si>
  <si>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</si>
  <si>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</si>
  <si>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</si>
  <si>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</si>
  <si>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</si>
  <si>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</si>
  <si>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</si>
  <si>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</si>
  <si>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</si>
  <si>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</si>
  <si>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</si>
  <si>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</si>
  <si>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</si>
  <si>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</si>
  <si>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</si>
  <si>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Other funding sources approved at DCA’s sole discretion</t>
  </si>
  <si>
    <t>Qualifying Sources</t>
  </si>
  <si>
    <t>Point Scale</t>
  </si>
  <si>
    <t>Total Qualifying Sources (TQS):</t>
  </si>
  <si>
    <t>Plans and costs for paving private drive, including associated development costs, if applicable</t>
  </si>
  <si>
    <t>Copy of applicable sections of zoning ordinance for stated classification</t>
  </si>
  <si>
    <t>Total Development Costs (TDC):</t>
  </si>
  <si>
    <t>TQS as a Percent of TDC:</t>
  </si>
  <si>
    <t>Local Government Strategy for Neighborhood Rebuilding</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</si>
  <si>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</si>
  <si>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</si>
  <si>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</si>
  <si>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</si>
  <si>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</si>
  <si>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</si>
  <si>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</si>
  <si>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</si>
  <si>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</si>
  <si>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</si>
  <si>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Legal Opinion regarding nonprofit tax-exempt qualification status (and documentation stating nonprofit's by-laws have not changed since opinion was issued, if opinion was previously obtained)</t>
  </si>
  <si>
    <t>Copy of all documents relating to the different standards of review</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</si>
  <si>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</si>
  <si>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</si>
  <si>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</si>
  <si>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</si>
  <si>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</si>
  <si>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</si>
  <si>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</si>
  <si>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</si>
  <si>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</si>
  <si>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</si>
  <si>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</si>
  <si>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</si>
  <si>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</si>
  <si>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</si>
  <si>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</si>
  <si>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</si>
  <si>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</si>
  <si>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</si>
  <si>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</si>
  <si>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</si>
  <si>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</si>
  <si>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</si>
  <si>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</si>
  <si>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</si>
  <si>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</si>
  <si>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</si>
  <si>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</si>
  <si>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Executed Warranty Deed, legally binding Sales Option Contract, a binding long-term ground lease or option for a binding long-term ground lease</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</si>
  <si>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</si>
  <si>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</si>
  <si>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</si>
  <si>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</si>
  <si>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</si>
  <si>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</si>
  <si>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</si>
  <si>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</si>
  <si>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</si>
  <si>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</si>
  <si>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</si>
  <si>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</si>
  <si>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</si>
  <si>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</si>
  <si>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</si>
  <si>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</si>
  <si>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</si>
  <si>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</si>
  <si>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</si>
  <si>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</si>
  <si>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</si>
  <si>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</si>
  <si>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</si>
  <si>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</si>
  <si>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</si>
  <si>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</si>
  <si>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</si>
  <si>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</si>
  <si>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</si>
  <si>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</si>
  <si>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</si>
  <si>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Copy of the general partnership/joint venture agreement indicating the CHDO’s general partnership interest and its share (or the share of the wholly owned and controlled affiliate) of the Developer Fee</t>
  </si>
  <si>
    <t>CHOICE Neighborhoods</t>
  </si>
  <si>
    <t>FHLB / AHP *</t>
  </si>
  <si>
    <t>Section 8 PBRA</t>
  </si>
  <si>
    <t>McKinney-Vento Homeless</t>
  </si>
  <si>
    <t>HUD SA:</t>
  </si>
  <si>
    <t>Non-MSA</t>
  </si>
  <si>
    <t>MSA</t>
  </si>
  <si>
    <t>Superior Project Concept</t>
  </si>
  <si>
    <t>DCA Operating Expense Waiver Approval</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</si>
  <si>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</si>
  <si>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</si>
  <si>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</si>
  <si>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</si>
  <si>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</si>
  <si>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</si>
  <si>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</si>
  <si>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</si>
  <si>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</si>
  <si>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</si>
  <si>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</si>
  <si>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</si>
  <si>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</si>
  <si>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</si>
  <si>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</si>
  <si>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</si>
  <si>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</si>
  <si>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</si>
  <si>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</si>
  <si>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</si>
  <si>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</si>
  <si>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Project commits to obtaining a sustainable building certification from the program chosen above:</t>
  </si>
  <si>
    <t>Copy of Original Loan Agreement and Amendments</t>
  </si>
  <si>
    <t>Copy of preliminary equity commitment for federal and Georgia historic rehab credits and such equity must be included as part of the project funding sources</t>
  </si>
  <si>
    <t>Bonanza</t>
  </si>
  <si>
    <t>Candler-McAfee</t>
  </si>
  <si>
    <t>Chattanooga Valley</t>
  </si>
  <si>
    <t>Conley</t>
  </si>
  <si>
    <t>Country Club Estates</t>
  </si>
  <si>
    <t>Deenwood</t>
  </si>
  <si>
    <t>Dock Junction</t>
  </si>
  <si>
    <t>Druid Hills</t>
  </si>
  <si>
    <t>East Griffin</t>
  </si>
  <si>
    <t>East Newnan</t>
  </si>
  <si>
    <t>Experiment</t>
  </si>
  <si>
    <t>Fair Oaks</t>
  </si>
  <si>
    <t>Fairview</t>
  </si>
  <si>
    <t>Development Authority of Jasper County</t>
  </si>
  <si>
    <t>Lead-based paint?</t>
  </si>
  <si>
    <t>MF Units</t>
  </si>
  <si>
    <t>SF Det'd Units</t>
  </si>
  <si>
    <t>MH Units</t>
  </si>
  <si>
    <t>Duplex Units</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</si>
  <si>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</si>
  <si>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</si>
  <si>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</si>
  <si>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</si>
  <si>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</si>
  <si>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</si>
  <si>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</si>
  <si>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</si>
  <si>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</si>
  <si>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</si>
  <si>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</si>
  <si>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</si>
  <si>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</si>
  <si>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</si>
  <si>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</si>
  <si>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</si>
  <si>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</si>
  <si>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</si>
  <si>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</si>
  <si>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</si>
  <si>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</si>
  <si>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</si>
  <si>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</si>
  <si>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</si>
  <si>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</si>
  <si>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</si>
  <si>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</si>
  <si>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</si>
  <si>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</si>
  <si>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</si>
  <si>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</si>
  <si>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</si>
  <si>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</si>
  <si>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</si>
  <si>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</si>
  <si>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</si>
  <si>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</si>
  <si>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</si>
  <si>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</si>
  <si>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</si>
  <si>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</si>
  <si>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</si>
  <si>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A discussion of potential sources of funding for the plan;</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</si>
  <si>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</si>
  <si>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</si>
  <si>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</si>
  <si>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</si>
  <si>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</si>
  <si>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</si>
  <si>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</si>
  <si>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</si>
  <si>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</si>
  <si>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</si>
  <si>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</si>
  <si>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</si>
  <si>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</si>
  <si>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</si>
  <si>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</si>
  <si>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</si>
  <si>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</si>
  <si>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</si>
  <si>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</si>
  <si>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</si>
  <si>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</si>
  <si>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</si>
  <si>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</si>
  <si>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</si>
  <si>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</si>
  <si>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</si>
  <si>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</si>
  <si>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</si>
  <si>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</si>
  <si>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</si>
  <si>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</si>
  <si>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</si>
  <si>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</si>
  <si>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</si>
  <si>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</si>
  <si>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</si>
  <si>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Public Water/Sewer Requirement Waiver Approval</t>
  </si>
  <si>
    <t>IRS Forms 8609 for first and final years of credit period</t>
  </si>
  <si>
    <t>Expiring Section 8</t>
  </si>
  <si>
    <t>GOVERNMENT FUNDING SOURCES  (check all that apply)</t>
  </si>
  <si>
    <t>Lyons</t>
  </si>
  <si>
    <t>Cleveland</t>
  </si>
  <si>
    <t>Boundary and Topographical Survey</t>
  </si>
  <si>
    <t>Toombs County Development Authority</t>
  </si>
  <si>
    <t>Stone Mountain</t>
  </si>
  <si>
    <t>Treutlen County Development Authority</t>
  </si>
  <si>
    <t>Troup County Development  Authority</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</si>
  <si>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</si>
  <si>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</si>
  <si>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</si>
  <si>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</si>
  <si>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</si>
  <si>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</si>
  <si>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</si>
  <si>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</si>
  <si>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</si>
  <si>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</si>
  <si>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</si>
  <si>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</si>
  <si>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</si>
  <si>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</si>
  <si>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</si>
  <si>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</si>
  <si>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</si>
  <si>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</si>
  <si>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</si>
  <si>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</si>
  <si>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</si>
  <si>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</si>
  <si>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</si>
  <si>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</si>
  <si>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</si>
  <si>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</si>
  <si>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</si>
  <si>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</si>
  <si>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</si>
  <si>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</si>
  <si>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</si>
  <si>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</si>
  <si>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</si>
  <si>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</si>
  <si>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</si>
  <si>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</si>
  <si>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</si>
  <si>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</si>
  <si>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clearly delineated target area that includes the proposed project site</t>
  </si>
  <si>
    <t>Detailed policy goals (one of which must be the rehabilitation or production of affordable rental  housing)</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</si>
  <si>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</si>
  <si>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</si>
  <si>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</si>
  <si>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</si>
  <si>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</si>
  <si>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</si>
  <si>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</si>
  <si>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</si>
  <si>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</si>
  <si>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</si>
  <si>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</si>
  <si>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</si>
  <si>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</si>
  <si>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</si>
  <si>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</si>
  <si>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</si>
  <si>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</si>
  <si>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</si>
  <si>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</si>
  <si>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</si>
  <si>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</si>
  <si>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</si>
  <si>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</si>
  <si>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</si>
  <si>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</si>
  <si>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</si>
  <si>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</si>
  <si>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</si>
  <si>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</si>
  <si>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</si>
  <si>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</si>
  <si>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</si>
  <si>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</si>
  <si>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</si>
  <si>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</si>
  <si>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</si>
  <si>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</si>
  <si>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</si>
  <si>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</si>
  <si>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</si>
  <si>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</si>
  <si>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</si>
  <si>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</si>
  <si>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</si>
  <si>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</si>
  <si>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Copy of Original Security Instruments</t>
  </si>
  <si>
    <t>per unit per year</t>
  </si>
  <si>
    <t>per unit per month</t>
  </si>
  <si>
    <t>% of TDC</t>
  </si>
  <si>
    <t>Belvedere Park</t>
  </si>
  <si>
    <t>Blacksville</t>
  </si>
  <si>
    <t>Cobb</t>
  </si>
  <si>
    <t>Coffee</t>
  </si>
  <si>
    <t>Coffee Co.</t>
  </si>
  <si>
    <t>Colquitt</t>
  </si>
  <si>
    <t>Clinch Co.</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</si>
  <si>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</si>
  <si>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</si>
  <si>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</si>
  <si>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</si>
  <si>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</si>
  <si>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</si>
  <si>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</si>
  <si>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</si>
  <si>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</si>
  <si>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</si>
  <si>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</si>
  <si>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</si>
  <si>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</si>
  <si>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</si>
  <si>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</si>
  <si>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</si>
  <si>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</si>
  <si>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</si>
  <si>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</si>
  <si>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</si>
  <si>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</si>
  <si>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</si>
  <si>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</si>
  <si>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</si>
  <si>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</si>
  <si>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</si>
  <si>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</si>
  <si>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</si>
  <si>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</si>
  <si>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</si>
  <si>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</si>
  <si>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</si>
  <si>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</si>
  <si>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</si>
  <si>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</si>
  <si>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</si>
  <si>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</si>
  <si>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</si>
  <si>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</si>
  <si>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</si>
  <si>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</si>
  <si>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</si>
  <si>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</si>
  <si>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</si>
  <si>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</si>
  <si>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</si>
  <si>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</si>
  <si>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</si>
  <si>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</si>
  <si>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</si>
  <si>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</si>
  <si>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</si>
  <si>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</si>
  <si>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</si>
  <si>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</si>
  <si>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</si>
  <si>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</si>
  <si>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</si>
  <si>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</si>
  <si>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</si>
  <si>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</si>
  <si>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</si>
  <si>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</si>
  <si>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Powder Springs Downtown Development Authority</t>
  </si>
  <si>
    <t>Rossville</t>
  </si>
  <si>
    <t>&lt; Select applicable GICH &gt;</t>
  </si>
  <si>
    <t>&lt; Select Signature Community &gt;</t>
  </si>
  <si>
    <t>Housing Authority of the City of Summerville</t>
  </si>
  <si>
    <t>Market Feasibility</t>
  </si>
  <si>
    <t>Physical Needs Assessment (See Rehabilitation Guide in Architectural Manual)</t>
  </si>
  <si>
    <t>City of Fayetteville Downtown Development Authority</t>
  </si>
  <si>
    <t>Bloomingdale</t>
  </si>
  <si>
    <t>Norman Park</t>
  </si>
  <si>
    <t>A copy of the HOPE VI or Choice Neighborhoods Revitalization Grant Assistance Award (form HUD-1044) identifying funded PHA and amount</t>
  </si>
  <si>
    <t>A certification letter from the Executive Director of the identified PHA</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</si>
  <si>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</si>
  <si>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</si>
  <si>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</si>
  <si>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</si>
  <si>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</si>
  <si>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</si>
  <si>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</si>
  <si>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</si>
  <si>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</si>
  <si>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</si>
  <si>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</si>
  <si>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</si>
  <si>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</si>
  <si>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</si>
  <si>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</si>
  <si>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</si>
  <si>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</si>
  <si>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</si>
  <si>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</si>
  <si>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</si>
  <si>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</si>
  <si>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</si>
  <si>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</si>
  <si>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</si>
  <si>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</si>
  <si>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</si>
  <si>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</si>
  <si>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</si>
  <si>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</si>
  <si>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</si>
  <si>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</si>
  <si>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</si>
  <si>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</si>
  <si>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</si>
  <si>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</si>
  <si>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</si>
  <si>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</si>
  <si>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</si>
  <si>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</si>
  <si>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Effective Rate</t>
  </si>
  <si>
    <t>Year</t>
  </si>
  <si>
    <t>Clay</t>
  </si>
  <si>
    <t>Clay Co.</t>
  </si>
  <si>
    <t>Clayton</t>
  </si>
  <si>
    <t>Clinch</t>
  </si>
  <si>
    <t>SCORING DOCUMENTATION</t>
  </si>
  <si>
    <t>Desirable/Undesirable Form</t>
  </si>
  <si>
    <t xml:space="preserve">Legal opinion that project will meet for the 15 year compliance period requirement specified for the Preservation Set-Aside </t>
  </si>
  <si>
    <t>Estoppel Letter from Lender containing certifications required relating to assumption of existing debt</t>
  </si>
  <si>
    <t>Letter of availability and capacity from local Natural Gas provider</t>
  </si>
  <si>
    <t>Tax-Exempt Bond Issuers</t>
  </si>
  <si>
    <t>Abbeville</t>
  </si>
  <si>
    <t>A. Missing / incomplete documents:</t>
  </si>
  <si>
    <t>Is there a pre-application Qualification of Project Participants Determination from DCA included in this application for this criterion?</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</si>
  <si>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</si>
  <si>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</si>
  <si>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</si>
  <si>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</si>
  <si>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</si>
  <si>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</si>
  <si>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</si>
  <si>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</si>
  <si>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</si>
  <si>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</si>
  <si>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</si>
  <si>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</si>
  <si>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</si>
  <si>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</si>
  <si>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</si>
  <si>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</si>
  <si>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</si>
  <si>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</si>
  <si>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</si>
  <si>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</si>
  <si>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</si>
  <si>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</si>
  <si>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</si>
  <si>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</si>
  <si>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</si>
  <si>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</si>
  <si>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</si>
  <si>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</si>
  <si>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Crisp-Dooly Joint Development Authority</t>
  </si>
  <si>
    <t>Name</t>
  </si>
  <si>
    <t>Unit Area</t>
  </si>
  <si>
    <t>Glennville Development Authority</t>
  </si>
  <si>
    <t>Hull</t>
  </si>
  <si>
    <t>Glennville Downtown Development Authority</t>
  </si>
  <si>
    <t>Ideal</t>
  </si>
  <si>
    <t>Urban Redevelopment Agency of the City of Kennesaw, Georgia</t>
  </si>
  <si>
    <t>Suwanee</t>
  </si>
  <si>
    <t>1 BR 50% Units</t>
  </si>
  <si>
    <t>2 BR 50% Units</t>
  </si>
  <si>
    <t>3 BR 50% Units</t>
  </si>
  <si>
    <t>A copy of the HUD approved Revitalization Plan.</t>
  </si>
  <si>
    <t>DCA Final Inspection Fee (Tax Credit only - no HOME)</t>
  </si>
  <si>
    <t>Water&amp;Swr</t>
  </si>
  <si>
    <t>($/mth/unit)</t>
  </si>
  <si>
    <t>Jonesboro</t>
  </si>
  <si>
    <t>Housing Authority of Clayton County</t>
  </si>
  <si>
    <t>Junction City</t>
  </si>
  <si>
    <t>3 BR 30% Units</t>
  </si>
  <si>
    <t>4 BR 30% Units</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</si>
  <si>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</si>
  <si>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</si>
  <si>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</si>
  <si>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</si>
  <si>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</si>
  <si>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</si>
  <si>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</si>
  <si>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</si>
  <si>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</si>
  <si>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</si>
  <si>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</si>
  <si>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</si>
  <si>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</si>
  <si>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</si>
  <si>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</si>
  <si>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</si>
  <si>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</si>
  <si>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</si>
  <si>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</si>
  <si>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</si>
  <si>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</si>
  <si>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</si>
  <si>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</si>
  <si>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</si>
  <si>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</si>
  <si>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</si>
  <si>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</si>
  <si>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</si>
  <si>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</si>
  <si>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</si>
  <si>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</si>
  <si>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</si>
  <si>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</si>
  <si>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</si>
  <si>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</si>
  <si>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</si>
  <si>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</si>
  <si>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</si>
  <si>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</si>
  <si>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</si>
  <si>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</si>
  <si>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</si>
  <si>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</si>
  <si>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Letter of availability and capacity from proposed local Electricity provider</t>
  </si>
  <si>
    <t>Details regarding community input and public hearings held prior to the adoption of the plan</t>
  </si>
  <si>
    <t>Sylvania</t>
  </si>
  <si>
    <t>Valley Partnership Joint Development Authority</t>
  </si>
  <si>
    <t>Sylvester</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</si>
  <si>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</si>
  <si>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</si>
  <si>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</si>
  <si>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</si>
  <si>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</si>
  <si>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</si>
  <si>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</si>
  <si>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</si>
  <si>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</si>
  <si>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</si>
  <si>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</si>
  <si>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</si>
  <si>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</si>
  <si>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</si>
  <si>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</si>
  <si>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</si>
  <si>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</si>
  <si>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</si>
  <si>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</si>
  <si>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</si>
  <si>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</si>
  <si>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</si>
  <si>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</si>
  <si>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</si>
  <si>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</si>
  <si>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</si>
  <si>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</si>
  <si>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</si>
  <si>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</si>
  <si>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</si>
  <si>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</si>
  <si>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</si>
  <si>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</si>
  <si>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</si>
  <si>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</si>
  <si>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</si>
  <si>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</si>
  <si>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</si>
  <si>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</si>
  <si>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</si>
  <si>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</si>
  <si>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</si>
  <si>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</si>
  <si>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Amenities?</t>
  </si>
  <si>
    <t>(no rent to be charged)</t>
  </si>
  <si>
    <t>Architectural Standards?</t>
  </si>
  <si>
    <t>Local Govt commitment for funding of paved roads, and timetable if applicable</t>
  </si>
  <si>
    <t>(Years)</t>
  </si>
  <si>
    <t>Federal Grant</t>
  </si>
  <si>
    <t>4 BR 50% Units</t>
  </si>
  <si>
    <t>1 BR 30% Units</t>
  </si>
  <si>
    <t>2 BR 30% Units</t>
  </si>
  <si>
    <t>Total Permanent Financing:</t>
  </si>
  <si>
    <t>Total Development Costs from Development Budget:</t>
  </si>
  <si>
    <t>Self</t>
  </si>
  <si>
    <t>Score</t>
  </si>
  <si>
    <t>Occupancy History</t>
  </si>
  <si>
    <t>Site Map of Property</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</si>
  <si>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</si>
  <si>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</si>
  <si>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</si>
  <si>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</si>
  <si>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</si>
  <si>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</si>
  <si>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</si>
  <si>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</si>
  <si>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</si>
  <si>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</si>
  <si>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</si>
  <si>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</si>
  <si>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</si>
  <si>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</si>
  <si>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</si>
  <si>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</si>
  <si>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</si>
  <si>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</si>
  <si>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</si>
  <si>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</si>
  <si>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</si>
  <si>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</si>
  <si>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</si>
  <si>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</si>
  <si>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</si>
  <si>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</si>
  <si>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</si>
  <si>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</si>
  <si>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</si>
  <si>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</si>
  <si>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</si>
  <si>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</si>
  <si>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</si>
  <si>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</si>
  <si>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</si>
  <si>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</si>
  <si>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</si>
  <si>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</si>
  <si>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</si>
  <si>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</si>
  <si>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</si>
  <si>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</si>
  <si>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</si>
  <si>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</si>
  <si>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</si>
  <si>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</si>
  <si>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</si>
  <si>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Payment &amp; Performance Bond Waiver</t>
  </si>
  <si>
    <t>Development Authority of Elbert County, Elberton and Bowman</t>
  </si>
  <si>
    <t>Centralhatchee</t>
  </si>
  <si>
    <t>Development Authority of Emanuel County</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</si>
  <si>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</si>
  <si>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</si>
  <si>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</si>
  <si>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</si>
  <si>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</si>
  <si>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</si>
  <si>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</si>
  <si>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</si>
  <si>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</si>
  <si>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</si>
  <si>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</si>
  <si>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</si>
  <si>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</si>
  <si>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</si>
  <si>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</si>
  <si>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</si>
  <si>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</si>
  <si>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</si>
  <si>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</si>
  <si>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</si>
  <si>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</si>
  <si>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</si>
  <si>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</si>
  <si>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</si>
  <si>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</si>
  <si>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</si>
  <si>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</si>
  <si>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</si>
  <si>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</si>
  <si>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</si>
  <si>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</si>
  <si>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</si>
  <si>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</si>
  <si>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</si>
  <si>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</si>
  <si>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</si>
  <si>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</si>
  <si>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</si>
  <si>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</si>
  <si>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</si>
  <si>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</si>
  <si>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</si>
  <si>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</si>
  <si>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</si>
  <si>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</si>
  <si>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</si>
  <si>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</si>
  <si>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</si>
  <si>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</si>
  <si>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</si>
  <si>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</si>
  <si>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</si>
  <si>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</si>
  <si>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Total Low Income Residential Square Footage</t>
  </si>
  <si>
    <t>Total Residential Square Footage</t>
  </si>
  <si>
    <t>Gibson Housing Authority</t>
  </si>
  <si>
    <t>Does this application meet the Architectural Standards contained in the Application Manual for quality and longevity?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</si>
  <si>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</si>
  <si>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</si>
  <si>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</si>
  <si>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</si>
  <si>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</si>
  <si>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</si>
  <si>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</si>
  <si>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</si>
  <si>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</si>
  <si>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</si>
  <si>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</si>
  <si>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</si>
  <si>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</si>
  <si>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</si>
  <si>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</si>
  <si>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</si>
  <si>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</si>
  <si>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</si>
  <si>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</si>
  <si>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</si>
  <si>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1) Individual interviews</t>
  </si>
  <si>
    <t>Efficiency Rehab Mkt Units</t>
  </si>
  <si>
    <t>1 BR Rehab Mkt Units</t>
  </si>
  <si>
    <t>2 BR Rehab Mkt Units</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</si>
  <si>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</si>
  <si>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</si>
  <si>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</si>
  <si>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</si>
  <si>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</si>
  <si>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</si>
  <si>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</si>
  <si>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</si>
  <si>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</si>
  <si>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</si>
  <si>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</si>
  <si>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</si>
  <si>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</si>
  <si>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</si>
  <si>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</si>
  <si>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</si>
  <si>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</si>
  <si>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</si>
  <si>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</si>
  <si>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Housing Authority of the City of Ringgold</t>
  </si>
  <si>
    <t>Nashville</t>
  </si>
  <si>
    <t>Hogansville Development Authority</t>
  </si>
  <si>
    <t>Jenkinsburg</t>
  </si>
  <si>
    <t>XV.</t>
  </si>
  <si>
    <t>Proof of ownership or executed easement of a private drive, if applicable</t>
  </si>
  <si>
    <t>Date all buildings will complete 15 yr Compliance pd</t>
  </si>
  <si>
    <t>Development Authority of Effingham County</t>
  </si>
  <si>
    <t>Centerville</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</si>
  <si>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</si>
  <si>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</si>
  <si>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</si>
  <si>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</si>
  <si>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</si>
  <si>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</si>
  <si>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</si>
  <si>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</si>
  <si>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</si>
  <si>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</si>
  <si>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</si>
  <si>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</si>
  <si>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</si>
  <si>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</si>
  <si>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</si>
  <si>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</si>
  <si>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</si>
  <si>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</si>
  <si>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</si>
  <si>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City of Commerce Downtown Development Authority</t>
  </si>
  <si>
    <t>Bishop</t>
  </si>
  <si>
    <t>Fitzgerald/Ben Hill County Development Authority</t>
  </si>
  <si>
    <t>Hoboken</t>
  </si>
  <si>
    <t>Pulaski County-Hawkinsville Development Authority</t>
  </si>
  <si>
    <t>Roswell</t>
  </si>
  <si>
    <t>Unit Square Footage:</t>
  </si>
  <si>
    <t>Development Authority of Palmetto</t>
  </si>
  <si>
    <t>Cordele</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</si>
  <si>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</si>
  <si>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</si>
  <si>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</si>
  <si>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</si>
  <si>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</si>
  <si>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</si>
  <si>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</si>
  <si>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</si>
  <si>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</si>
  <si>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</si>
  <si>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</si>
  <si>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</si>
  <si>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</si>
  <si>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</si>
  <si>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</si>
  <si>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</si>
  <si>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</si>
  <si>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</si>
  <si>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</si>
  <si>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</si>
  <si>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</si>
  <si>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</si>
  <si>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</si>
  <si>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</si>
  <si>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</si>
  <si>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</si>
  <si>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</si>
  <si>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</si>
  <si>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</si>
  <si>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</si>
  <si>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</si>
  <si>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</si>
  <si>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</si>
  <si>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</si>
  <si>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</si>
  <si>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</si>
  <si>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</si>
  <si>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</si>
  <si>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</si>
  <si>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</si>
  <si>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</si>
  <si>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</si>
  <si>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</si>
  <si>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</si>
  <si>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</si>
  <si>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</si>
  <si>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</si>
  <si>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</si>
  <si>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</si>
  <si>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</si>
  <si>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</si>
  <si>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</si>
  <si>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</si>
  <si>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</si>
  <si>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</si>
  <si>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</si>
  <si>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</si>
  <si>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</si>
  <si>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</si>
  <si>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</si>
  <si>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</si>
  <si>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</si>
  <si>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</si>
  <si>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Turner</t>
  </si>
  <si>
    <t>Turner Co.</t>
  </si>
  <si>
    <t>Twiggs</t>
  </si>
  <si>
    <t>Union</t>
  </si>
  <si>
    <t>Union Co.</t>
  </si>
  <si>
    <t>Downtown Athens Development Authority</t>
  </si>
  <si>
    <t>Catoosa County Development Authority</t>
  </si>
  <si>
    <t>Baconton</t>
  </si>
  <si>
    <t>Cedartown Development Authority</t>
  </si>
  <si>
    <t>Bainbridge</t>
  </si>
  <si>
    <t>Cedartown Downtown Development Authority</t>
  </si>
  <si>
    <t>Organization</t>
  </si>
  <si>
    <t>Grady County Joint Development Authority</t>
  </si>
  <si>
    <t>D.</t>
  </si>
  <si>
    <t>a.</t>
  </si>
  <si>
    <t>b.</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</si>
  <si>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</si>
  <si>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</si>
  <si>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</si>
  <si>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</si>
  <si>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</si>
  <si>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</si>
  <si>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</si>
  <si>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</si>
  <si>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</si>
  <si>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</si>
  <si>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</si>
  <si>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</si>
  <si>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</si>
  <si>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</si>
  <si>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</si>
  <si>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</si>
  <si>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</si>
  <si>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</si>
  <si>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</si>
  <si>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</si>
  <si>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</si>
  <si>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</si>
  <si>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</si>
  <si>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</si>
  <si>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</si>
  <si>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</si>
  <si>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</si>
  <si>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</si>
  <si>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</si>
  <si>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</si>
  <si>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</si>
  <si>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</si>
  <si>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</si>
  <si>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</si>
  <si>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</si>
  <si>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</si>
  <si>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</si>
  <si>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</si>
  <si>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</si>
  <si>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</si>
  <si>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</si>
  <si>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</si>
  <si>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</si>
  <si>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</si>
  <si>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</si>
  <si>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</si>
  <si>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</si>
  <si>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</si>
  <si>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</si>
  <si>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LIMITED PARTNERS (PROPOSED OR ACTUAL)</t>
  </si>
  <si>
    <t>Developer's Overhead</t>
  </si>
  <si>
    <t>Consultant's Fee</t>
  </si>
  <si>
    <t>Developer's Fee</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</si>
  <si>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</si>
  <si>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</si>
  <si>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</si>
  <si>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</si>
  <si>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</si>
  <si>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</si>
  <si>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</si>
  <si>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</si>
  <si>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</si>
  <si>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</si>
  <si>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</si>
  <si>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</si>
  <si>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</si>
  <si>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</si>
  <si>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</si>
  <si>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</si>
  <si>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</si>
  <si>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</si>
  <si>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</si>
  <si>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</si>
  <si>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</si>
  <si>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</si>
  <si>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</si>
  <si>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</si>
  <si>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</si>
  <si>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</si>
  <si>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</si>
  <si>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</si>
  <si>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</si>
  <si>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</si>
  <si>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</si>
  <si>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</si>
  <si>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</si>
  <si>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</si>
  <si>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</si>
  <si>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</si>
  <si>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</si>
  <si>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</si>
  <si>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</si>
  <si>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</si>
  <si>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</si>
  <si>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</si>
  <si>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</si>
  <si>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</si>
  <si>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</si>
  <si>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</si>
  <si>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</si>
  <si>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</si>
  <si>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</si>
  <si>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</si>
  <si>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</si>
  <si>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</si>
  <si>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</si>
  <si>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</si>
  <si>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</si>
  <si>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</si>
  <si>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</si>
  <si>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</si>
  <si>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</si>
  <si>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</si>
  <si>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Housing Authority City of Sylvester, GA</t>
  </si>
  <si>
    <t>North High Shoals</t>
  </si>
  <si>
    <t>&lt;&lt;Select Fuel &gt;&gt;</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</si>
  <si>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</si>
  <si>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</si>
  <si>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</si>
  <si>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</si>
  <si>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</si>
  <si>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</si>
  <si>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</si>
  <si>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</si>
  <si>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</si>
  <si>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</si>
  <si>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</si>
  <si>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</si>
  <si>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</si>
  <si>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</si>
  <si>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</si>
  <si>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</si>
  <si>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</si>
  <si>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</si>
  <si>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</si>
  <si>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</si>
  <si>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</si>
  <si>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</si>
  <si>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</si>
  <si>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</si>
  <si>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</si>
  <si>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</si>
  <si>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</si>
  <si>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</si>
  <si>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</si>
  <si>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</si>
  <si>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</si>
  <si>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</si>
  <si>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</si>
  <si>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</si>
  <si>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</si>
  <si>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</si>
  <si>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</si>
  <si>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</si>
  <si>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</si>
  <si>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</si>
  <si>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</si>
  <si>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</si>
  <si>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</si>
  <si>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</si>
  <si>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</si>
  <si>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Is there a Tenant Ownership Plan?</t>
  </si>
  <si>
    <t>Cedartown</t>
  </si>
  <si>
    <t>No Identity of Interest</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</si>
  <si>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</si>
  <si>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</si>
  <si>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</si>
  <si>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</si>
  <si>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</si>
  <si>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</si>
  <si>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</si>
  <si>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V&amp;C Loss Rate (Non-PBRA/USDA)</t>
  </si>
  <si>
    <t>V&amp;C Loss Rate (PBRA/USDA)</t>
  </si>
  <si>
    <t>Port Wentworth Downtown Development Authority</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</si>
  <si>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</si>
  <si>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</si>
  <si>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</si>
  <si>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</si>
  <si>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</si>
  <si>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</si>
  <si>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</si>
  <si>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</si>
  <si>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</si>
  <si>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</si>
  <si>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</si>
  <si>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</si>
  <si>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</si>
  <si>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</si>
  <si>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</si>
  <si>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</si>
  <si>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</si>
  <si>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</si>
  <si>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</si>
  <si>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</si>
  <si>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</si>
  <si>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</si>
  <si>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</si>
  <si>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</si>
  <si>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</si>
  <si>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</si>
  <si>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</si>
  <si>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</si>
  <si>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</si>
  <si>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</si>
  <si>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</si>
  <si>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</si>
  <si>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</si>
  <si>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</si>
  <si>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</si>
  <si>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</si>
  <si>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</si>
  <si>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</si>
  <si>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</si>
  <si>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</si>
  <si>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</si>
  <si>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</si>
  <si>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</si>
  <si>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</si>
  <si>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</si>
  <si>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</si>
  <si>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</si>
  <si>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</si>
  <si>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</si>
  <si>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</si>
  <si>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</si>
  <si>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</si>
  <si>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</si>
  <si>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</si>
  <si>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</si>
  <si>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Ty Ty</t>
  </si>
  <si>
    <t>Tybee Island</t>
  </si>
  <si>
    <t>Tyrone</t>
  </si>
  <si>
    <t>Unadilla</t>
  </si>
  <si>
    <t>Union City</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</si>
  <si>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</si>
  <si>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</si>
  <si>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</si>
  <si>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</si>
  <si>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</si>
  <si>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</si>
  <si>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</si>
  <si>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Warm Springs</t>
  </si>
  <si>
    <t>Warner Robins</t>
  </si>
  <si>
    <t>Warrenton</t>
  </si>
  <si>
    <t>Candler County, GA</t>
  </si>
  <si>
    <t>Original GHFA/DCA Project Number</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</si>
  <si>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</si>
  <si>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</si>
  <si>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</si>
  <si>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</si>
  <si>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</si>
  <si>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</si>
  <si>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</si>
  <si>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</si>
  <si>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</si>
  <si>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</si>
  <si>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</si>
  <si>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</si>
  <si>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</si>
  <si>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</si>
  <si>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</si>
  <si>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</si>
  <si>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</si>
  <si>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</si>
  <si>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</si>
  <si>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</si>
  <si>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</si>
  <si>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</si>
  <si>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</si>
  <si>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</si>
  <si>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</si>
  <si>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</si>
  <si>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</si>
  <si>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</si>
  <si>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</si>
  <si>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</si>
  <si>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</si>
  <si>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</si>
  <si>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</si>
  <si>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</si>
  <si>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</si>
  <si>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</si>
  <si>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</si>
  <si>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</si>
  <si>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</si>
  <si>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</si>
  <si>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</si>
  <si>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</si>
  <si>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</si>
  <si>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</si>
  <si>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</si>
  <si>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</si>
  <si>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</si>
  <si>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</si>
  <si>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</si>
  <si>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</si>
  <si>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Retention pond/Fountain</t>
  </si>
  <si>
    <t>Equipped playground</t>
  </si>
  <si>
    <t>Operating Deficit Reserve</t>
  </si>
  <si>
    <t>Mths of Year 1 Debt Service (out of 12)</t>
  </si>
  <si>
    <t>Mths of Year 1 O&amp;M Expense (out of 12)</t>
  </si>
  <si>
    <t>Final Inspection Fee</t>
  </si>
  <si>
    <t>Per Project</t>
  </si>
  <si>
    <t>Proforma Operating Forecast</t>
  </si>
  <si>
    <t>Revenue Growth Rate</t>
  </si>
  <si>
    <t>Per Operation Year</t>
  </si>
  <si>
    <t>Swimming Pool</t>
  </si>
  <si>
    <t>Complete built-in fire sprinkler system</t>
  </si>
  <si>
    <t>Refrigerator (Energy Star rated)</t>
  </si>
  <si>
    <t>Roopville</t>
  </si>
  <si>
    <t>&lt;&lt;Select&gt;&gt;</t>
  </si>
  <si>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</si>
  <si>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</si>
  <si>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</si>
  <si>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</si>
  <si>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</si>
  <si>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</si>
  <si>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</si>
  <si>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</si>
  <si>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</si>
  <si>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</si>
  <si>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</si>
  <si>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</si>
  <si>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</si>
  <si>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</si>
  <si>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</si>
  <si>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</si>
  <si>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</si>
  <si>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</si>
  <si>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</si>
  <si>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</si>
  <si>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</si>
  <si>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</si>
  <si>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</si>
  <si>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</si>
  <si>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</si>
  <si>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</si>
  <si>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</si>
  <si>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</si>
  <si>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</si>
  <si>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</si>
  <si>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</si>
  <si>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</si>
  <si>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</si>
  <si>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</si>
  <si>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</si>
  <si>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</si>
  <si>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</si>
  <si>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</si>
  <si>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</si>
  <si>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</si>
  <si>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</si>
  <si>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</si>
  <si>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</si>
  <si>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</si>
  <si>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Hawkinsville City</t>
  </si>
  <si>
    <t>Hazlehurst City</t>
  </si>
  <si>
    <t>Union Point</t>
  </si>
  <si>
    <t>Uvalda</t>
  </si>
  <si>
    <t>Valdosta</t>
  </si>
  <si>
    <t>Varnell</t>
  </si>
  <si>
    <t>Vernonburg</t>
  </si>
  <si>
    <t>Vidalia</t>
  </si>
  <si>
    <t>Vidette</t>
  </si>
  <si>
    <t>Vienna</t>
  </si>
  <si>
    <t>Villa Rica</t>
  </si>
  <si>
    <t>Waco</t>
  </si>
  <si>
    <t>Wadley</t>
  </si>
  <si>
    <t>Waleska</t>
  </si>
  <si>
    <t>Walnut Grove</t>
  </si>
  <si>
    <t>Walthourville</t>
  </si>
  <si>
    <t>Holly Springs City</t>
  </si>
  <si>
    <t>Homeland City</t>
  </si>
  <si>
    <t>Homer Town</t>
  </si>
  <si>
    <t>Homerville City</t>
  </si>
  <si>
    <t>Hoschton City</t>
  </si>
  <si>
    <t>Subsequent Allocation</t>
  </si>
  <si>
    <t>Jackson City</t>
  </si>
  <si>
    <t>Jacksonville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</si>
  <si>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</si>
  <si>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</si>
  <si>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</si>
  <si>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</si>
  <si>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</si>
  <si>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</si>
  <si>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</si>
  <si>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</si>
  <si>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</si>
  <si>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</si>
  <si>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</si>
  <si>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</si>
  <si>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</si>
  <si>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</si>
  <si>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</si>
  <si>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</si>
  <si>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</si>
  <si>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</si>
  <si>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</si>
  <si>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</si>
  <si>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</si>
  <si>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</si>
  <si>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</si>
  <si>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</si>
  <si>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</si>
  <si>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</si>
  <si>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</si>
  <si>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</si>
  <si>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</si>
  <si>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</si>
  <si>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</si>
  <si>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</si>
  <si>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</si>
  <si>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</si>
  <si>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</si>
  <si>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</si>
  <si>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</si>
  <si>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</si>
  <si>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</si>
  <si>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</si>
  <si>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</si>
  <si>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</si>
  <si>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</si>
  <si>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</si>
  <si>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</si>
  <si>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</si>
  <si>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</si>
  <si>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</si>
  <si>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</si>
  <si>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</si>
  <si>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</si>
  <si>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</si>
  <si>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</si>
  <si>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</si>
  <si>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Chickamauga City</t>
  </si>
  <si>
    <t>Clarkesville City</t>
  </si>
  <si>
    <t>Covered pavilion with picnic/barbecue facilities</t>
  </si>
  <si>
    <t>Furnished Children’s Activity center</t>
  </si>
  <si>
    <t>Furnished Library</t>
  </si>
  <si>
    <t>Equipped Computer Center</t>
  </si>
  <si>
    <t>Furnished sitting areas by elevators</t>
  </si>
  <si>
    <t>College Park City</t>
  </si>
  <si>
    <t>Collins City</t>
  </si>
  <si>
    <t>Colquitt City</t>
  </si>
  <si>
    <t>Comer City</t>
  </si>
  <si>
    <t>Commerce City</t>
  </si>
  <si>
    <r>
      <t xml:space="preserve">Total Development Cost </t>
    </r>
    <r>
      <rPr>
        <sz val="8"/>
        <color indexed="10"/>
        <rFont val="Arial Narrow"/>
        <family val="2"/>
      </rPr>
      <t>(TDC or PUCL; explain in Comments if TDC &gt; PUCL)</t>
    </r>
  </si>
  <si>
    <t>Covington City</t>
  </si>
  <si>
    <t>Crawford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</si>
  <si>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</si>
  <si>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</si>
  <si>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</si>
  <si>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</si>
  <si>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</si>
  <si>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</si>
  <si>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</si>
  <si>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</si>
  <si>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</si>
  <si>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</si>
  <si>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</si>
  <si>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</si>
  <si>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</si>
  <si>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</si>
  <si>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</si>
  <si>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</si>
  <si>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</si>
  <si>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</si>
  <si>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</si>
  <si>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</si>
  <si>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</si>
  <si>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</si>
  <si>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</si>
  <si>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</si>
  <si>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</si>
  <si>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</si>
  <si>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</si>
  <si>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</si>
  <si>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</si>
  <si>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</si>
  <si>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</si>
  <si>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</si>
  <si>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</si>
  <si>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</si>
  <si>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</si>
  <si>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</si>
  <si>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</si>
  <si>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</si>
  <si>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</si>
  <si>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</si>
  <si>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</si>
  <si>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</si>
  <si>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</si>
  <si>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</si>
  <si>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</si>
  <si>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</si>
  <si>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</si>
  <si>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</si>
  <si>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</si>
  <si>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</si>
  <si>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</si>
  <si>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Probationary Participation?</t>
  </si>
  <si>
    <t>Helen City</t>
  </si>
  <si>
    <t>Helena City</t>
  </si>
  <si>
    <t>Hephzibah City</t>
  </si>
  <si>
    <t>Hiawassee City</t>
  </si>
  <si>
    <t>Higgston Town</t>
  </si>
  <si>
    <t>Hiltonia City</t>
  </si>
  <si>
    <t>Hinesville City</t>
  </si>
  <si>
    <t>Hiram City</t>
  </si>
  <si>
    <t>Hoboken City</t>
  </si>
  <si>
    <t>Hogansville City</t>
  </si>
  <si>
    <t>Aldora Town</t>
  </si>
  <si>
    <t>Allenhurst City</t>
  </si>
  <si>
    <t>Allentown City</t>
  </si>
  <si>
    <t>Alma City</t>
  </si>
  <si>
    <t>Alpharetta City</t>
  </si>
  <si>
    <t>Alston Town</t>
  </si>
  <si>
    <t>Hull Town</t>
  </si>
  <si>
    <t>Ideal City</t>
  </si>
  <si>
    <t>Ila City</t>
  </si>
  <si>
    <t>Irwinton City</t>
  </si>
  <si>
    <t>Ivey City</t>
  </si>
  <si>
    <t>Aragon City</t>
  </si>
  <si>
    <t>Arcade Town</t>
  </si>
  <si>
    <t>Argyle Town</t>
  </si>
  <si>
    <t>Jakin City</t>
  </si>
  <si>
    <t>Jasper City</t>
  </si>
  <si>
    <t>Jefferson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</si>
  <si>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</si>
  <si>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</si>
  <si>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</si>
  <si>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</si>
  <si>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</si>
  <si>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</si>
  <si>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</si>
  <si>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</si>
  <si>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</si>
  <si>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</si>
  <si>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</si>
  <si>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</si>
  <si>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</si>
  <si>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</si>
  <si>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</si>
  <si>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</si>
  <si>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</si>
  <si>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</si>
  <si>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</si>
  <si>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</si>
  <si>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</si>
  <si>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</si>
  <si>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</si>
  <si>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</si>
  <si>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</si>
  <si>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</si>
  <si>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</si>
  <si>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</si>
  <si>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</si>
  <si>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</si>
  <si>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</si>
  <si>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</si>
  <si>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</si>
  <si>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</si>
  <si>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</si>
  <si>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</si>
  <si>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</si>
  <si>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</si>
  <si>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</si>
  <si>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</si>
  <si>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</si>
  <si>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</si>
  <si>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</si>
  <si>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</si>
  <si>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</si>
  <si>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</si>
  <si>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</si>
  <si>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</si>
  <si>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</si>
  <si>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</si>
  <si>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</si>
  <si>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</si>
  <si>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</si>
  <si>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</si>
  <si>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</si>
  <si>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</si>
  <si>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</si>
  <si>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</si>
  <si>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</si>
  <si>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</si>
  <si>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</si>
  <si>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</si>
  <si>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</si>
  <si>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</si>
  <si>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</si>
  <si>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</si>
  <si>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</si>
  <si>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</si>
  <si>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</si>
  <si>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</si>
  <si>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</si>
  <si>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</si>
  <si>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Development Authority of Clayton County</t>
  </si>
  <si>
    <t>Clarkston City</t>
  </si>
  <si>
    <t>Claxton City</t>
  </si>
  <si>
    <t>Clayton City</t>
  </si>
  <si>
    <t>Clermont Town</t>
  </si>
  <si>
    <t>Cleveland City</t>
  </si>
  <si>
    <t>Climax City</t>
  </si>
  <si>
    <t>Cobbtown City</t>
  </si>
  <si>
    <t>Cochran City</t>
  </si>
  <si>
    <t>Cohutta City</t>
  </si>
  <si>
    <t>Colbert City</t>
  </si>
  <si>
    <t>Development Authority of Conyers, Georgia</t>
  </si>
  <si>
    <t>Carlton</t>
  </si>
  <si>
    <t>Housing Authority of the City of Doerun, Georgia</t>
  </si>
  <si>
    <t>Concord City</t>
  </si>
  <si>
    <t>Conyers City</t>
  </si>
  <si>
    <t>Coolidge City</t>
  </si>
  <si>
    <t>Cordele City</t>
  </si>
  <si>
    <t>Cornelia City</t>
  </si>
  <si>
    <t>Housing Authority of the City of East Point, Georgia</t>
  </si>
  <si>
    <t>Crawfordville City</t>
  </si>
  <si>
    <t>Culloden City</t>
  </si>
  <si>
    <t>Cumming City</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</si>
  <si>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</si>
  <si>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</si>
  <si>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</si>
  <si>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</si>
  <si>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</si>
  <si>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</si>
  <si>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</si>
  <si>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</si>
  <si>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</si>
  <si>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</si>
  <si>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</si>
  <si>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</si>
  <si>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</si>
  <si>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</si>
  <si>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</si>
  <si>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</si>
  <si>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</si>
  <si>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</si>
  <si>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</si>
  <si>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</si>
  <si>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</si>
  <si>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</si>
  <si>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</si>
  <si>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</si>
  <si>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</si>
  <si>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</si>
  <si>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</si>
  <si>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</si>
  <si>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</si>
  <si>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</si>
  <si>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</si>
  <si>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</si>
  <si>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</si>
  <si>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</si>
  <si>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</si>
  <si>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</si>
  <si>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</si>
  <si>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</si>
  <si>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</si>
  <si>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</si>
  <si>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</si>
  <si>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</si>
  <si>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</si>
  <si>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</si>
  <si>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Communities of Opportunity</t>
  </si>
  <si>
    <t>Camden County</t>
  </si>
  <si>
    <t>LIHTC Fee (both 4% and 9%)</t>
  </si>
  <si>
    <t>Abbeville City</t>
  </si>
  <si>
    <t>Acworth City</t>
  </si>
  <si>
    <t>Adairsville City</t>
  </si>
  <si>
    <t>Adel City</t>
  </si>
  <si>
    <t>Adrian City</t>
  </si>
  <si>
    <t>Ailey City</t>
  </si>
  <si>
    <t>Alamo Town</t>
  </si>
  <si>
    <t>Alapaha Town</t>
  </si>
  <si>
    <t>Albany City</t>
  </si>
  <si>
    <t>Housing Authority of the City of Cave Spring</t>
  </si>
  <si>
    <t>Louisville</t>
  </si>
  <si>
    <t>Alto Town</t>
  </si>
  <si>
    <t>Ambrose City</t>
  </si>
  <si>
    <t>Americus City</t>
  </si>
  <si>
    <t>Andersonville City</t>
  </si>
  <si>
    <t>Arabi Town</t>
  </si>
  <si>
    <t>Housing Authority of the City of Cornelia, Ga.</t>
  </si>
  <si>
    <t>Arlington City</t>
  </si>
  <si>
    <t>Arnoldsville City</t>
  </si>
  <si>
    <t>Ashburn City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</si>
  <si>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</si>
  <si>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</si>
  <si>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</si>
  <si>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</si>
  <si>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</si>
  <si>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</si>
  <si>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</si>
  <si>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</si>
  <si>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</si>
  <si>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</si>
  <si>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</si>
  <si>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</si>
  <si>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</si>
  <si>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</si>
  <si>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</si>
  <si>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</si>
  <si>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</si>
  <si>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</si>
  <si>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</si>
  <si>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</si>
  <si>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</si>
  <si>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</si>
  <si>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</si>
  <si>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</si>
  <si>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</si>
  <si>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</si>
  <si>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</si>
  <si>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</si>
  <si>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</si>
  <si>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</si>
  <si>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</si>
  <si>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</si>
  <si>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</si>
  <si>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</si>
  <si>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</si>
  <si>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</si>
  <si>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</si>
  <si>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</si>
  <si>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</si>
  <si>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</si>
  <si>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</si>
  <si>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</si>
  <si>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</si>
  <si>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</si>
  <si>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</si>
  <si>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</si>
  <si>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</si>
  <si>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</si>
  <si>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</si>
  <si>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</si>
  <si>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In addition, Applicant understands:</t>
  </si>
  <si>
    <t>•</t>
  </si>
  <si>
    <t>Camilla</t>
  </si>
  <si>
    <t>Development Authority of Cobb County</t>
  </si>
  <si>
    <t>Canon</t>
  </si>
  <si>
    <t>Development Authority of Columbia County</t>
  </si>
  <si>
    <t>Canton</t>
  </si>
  <si>
    <t>Development Authority of Columbus, Georgia</t>
  </si>
  <si>
    <t>Carl</t>
  </si>
  <si>
    <t>Housing Authority of the City of Dublin, Georgia</t>
  </si>
  <si>
    <t>Housing Authority of the City of Eastman</t>
  </si>
  <si>
    <t>Manassas</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</si>
  <si>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</si>
  <si>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</si>
  <si>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</si>
  <si>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</si>
  <si>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</si>
  <si>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</si>
  <si>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</si>
  <si>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</si>
  <si>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</si>
  <si>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</si>
  <si>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</si>
  <si>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</si>
  <si>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</si>
  <si>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</si>
  <si>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</si>
  <si>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</si>
  <si>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</si>
  <si>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</si>
  <si>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</si>
  <si>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</si>
  <si>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</si>
  <si>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</si>
  <si>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</si>
  <si>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</si>
  <si>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</si>
  <si>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</si>
  <si>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</si>
  <si>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</si>
  <si>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</si>
  <si>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</si>
  <si>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</si>
  <si>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</si>
  <si>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</si>
  <si>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</si>
  <si>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</si>
  <si>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</si>
  <si>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</si>
  <si>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</si>
  <si>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</si>
  <si>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</si>
  <si>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</si>
  <si>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</si>
  <si>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</si>
  <si>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Master Planned Community Documentation</t>
  </si>
  <si>
    <t>Remerton/Valdosta</t>
  </si>
  <si>
    <t>N/a</t>
  </si>
  <si>
    <t>Housing Authority of the City of Colquitt</t>
  </si>
  <si>
    <t>Lookout Mountain</t>
  </si>
  <si>
    <t>Dishwasher (Energy Star rated)</t>
  </si>
  <si>
    <t>Effective Interest Rate</t>
  </si>
  <si>
    <t>Lovejoy</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</si>
  <si>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</si>
  <si>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</si>
  <si>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</si>
  <si>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</si>
  <si>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</si>
  <si>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</si>
  <si>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</si>
  <si>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</si>
  <si>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</si>
  <si>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</si>
  <si>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</si>
  <si>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</si>
  <si>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</si>
  <si>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</si>
  <si>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</si>
  <si>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</si>
  <si>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</si>
  <si>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</si>
  <si>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</si>
  <si>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</si>
  <si>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</si>
  <si>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</si>
  <si>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</si>
  <si>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</si>
  <si>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</si>
  <si>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</si>
  <si>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</si>
  <si>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</si>
  <si>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</si>
  <si>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</si>
  <si>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</si>
  <si>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</si>
  <si>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</si>
  <si>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</si>
  <si>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</si>
  <si>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</si>
  <si>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</si>
  <si>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</si>
  <si>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</si>
  <si>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</si>
  <si>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</si>
  <si>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</si>
  <si>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</si>
  <si>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</si>
  <si>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</si>
  <si>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Tenant Household Data Forms</t>
  </si>
  <si>
    <t>Relocation Displacement Spreadsheet</t>
  </si>
  <si>
    <t>Temporary Relocation Cost Estimate</t>
  </si>
  <si>
    <t>General Info Notice for Occupants at Time of App / Proof of Delivery</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</si>
  <si>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</si>
  <si>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</si>
  <si>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</si>
  <si>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</si>
  <si>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</si>
  <si>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</si>
  <si>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</si>
  <si>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</si>
  <si>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</si>
  <si>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</si>
  <si>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</si>
  <si>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</si>
  <si>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</si>
  <si>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</si>
  <si>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</si>
  <si>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</si>
  <si>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</si>
  <si>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</si>
  <si>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</si>
  <si>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</si>
  <si>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</si>
  <si>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</si>
  <si>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</si>
  <si>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</si>
  <si>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</si>
  <si>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</si>
  <si>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</si>
  <si>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</si>
  <si>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</si>
  <si>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</si>
  <si>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</si>
  <si>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</si>
  <si>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</si>
  <si>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</si>
  <si>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</si>
  <si>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</si>
  <si>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</si>
  <si>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</si>
  <si>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</si>
  <si>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</si>
  <si>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</si>
  <si>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</si>
  <si>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</si>
  <si>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</si>
  <si>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</si>
  <si>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</si>
  <si>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</si>
  <si>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</si>
  <si>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</si>
  <si>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Replacement housing factor (RHF) funds documents</t>
  </si>
  <si>
    <t>Total Basis Method Tax Credit Calculation</t>
  </si>
  <si>
    <t>Total Gap Method Tax Credit Calculation</t>
  </si>
  <si>
    <t>TAX CREDIT CALCULATION - BASIS METHOD</t>
  </si>
  <si>
    <t>Professional Services</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</si>
  <si>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</si>
  <si>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</si>
  <si>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</si>
  <si>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</si>
  <si>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</si>
  <si>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</si>
  <si>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</si>
  <si>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</si>
  <si>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</si>
  <si>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</si>
  <si>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</si>
  <si>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</si>
  <si>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</si>
  <si>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</si>
  <si>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</si>
  <si>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</si>
  <si>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</si>
  <si>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</si>
  <si>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</si>
  <si>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</si>
  <si>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</si>
  <si>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</si>
  <si>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</si>
  <si>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</si>
  <si>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</si>
  <si>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</si>
  <si>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</si>
  <si>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</si>
  <si>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</si>
  <si>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</si>
  <si>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</si>
  <si>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</si>
  <si>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</si>
  <si>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</si>
  <si>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</si>
  <si>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</si>
  <si>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</si>
  <si>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</si>
  <si>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</si>
  <si>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</si>
  <si>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</si>
  <si>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</si>
  <si>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</si>
  <si>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</si>
  <si>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</si>
  <si>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</si>
  <si>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</si>
  <si>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</si>
  <si>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</si>
  <si>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</si>
  <si>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</si>
  <si>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</si>
  <si>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</si>
  <si>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</si>
  <si>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</si>
  <si>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</si>
  <si>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</si>
  <si>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</si>
  <si>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</si>
  <si>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</si>
  <si>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</si>
  <si>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</si>
  <si>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</si>
  <si>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</si>
  <si>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</si>
  <si>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</si>
  <si>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</si>
  <si>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</si>
  <si>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</si>
  <si>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</si>
  <si>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</si>
  <si>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</si>
  <si>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</si>
  <si>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</si>
  <si>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</si>
  <si>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</si>
  <si>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</si>
  <si>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</si>
  <si>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</si>
  <si>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</si>
  <si>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</si>
  <si>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</si>
  <si>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</si>
  <si>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</si>
  <si>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</si>
  <si>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</si>
  <si>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</si>
  <si>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</si>
  <si>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</si>
  <si>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Development Authority of Heard County</t>
  </si>
  <si>
    <t>Clermont</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</si>
  <si>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</si>
  <si>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</si>
  <si>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</si>
  <si>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</si>
  <si>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</si>
  <si>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</si>
  <si>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</si>
  <si>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</si>
  <si>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</si>
  <si>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</si>
  <si>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</si>
  <si>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</si>
  <si>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</si>
  <si>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</si>
  <si>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</si>
  <si>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</si>
  <si>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</si>
  <si>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</si>
  <si>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</si>
  <si>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</si>
  <si>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</si>
  <si>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</si>
  <si>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</si>
  <si>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</si>
  <si>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</si>
  <si>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</si>
  <si>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</si>
  <si>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</si>
  <si>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</si>
  <si>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</si>
  <si>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</si>
  <si>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</si>
  <si>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</si>
  <si>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</si>
  <si>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</si>
  <si>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</si>
  <si>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</si>
  <si>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</si>
  <si>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</si>
  <si>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</si>
  <si>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</si>
  <si>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</si>
  <si>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</si>
  <si>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</si>
  <si>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</si>
  <si>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</si>
  <si>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NOI</t>
  </si>
  <si>
    <t>DDF</t>
  </si>
  <si>
    <t>b. If No, was a DCA Architectural Standards waiver granted?</t>
  </si>
  <si>
    <t>Divide Equity Gap by 10</t>
  </si>
  <si>
    <t xml:space="preserve">Annual Equity Required </t>
  </si>
  <si>
    <t>Federal</t>
  </si>
  <si>
    <t>=</t>
  </si>
  <si>
    <t>On-Site Staff Costs</t>
  </si>
  <si>
    <t>On-Site Office Costs</t>
  </si>
  <si>
    <t>3 BR 60% SF</t>
  </si>
  <si>
    <t>4 BR 60% SF</t>
  </si>
  <si>
    <t>1 BR 50% SF</t>
  </si>
  <si>
    <t>Maintenance Expenses</t>
  </si>
  <si>
    <t>Interest</t>
  </si>
  <si>
    <t>Term</t>
  </si>
  <si>
    <t>Type</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</si>
  <si>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</si>
  <si>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</si>
  <si>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</si>
  <si>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</si>
  <si>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</si>
  <si>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</si>
  <si>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</si>
  <si>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</si>
  <si>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</si>
  <si>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</si>
  <si>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</si>
  <si>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</si>
  <si>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</si>
  <si>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</si>
  <si>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</si>
  <si>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</si>
  <si>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</si>
  <si>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</si>
  <si>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</si>
  <si>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</si>
  <si>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</si>
  <si>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</si>
  <si>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</si>
  <si>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</si>
  <si>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</si>
  <si>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</si>
  <si>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</si>
  <si>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</si>
  <si>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</si>
  <si>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</si>
  <si>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</si>
  <si>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</si>
  <si>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</si>
  <si>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</si>
  <si>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</si>
  <si>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</si>
  <si>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</si>
  <si>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</si>
  <si>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</si>
  <si>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</si>
  <si>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</si>
  <si>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</si>
  <si>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</si>
  <si>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</si>
  <si>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</si>
  <si>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Towns County, GA</t>
  </si>
  <si>
    <t>Treutlen County, GA</t>
  </si>
  <si>
    <t>Troup County, GA</t>
  </si>
  <si>
    <t>Turner County, GA</t>
  </si>
  <si>
    <t>Development Authority of Houston County</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</si>
  <si>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</si>
  <si>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</si>
  <si>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</si>
  <si>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</si>
  <si>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</si>
  <si>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</si>
  <si>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</si>
  <si>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</si>
  <si>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</si>
  <si>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</si>
  <si>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</si>
  <si>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</si>
  <si>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</si>
  <si>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</si>
  <si>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</si>
  <si>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</si>
  <si>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</si>
  <si>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</si>
  <si>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</si>
  <si>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</si>
  <si>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</si>
  <si>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</si>
  <si>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</si>
  <si>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</si>
  <si>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</si>
  <si>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</si>
  <si>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</si>
  <si>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</si>
  <si>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</si>
  <si>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</si>
  <si>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</si>
  <si>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</si>
  <si>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</si>
  <si>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</si>
  <si>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</si>
  <si>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</si>
  <si>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</si>
  <si>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</si>
  <si>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</si>
  <si>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</si>
  <si>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</si>
  <si>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</si>
  <si>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</si>
  <si>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</si>
  <si>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</si>
  <si>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</si>
  <si>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Front Loading washers in Community Laundry</t>
  </si>
  <si>
    <t>Atlanta</t>
  </si>
  <si>
    <t>Fulton</t>
  </si>
  <si>
    <t>County Name</t>
  </si>
  <si>
    <t>Utility Region</t>
  </si>
  <si>
    <t>(Non)Metropolitan SA</t>
  </si>
  <si>
    <t>Appling</t>
  </si>
  <si>
    <t>South</t>
  </si>
  <si>
    <t>Appling Co.</t>
  </si>
  <si>
    <t>2 BR 50% SF</t>
  </si>
  <si>
    <t>3 BR 50% SF</t>
  </si>
  <si>
    <t>4 BR 50% SF</t>
  </si>
  <si>
    <t>Funston</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</si>
  <si>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</si>
  <si>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</si>
  <si>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</si>
  <si>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</si>
  <si>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</si>
  <si>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</si>
  <si>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</si>
  <si>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</si>
  <si>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</si>
  <si>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</si>
  <si>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</si>
  <si>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</si>
  <si>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</si>
  <si>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</si>
  <si>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</si>
  <si>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</si>
  <si>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</si>
  <si>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</si>
  <si>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</si>
  <si>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</si>
  <si>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</si>
  <si>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</si>
  <si>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</si>
  <si>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</si>
  <si>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</si>
  <si>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</si>
  <si>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</si>
  <si>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</si>
  <si>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</si>
  <si>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</si>
  <si>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</si>
  <si>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</si>
  <si>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</si>
  <si>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</si>
  <si>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</si>
  <si>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North Decatur</t>
  </si>
  <si>
    <t>North Druid Hills</t>
  </si>
  <si>
    <t>Furnished Children’s Activity center (must have furnishings, TV, educational media and recreational equipment)</t>
  </si>
  <si>
    <t>Asset Mgmt</t>
  </si>
  <si>
    <t>Cash Flow</t>
  </si>
  <si>
    <t>Tift County, GA</t>
  </si>
  <si>
    <t>Toombs County, GA</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</si>
  <si>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</si>
  <si>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</si>
  <si>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</si>
  <si>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</si>
  <si>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</si>
  <si>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</si>
  <si>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</si>
  <si>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</si>
  <si>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</si>
  <si>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</si>
  <si>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</si>
  <si>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</si>
  <si>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</si>
  <si>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</si>
  <si>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</si>
  <si>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</si>
  <si>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</si>
  <si>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</si>
  <si>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</si>
  <si>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</si>
  <si>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</si>
  <si>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</si>
  <si>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</si>
  <si>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</si>
  <si>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</si>
  <si>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</si>
  <si>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</si>
  <si>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</si>
  <si>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</si>
  <si>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</si>
  <si>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</si>
  <si>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</si>
  <si>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</si>
  <si>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</si>
  <si>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</si>
  <si>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</si>
  <si>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</si>
  <si>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</si>
  <si>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</si>
  <si>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</si>
  <si>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</si>
  <si>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</si>
  <si>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</si>
  <si>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</si>
  <si>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</si>
  <si>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</si>
  <si>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</si>
  <si>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</si>
  <si>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</si>
  <si>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</si>
  <si>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</si>
  <si>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</si>
  <si>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</si>
  <si>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</si>
  <si>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</si>
  <si>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</si>
  <si>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</si>
  <si>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</si>
  <si>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</si>
  <si>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</si>
  <si>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Downtown Development Authority of the Mayor and City Council of Americus</t>
  </si>
  <si>
    <t>Hamilton</t>
  </si>
  <si>
    <t>Downtown Development Authority of Toccoa</t>
  </si>
  <si>
    <t>Hampton</t>
  </si>
  <si>
    <t>Rehab of bldgs w/out existing brick/stone over 40% (&amp; ineligible for historic credits) will replace &amp; upgrade existing exterior finish surfaces on all wall faces w/brick or product w/40 yr warranty</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</si>
  <si>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</si>
  <si>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</si>
  <si>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</si>
  <si>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</si>
  <si>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</si>
  <si>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</si>
  <si>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</si>
  <si>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</si>
  <si>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</si>
  <si>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</si>
  <si>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</si>
  <si>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</si>
  <si>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</si>
  <si>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</si>
  <si>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</si>
  <si>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</si>
  <si>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</si>
  <si>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</si>
  <si>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</si>
  <si>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</si>
  <si>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</si>
  <si>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</si>
  <si>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</si>
  <si>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</si>
  <si>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</si>
  <si>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</si>
  <si>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</si>
  <si>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</si>
  <si>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</si>
  <si>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</si>
  <si>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</si>
  <si>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</si>
  <si>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</si>
  <si>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</si>
  <si>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</si>
  <si>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</si>
  <si>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</si>
  <si>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</si>
  <si>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</si>
  <si>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</si>
  <si>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</si>
  <si>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</si>
  <si>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</si>
  <si>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</si>
  <si>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</si>
  <si>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</si>
  <si>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</si>
  <si>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</si>
  <si>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</si>
  <si>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</si>
  <si>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</si>
  <si>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</si>
  <si>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</si>
  <si>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</si>
  <si>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</si>
  <si>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If Yes, indicate DCA Project Nbr and Project Name of that phase:</t>
  </si>
  <si>
    <t>Was the community originally designed as one development with different phases?</t>
  </si>
  <si>
    <t>Panthersville</t>
  </si>
  <si>
    <t>Phillipsburg</t>
  </si>
  <si>
    <t>Putney</t>
  </si>
  <si>
    <t>Raoul</t>
  </si>
  <si>
    <t>Redan</t>
  </si>
  <si>
    <t>Reed Creek</t>
  </si>
  <si>
    <t>Robins AFB</t>
  </si>
  <si>
    <t>St. Simons</t>
  </si>
  <si>
    <t>Salem</t>
  </si>
  <si>
    <t>Scottdale</t>
  </si>
  <si>
    <t>Shannon</t>
  </si>
  <si>
    <t>Skidaway Island</t>
  </si>
  <si>
    <t>Sunnyside</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</si>
  <si>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</si>
  <si>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</si>
  <si>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</si>
  <si>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</si>
  <si>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</si>
  <si>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</si>
  <si>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</si>
  <si>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</si>
  <si>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</si>
  <si>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</si>
  <si>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</si>
  <si>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</si>
  <si>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</si>
  <si>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</si>
  <si>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</si>
  <si>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</si>
  <si>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</si>
  <si>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</si>
  <si>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</si>
  <si>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</si>
  <si>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</si>
  <si>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</si>
  <si>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</si>
  <si>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</si>
  <si>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</si>
  <si>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</si>
  <si>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</si>
  <si>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</si>
  <si>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</si>
  <si>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</si>
  <si>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</si>
  <si>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</si>
  <si>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</si>
  <si>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</si>
  <si>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</si>
  <si>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</si>
  <si>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</si>
  <si>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</si>
  <si>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</si>
  <si>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</si>
  <si>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</si>
  <si>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</si>
  <si>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</si>
  <si>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</si>
  <si>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</si>
  <si>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To the best of my knowledge, all of the information in the attached application, including all supporting documentation is correct, complete and accurate.</t>
  </si>
  <si>
    <t>APPLICANT/OWNER</t>
  </si>
  <si>
    <t>Printed Name</t>
  </si>
  <si>
    <t>Downtown Development Authority of Woodbury</t>
  </si>
  <si>
    <t>Hapeville</t>
  </si>
  <si>
    <t>(Select an amenity from options provided here)</t>
  </si>
  <si>
    <t>Unit Amenities</t>
  </si>
  <si>
    <t>Site Amenities</t>
  </si>
  <si>
    <t>DEEPER TARGETING / RENT AND INCOME RESTRICTIONS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</si>
  <si>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</si>
  <si>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</si>
  <si>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</si>
  <si>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</si>
  <si>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</si>
  <si>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</si>
  <si>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</si>
  <si>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</si>
  <si>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</si>
  <si>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</si>
  <si>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</si>
  <si>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</si>
  <si>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</si>
  <si>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</si>
  <si>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</si>
  <si>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</si>
  <si>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</si>
  <si>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</si>
  <si>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</si>
  <si>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</si>
  <si>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</si>
  <si>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</si>
  <si>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</si>
  <si>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</si>
  <si>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</si>
  <si>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</si>
  <si>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</si>
  <si>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</si>
  <si>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</si>
  <si>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</si>
  <si>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</si>
  <si>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</si>
  <si>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</si>
  <si>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</si>
  <si>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4 BR PHA Oper Sub 60% Units</t>
  </si>
  <si>
    <t>PHA Operating Subsidy-Assisted</t>
  </si>
  <si>
    <t>(Includes manager units that are income restricted)</t>
  </si>
  <si>
    <t>Development Authority of Lumpkin County</t>
  </si>
  <si>
    <t>Development Authority of Macon County</t>
  </si>
  <si>
    <t>Comer</t>
  </si>
  <si>
    <t>Are any other phases for this project also submitted during the current funding round?</t>
  </si>
  <si>
    <t>Was site control over the entire site (including all phases) in place when the initial phase was closed?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</si>
  <si>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</si>
  <si>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</si>
  <si>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</si>
  <si>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</si>
  <si>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</si>
  <si>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</si>
  <si>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</si>
  <si>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</si>
  <si>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</si>
  <si>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</si>
  <si>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</si>
  <si>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</si>
  <si>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</si>
  <si>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</si>
  <si>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</si>
  <si>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</si>
  <si>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</si>
  <si>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</si>
  <si>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</si>
  <si>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</si>
  <si>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</si>
  <si>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</si>
  <si>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</si>
  <si>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</si>
  <si>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</si>
  <si>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</si>
  <si>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</si>
  <si>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</si>
  <si>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</si>
  <si>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</si>
  <si>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</si>
  <si>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</si>
  <si>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</si>
  <si>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</si>
  <si>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</si>
  <si>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</si>
  <si>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</si>
  <si>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</si>
  <si>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</si>
  <si>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Signature</t>
  </si>
  <si>
    <t>Date</t>
  </si>
  <si>
    <t>[SEAL]</t>
  </si>
  <si>
    <t>(Select an energy standard from options provided here)</t>
  </si>
  <si>
    <t>Total OI in Mgt Fee</t>
  </si>
  <si>
    <t>Real Estate Taxes (Gross)*</t>
  </si>
  <si>
    <t>Annual Debt Service at Effective Rate</t>
  </si>
  <si>
    <t>2 BR PBRA 60% Units</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</si>
  <si>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</si>
  <si>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</si>
  <si>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</si>
  <si>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</si>
  <si>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</si>
  <si>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</si>
  <si>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</si>
  <si>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</si>
  <si>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</si>
  <si>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</si>
  <si>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</si>
  <si>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</si>
  <si>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</si>
  <si>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</si>
  <si>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</si>
  <si>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</si>
  <si>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</si>
  <si>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</si>
  <si>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</si>
  <si>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</si>
  <si>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</si>
  <si>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</si>
  <si>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</si>
  <si>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</si>
  <si>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</si>
  <si>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</si>
  <si>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</si>
  <si>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</si>
  <si>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</si>
  <si>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</si>
  <si>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</si>
  <si>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</si>
  <si>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</si>
  <si>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</si>
  <si>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</si>
  <si>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</si>
  <si>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</si>
  <si>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</si>
  <si>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</si>
  <si>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</si>
  <si>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</si>
  <si>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</si>
  <si>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</si>
  <si>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</si>
  <si>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</si>
  <si>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</si>
  <si>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</si>
  <si>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</si>
  <si>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</si>
  <si>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</si>
  <si>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</si>
  <si>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</si>
  <si>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</si>
  <si>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</si>
  <si>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</si>
  <si>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</si>
  <si>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</si>
  <si>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</si>
  <si>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</si>
  <si>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</si>
  <si>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</si>
  <si>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</si>
  <si>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</si>
  <si>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</si>
  <si>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</si>
  <si>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</si>
  <si>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</si>
  <si>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</si>
  <si>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</si>
  <si>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</si>
  <si>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</si>
  <si>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</si>
  <si>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</si>
  <si>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</si>
  <si>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</si>
  <si>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Development Authority of McDuffie County</t>
  </si>
  <si>
    <t>Commerce</t>
  </si>
  <si>
    <t>Development Authority of McDuffie County and the City of Thomson</t>
  </si>
  <si>
    <t>Concord</t>
  </si>
  <si>
    <t>Downtown Development Authority of the City of Greensboro</t>
  </si>
  <si>
    <t>Garfield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</si>
  <si>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</si>
  <si>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</si>
  <si>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</si>
  <si>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</si>
  <si>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</si>
  <si>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</si>
  <si>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</si>
  <si>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</si>
  <si>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</si>
  <si>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</si>
  <si>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</si>
  <si>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</si>
  <si>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</si>
  <si>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</si>
  <si>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</si>
  <si>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</si>
  <si>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</si>
  <si>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</si>
  <si>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</si>
  <si>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</si>
  <si>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</si>
  <si>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</si>
  <si>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</si>
  <si>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</si>
  <si>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</si>
  <si>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</si>
  <si>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</si>
  <si>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</si>
  <si>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</si>
  <si>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</si>
  <si>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</si>
  <si>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</si>
  <si>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</si>
  <si>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</si>
  <si>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</si>
  <si>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</si>
  <si>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</si>
  <si>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</si>
  <si>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</si>
  <si>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</si>
  <si>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</si>
  <si>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</si>
  <si>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</si>
  <si>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</si>
  <si>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Sandy Springs</t>
  </si>
  <si>
    <t>St. Marys</t>
  </si>
  <si>
    <t>Sunny Side</t>
  </si>
  <si>
    <t>Tunnell Hill</t>
  </si>
  <si>
    <t>Housing Authority of the City of Cedartown, Ga.</t>
  </si>
  <si>
    <t>Housing Authority of the City of Clarkesville, Ga.</t>
  </si>
  <si>
    <t>Lithonia</t>
  </si>
  <si>
    <t>Housing Authority of the City of Clarkston</t>
  </si>
  <si>
    <t>Federal Limited Partner</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</si>
  <si>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</si>
  <si>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</si>
  <si>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</si>
  <si>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</si>
  <si>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</si>
  <si>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</si>
  <si>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</si>
  <si>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</si>
  <si>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</si>
  <si>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</si>
  <si>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</si>
  <si>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</si>
  <si>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</si>
  <si>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</si>
  <si>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</si>
  <si>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</si>
  <si>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</si>
  <si>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</si>
  <si>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</si>
  <si>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</si>
  <si>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</si>
  <si>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</si>
  <si>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</si>
  <si>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</si>
  <si>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</si>
  <si>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</si>
  <si>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</si>
  <si>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</si>
  <si>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</si>
  <si>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</si>
  <si>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</si>
  <si>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</si>
  <si>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</si>
  <si>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</si>
  <si>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</si>
  <si>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</si>
  <si>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</si>
  <si>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</si>
  <si>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</si>
  <si>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</si>
  <si>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</si>
  <si>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</si>
  <si>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</si>
  <si>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</si>
  <si>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</si>
  <si>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</si>
  <si>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</si>
  <si>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</si>
  <si>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</si>
  <si>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</si>
  <si>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</si>
  <si>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</si>
  <si>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</si>
  <si>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</si>
  <si>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</si>
  <si>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</si>
  <si>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</si>
  <si>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</si>
  <si>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</si>
  <si>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</si>
  <si>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</si>
  <si>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</si>
  <si>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</si>
  <si>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</si>
  <si>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</si>
  <si>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</si>
  <si>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</si>
  <si>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</si>
  <si>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</si>
  <si>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</si>
  <si>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</si>
  <si>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</si>
  <si>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</si>
  <si>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</si>
  <si>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</si>
  <si>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</si>
  <si>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</si>
  <si>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</si>
  <si>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</si>
  <si>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</si>
  <si>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</si>
  <si>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</si>
  <si>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</si>
  <si>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Greensboro City</t>
  </si>
  <si>
    <t>Greenville City</t>
  </si>
  <si>
    <t>Griffin City</t>
  </si>
  <si>
    <t>Grovetown City</t>
  </si>
  <si>
    <t>Gum Branch City</t>
  </si>
  <si>
    <t>Guyton City</t>
  </si>
  <si>
    <t>Hagan City</t>
  </si>
  <si>
    <t>Hahira City</t>
  </si>
  <si>
    <t>Hamilton City</t>
  </si>
  <si>
    <t>Hampton City</t>
  </si>
  <si>
    <t>DCA HOME Cash Resrv.</t>
  </si>
  <si>
    <t>per sq ft</t>
  </si>
  <si>
    <t>Ocilla City</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</si>
  <si>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</si>
  <si>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</si>
  <si>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</si>
  <si>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</si>
  <si>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</si>
  <si>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</si>
  <si>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</si>
  <si>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</si>
  <si>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</si>
  <si>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</si>
  <si>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</si>
  <si>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</si>
  <si>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</si>
  <si>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</si>
  <si>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</si>
  <si>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</si>
  <si>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</si>
  <si>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</si>
  <si>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</si>
  <si>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</si>
  <si>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</si>
  <si>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</si>
  <si>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</si>
  <si>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</si>
  <si>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</si>
  <si>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</si>
  <si>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</si>
  <si>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</si>
  <si>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</si>
  <si>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</si>
  <si>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</si>
  <si>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</si>
  <si>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</si>
  <si>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</si>
  <si>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</si>
  <si>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</si>
  <si>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</si>
  <si>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</si>
  <si>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</si>
  <si>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</si>
  <si>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</si>
  <si>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</si>
  <si>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</si>
  <si>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</si>
  <si>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</si>
  <si>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</si>
  <si>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</si>
  <si>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</si>
  <si>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</si>
  <si>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</si>
  <si>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</si>
  <si>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</si>
  <si>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</si>
  <si>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</si>
  <si>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</si>
  <si>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</si>
  <si>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</si>
  <si>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</si>
  <si>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</si>
  <si>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</si>
  <si>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</si>
  <si>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</si>
  <si>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</si>
  <si>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</si>
  <si>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</si>
  <si>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</si>
  <si>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Joint Development Authority of Jeff Davis County, Hazlehurst and Denton, Georgia</t>
  </si>
  <si>
    <t>Portal</t>
  </si>
  <si>
    <t>Joint Development Authority of Metropolitan Atlanta</t>
  </si>
  <si>
    <t>Cuthbert</t>
  </si>
  <si>
    <t>Development Authority of Talbot County</t>
  </si>
  <si>
    <t>Dacula</t>
  </si>
  <si>
    <t>C.</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</si>
  <si>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</si>
  <si>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</si>
  <si>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</si>
  <si>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</si>
  <si>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</si>
  <si>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</si>
  <si>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</si>
  <si>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</si>
  <si>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</si>
  <si>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</si>
  <si>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</si>
  <si>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</si>
  <si>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</si>
  <si>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</si>
  <si>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</si>
  <si>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</si>
  <si>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</si>
  <si>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</si>
  <si>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</si>
  <si>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</si>
  <si>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</si>
  <si>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</si>
  <si>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</si>
  <si>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</si>
  <si>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</si>
  <si>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</si>
  <si>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</si>
  <si>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</si>
  <si>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</si>
  <si>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</si>
  <si>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</si>
  <si>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</si>
  <si>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</si>
  <si>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</si>
  <si>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</si>
  <si>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</si>
  <si>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</si>
  <si>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</si>
  <si>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</si>
  <si>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</si>
  <si>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</si>
  <si>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</si>
  <si>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</si>
  <si>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</si>
  <si>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</si>
  <si>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</si>
  <si>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</si>
  <si>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</si>
  <si>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</si>
  <si>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</si>
  <si>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</si>
  <si>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</si>
  <si>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</si>
  <si>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</si>
  <si>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</si>
  <si>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</si>
  <si>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</si>
  <si>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</si>
  <si>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</si>
  <si>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</si>
  <si>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</si>
  <si>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</si>
  <si>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</si>
  <si>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</si>
  <si>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</si>
  <si>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</si>
  <si>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Norcross City</t>
  </si>
  <si>
    <t>Norman Park City</t>
  </si>
  <si>
    <t>North High Shoals Town</t>
  </si>
  <si>
    <t>Norwood City</t>
  </si>
  <si>
    <t>Nunez City</t>
  </si>
  <si>
    <t>Oak Park Town</t>
  </si>
  <si>
    <t>Oakwood City</t>
  </si>
  <si>
    <t>Ochlocknee Town</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</si>
  <si>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</si>
  <si>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</si>
  <si>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</si>
  <si>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</si>
  <si>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</si>
  <si>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</si>
  <si>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</si>
  <si>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</si>
  <si>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</si>
  <si>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</si>
  <si>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</si>
  <si>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</si>
  <si>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</si>
  <si>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</si>
  <si>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</si>
  <si>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</si>
  <si>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</si>
  <si>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</si>
  <si>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</si>
  <si>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</si>
  <si>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</si>
  <si>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</si>
  <si>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</si>
  <si>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</si>
  <si>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</si>
  <si>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</si>
  <si>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</si>
  <si>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</si>
  <si>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</si>
  <si>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</si>
  <si>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</si>
  <si>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</si>
  <si>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</si>
  <si>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</si>
  <si>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</si>
  <si>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</si>
  <si>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</si>
  <si>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</si>
  <si>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</si>
  <si>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</si>
  <si>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</si>
  <si>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</si>
  <si>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</si>
  <si>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</si>
  <si>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</si>
  <si>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</si>
  <si>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</si>
  <si>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</si>
  <si>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</si>
  <si>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</si>
  <si>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</si>
  <si>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</si>
  <si>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</si>
  <si>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</si>
  <si>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</si>
  <si>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Re:  Application for Low-Income Housing Tax Credit and/or HOME Funding</t>
  </si>
  <si>
    <t>City of Stockbridge, Georgia Downtown Development Authority</t>
  </si>
  <si>
    <t>Bluffton</t>
  </si>
  <si>
    <t>Crisp County, GA</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</si>
  <si>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</si>
  <si>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</si>
  <si>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</si>
  <si>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</si>
  <si>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</si>
  <si>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</si>
  <si>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</si>
  <si>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</si>
  <si>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</si>
  <si>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</si>
  <si>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</si>
  <si>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</si>
  <si>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</si>
  <si>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</si>
  <si>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</si>
  <si>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</si>
  <si>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</si>
  <si>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</si>
  <si>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</si>
  <si>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</si>
  <si>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</si>
  <si>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Housing Authority of the City of Lithonia, Georgia</t>
  </si>
  <si>
    <t>Housing Authority of the City of Loganville, GA</t>
  </si>
  <si>
    <t>Housing Authority of the City of Nahunta</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</si>
  <si>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</si>
  <si>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</si>
  <si>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</si>
  <si>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</si>
  <si>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</si>
  <si>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</si>
  <si>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</si>
  <si>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</si>
  <si>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</si>
  <si>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</si>
  <si>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</si>
  <si>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</si>
  <si>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</si>
  <si>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</si>
  <si>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</si>
  <si>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</si>
  <si>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</si>
  <si>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</si>
  <si>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</si>
  <si>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</si>
  <si>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</si>
  <si>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</si>
  <si>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</si>
  <si>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</si>
  <si>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</si>
  <si>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</si>
  <si>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</si>
  <si>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</si>
  <si>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</si>
  <si>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</si>
  <si>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</si>
  <si>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</si>
  <si>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</si>
  <si>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</si>
  <si>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</si>
  <si>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</si>
  <si>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</si>
  <si>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</si>
  <si>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</si>
  <si>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</si>
  <si>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</si>
  <si>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</si>
  <si>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</si>
  <si>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</si>
  <si>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</si>
  <si>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</si>
  <si>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</si>
  <si>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</si>
  <si>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</si>
  <si>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If an appraisal is included, indicate Appraiser's Name and answer the following questions:</t>
  </si>
  <si>
    <t>Appraiser's Name:</t>
  </si>
  <si>
    <t>Coffee County, GA</t>
  </si>
  <si>
    <t>Colquitt County, GA</t>
  </si>
  <si>
    <t>Cook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</si>
  <si>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</si>
  <si>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</si>
  <si>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</si>
  <si>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</si>
  <si>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</si>
  <si>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</si>
  <si>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</si>
  <si>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</si>
  <si>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</si>
  <si>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</si>
  <si>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</si>
  <si>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</si>
  <si>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</si>
  <si>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</si>
  <si>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</si>
  <si>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</si>
  <si>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</si>
  <si>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</si>
  <si>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</si>
  <si>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</si>
  <si>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</si>
  <si>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</si>
  <si>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</si>
  <si>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</si>
  <si>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</si>
  <si>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</si>
  <si>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</si>
  <si>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</si>
  <si>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</si>
  <si>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</si>
  <si>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</si>
  <si>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</si>
  <si>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</si>
  <si>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</si>
  <si>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</si>
  <si>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</si>
  <si>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</si>
  <si>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</si>
  <si>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</si>
  <si>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</si>
  <si>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Soperton City</t>
  </si>
  <si>
    <t>Sparks Town</t>
  </si>
  <si>
    <t>Sparta City</t>
  </si>
  <si>
    <t>Springfield City</t>
  </si>
  <si>
    <t>St. Marys City</t>
  </si>
  <si>
    <t>Stapleton City</t>
  </si>
  <si>
    <t>Statesboro City</t>
  </si>
  <si>
    <t>Statham City</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</si>
  <si>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</si>
  <si>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</si>
  <si>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</si>
  <si>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</si>
  <si>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</si>
  <si>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</si>
  <si>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</si>
  <si>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</si>
  <si>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</si>
  <si>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</si>
  <si>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</si>
  <si>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</si>
  <si>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</si>
  <si>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</si>
  <si>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</si>
  <si>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</si>
  <si>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</si>
  <si>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</si>
  <si>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</si>
  <si>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</si>
  <si>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</si>
  <si>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</si>
  <si>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</si>
  <si>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</si>
  <si>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</si>
  <si>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</si>
  <si>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</si>
  <si>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</si>
  <si>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</si>
  <si>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</si>
  <si>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</si>
  <si>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</si>
  <si>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</si>
  <si>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</si>
  <si>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</si>
  <si>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</si>
  <si>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</si>
  <si>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</si>
  <si>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</si>
  <si>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</si>
  <si>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</si>
  <si>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</si>
  <si>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</si>
  <si>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</si>
  <si>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</si>
  <si>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</si>
  <si>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</si>
  <si>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</si>
  <si>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</si>
  <si>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</si>
  <si>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</si>
  <si>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Engineering</t>
  </si>
  <si>
    <t>Real Estate Attorney</t>
  </si>
  <si>
    <t>Housing Authority of the City of Hahira, Georgia</t>
  </si>
  <si>
    <t>Meigs</t>
  </si>
  <si>
    <t>Ludowici</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</si>
  <si>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</si>
  <si>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</si>
  <si>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</si>
  <si>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</si>
  <si>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</si>
  <si>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</si>
  <si>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</si>
  <si>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</si>
  <si>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</si>
  <si>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</si>
  <si>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</si>
  <si>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</si>
  <si>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</si>
  <si>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</si>
  <si>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</si>
  <si>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</si>
  <si>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</si>
  <si>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</si>
  <si>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</si>
  <si>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</si>
  <si>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</si>
  <si>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</si>
  <si>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</si>
  <si>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</si>
  <si>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</si>
  <si>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</si>
  <si>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</si>
  <si>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</si>
  <si>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</si>
  <si>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</si>
  <si>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</si>
  <si>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</si>
  <si>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</si>
  <si>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</si>
  <si>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</si>
  <si>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</si>
  <si>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</si>
  <si>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</si>
  <si>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</si>
  <si>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</si>
  <si>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</si>
  <si>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</si>
  <si>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</si>
  <si>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</si>
  <si>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</si>
  <si>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</si>
  <si>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</si>
  <si>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</si>
  <si>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</si>
  <si>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</si>
  <si>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</si>
  <si>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</si>
  <si>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</si>
  <si>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</si>
  <si>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HOPE VI or CHOICE Neighborhoods Initiatives</t>
  </si>
  <si>
    <t>Augusta, Georgia Landbank Authority</t>
  </si>
  <si>
    <t>Alma</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</si>
  <si>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</si>
  <si>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</si>
  <si>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</si>
  <si>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</si>
  <si>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</si>
  <si>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</si>
  <si>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</si>
  <si>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</si>
  <si>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</si>
  <si>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</si>
  <si>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</si>
  <si>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</si>
  <si>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</si>
  <si>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</si>
  <si>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</si>
  <si>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</si>
  <si>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</si>
  <si>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</si>
  <si>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</si>
  <si>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</si>
  <si>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</si>
  <si>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</si>
  <si>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</si>
  <si>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</si>
  <si>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</si>
  <si>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</si>
  <si>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</si>
  <si>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</si>
  <si>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</si>
  <si>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</si>
  <si>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</si>
  <si>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</si>
  <si>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</si>
  <si>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</si>
  <si>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</si>
  <si>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</si>
  <si>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</si>
  <si>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West Point City</t>
  </si>
  <si>
    <t>Whigham City</t>
  </si>
  <si>
    <t>White City</t>
  </si>
  <si>
    <t>White Plains City</t>
  </si>
  <si>
    <t>Whitesburg City</t>
  </si>
  <si>
    <t>Woodbury City</t>
  </si>
  <si>
    <t>Woodland City</t>
  </si>
  <si>
    <t>Woodstock City</t>
  </si>
  <si>
    <t>Community Transportation Options</t>
  </si>
  <si>
    <t>Documentation from transit authority showing relevant bus route and schedule</t>
  </si>
  <si>
    <t>Documentation of whether or not the building is occupied</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</si>
  <si>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</si>
  <si>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</si>
  <si>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</si>
  <si>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</si>
  <si>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</si>
  <si>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</si>
  <si>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</si>
  <si>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</si>
  <si>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</si>
  <si>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</si>
  <si>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</si>
  <si>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</si>
  <si>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</si>
  <si>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</si>
  <si>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</si>
  <si>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</si>
  <si>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</si>
  <si>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</si>
  <si>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</si>
  <si>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Greene County, GA</t>
  </si>
  <si>
    <t>Habersham County, GA</t>
  </si>
  <si>
    <t>Gainesville, GA MSA</t>
  </si>
  <si>
    <t>Hancock County, GA</t>
  </si>
  <si>
    <t>Haralson County, GA HUD Metro FMR Area</t>
  </si>
  <si>
    <t>Bacon County Development Authority</t>
  </si>
  <si>
    <t>Alpharetta</t>
  </si>
  <si>
    <t>Emanuel-Johnson County Development Authority</t>
  </si>
  <si>
    <t>Higgston</t>
  </si>
  <si>
    <t>Etowah Area Consolidated Housing Authority</t>
  </si>
  <si>
    <t>Banks/Habersham Counties Joint Development Authority</t>
  </si>
  <si>
    <t>Alston</t>
  </si>
  <si>
    <t>Barnesville Housing Authority</t>
  </si>
  <si>
    <t>Alto</t>
  </si>
  <si>
    <t>QCT?</t>
  </si>
  <si>
    <t>DDA?</t>
  </si>
  <si>
    <t>West Point Lake Development Authority</t>
  </si>
  <si>
    <t>Downtown Development Authority of Hampton</t>
  </si>
  <si>
    <t>Fairburn</t>
  </si>
  <si>
    <t>Wilkes County, GA</t>
  </si>
  <si>
    <t>Wilkinson County, GA</t>
  </si>
  <si>
    <t>N</t>
  </si>
  <si>
    <t>Y</t>
  </si>
  <si>
    <t>FMR MSA Name</t>
  </si>
  <si>
    <t>Statutory Redevelopment Plans</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</si>
  <si>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</si>
  <si>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</si>
  <si>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</si>
  <si>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</si>
  <si>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</si>
  <si>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</si>
  <si>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</si>
  <si>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</si>
  <si>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</si>
  <si>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</si>
  <si>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</si>
  <si>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</si>
  <si>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</si>
  <si>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</si>
  <si>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</si>
  <si>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</si>
  <si>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</si>
  <si>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Warm Springs City</t>
  </si>
  <si>
    <t>Warner Robins City</t>
  </si>
  <si>
    <t>Warrenton City</t>
  </si>
  <si>
    <t>Warwick City</t>
  </si>
  <si>
    <t>Washington City</t>
  </si>
  <si>
    <t>Watkinsville City</t>
  </si>
  <si>
    <t>Waverly Hall Town</t>
  </si>
  <si>
    <t>Waycross City</t>
  </si>
  <si>
    <t>Waynesboro City</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</si>
  <si>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</si>
  <si>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</si>
  <si>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</si>
  <si>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t>Willacoochee City</t>
  </si>
  <si>
    <t>Williamson City</t>
  </si>
  <si>
    <t>Winder City</t>
  </si>
  <si>
    <t>Winterville City</t>
  </si>
  <si>
    <t>Woodbine City</t>
  </si>
  <si>
    <r>
      <t xml:space="preserve">TAX CREDIT REQUEST - </t>
    </r>
    <r>
      <rPr>
        <sz val="10"/>
        <rFont val="Arial Narrow"/>
        <family val="2"/>
      </rPr>
      <t>Cannot exceed Tax Credit Project Maximum, but may be lower:</t>
    </r>
  </si>
  <si>
    <t>(See note below)</t>
  </si>
  <si>
    <t>Woodville City</t>
  </si>
  <si>
    <t>Woolsey Town</t>
  </si>
  <si>
    <t>Wrens City</t>
  </si>
  <si>
    <t>Wrightsville City</t>
  </si>
  <si>
    <t>Yatesville Town</t>
  </si>
  <si>
    <t>Young Harris City</t>
  </si>
  <si>
    <t>Zebulon City</t>
  </si>
  <si>
    <t>Unincorporated Place</t>
  </si>
  <si>
    <t>(1 pt subtracted each)</t>
  </si>
  <si>
    <t>Marion</t>
  </si>
  <si>
    <t>% of (Construction Hard Costs, exclusive of Contingency and Contractor Svcs)</t>
  </si>
  <si>
    <t>Townhome Units</t>
  </si>
  <si>
    <t>1-Story Units</t>
  </si>
  <si>
    <t>2-Story Units</t>
  </si>
  <si>
    <t>2-Story Wlkp Units</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</si>
  <si>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</si>
  <si>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</si>
  <si>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</si>
  <si>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</si>
  <si>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</si>
  <si>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</si>
  <si>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</si>
  <si>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</si>
  <si>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</si>
  <si>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</si>
  <si>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</si>
  <si>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</si>
  <si>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</si>
  <si>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</si>
  <si>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</si>
  <si>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</si>
  <si>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</si>
  <si>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</si>
  <si>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</si>
  <si>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</si>
  <si>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</si>
  <si>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(choose only one)</t>
  </si>
  <si>
    <t>is indicative of the community’s affordable housing goals</t>
  </si>
  <si>
    <t>Kingston Downtown Development Authority</t>
  </si>
  <si>
    <t>Ranger</t>
  </si>
  <si>
    <t>Additional required questions depending on option selected above:</t>
  </si>
  <si>
    <t>Grady County, GA</t>
  </si>
  <si>
    <t>Joint Development Authority of Carroll, Haralson, Polk, Heard and Troup Counties</t>
  </si>
  <si>
    <t>Pitts</t>
  </si>
  <si>
    <t>Hart County, GA</t>
  </si>
  <si>
    <t>Warner Robins, GA MSA</t>
  </si>
  <si>
    <t>Relocation (if applicable)</t>
  </si>
  <si>
    <t>DEVELOPER'S FEE</t>
  </si>
  <si>
    <t>TOTAL DEVELOPMENT COST</t>
  </si>
  <si>
    <t>DEVELOPER</t>
  </si>
  <si>
    <t>CO-DEVELOPER 1</t>
  </si>
  <si>
    <t>DEVELOPMENT CONSULTANT</t>
  </si>
  <si>
    <t>Fairburn Housing Authority</t>
  </si>
  <si>
    <t>Hiltonia</t>
  </si>
  <si>
    <t>Amount of Federal Tax Credits in All Applications:</t>
  </si>
  <si>
    <t>Byron Downtown Development Authority</t>
  </si>
  <si>
    <t>Byron Redevelopment Authority</t>
  </si>
  <si>
    <t>ATTORNEY</t>
  </si>
  <si>
    <t>ACCOUNTANT</t>
  </si>
  <si>
    <t>ARCHITECT</t>
  </si>
  <si>
    <t>VIII.</t>
  </si>
  <si>
    <t>Warwick</t>
  </si>
  <si>
    <t>Watkinsville</t>
  </si>
  <si>
    <t>Waverly Hall</t>
  </si>
  <si>
    <t>Waycross</t>
  </si>
  <si>
    <t>Waynesboro</t>
  </si>
  <si>
    <t>West Point</t>
  </si>
  <si>
    <t>Weston</t>
  </si>
  <si>
    <t>Whigham</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</si>
  <si>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</si>
  <si>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</si>
  <si>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</si>
  <si>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</si>
  <si>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</si>
  <si>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</si>
  <si>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</si>
  <si>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</si>
  <si>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</si>
  <si>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</si>
  <si>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</si>
  <si>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</si>
  <si>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</si>
  <si>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</si>
  <si>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</si>
  <si>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</si>
  <si>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</si>
  <si>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</si>
  <si>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</si>
  <si>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</si>
  <si>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</si>
  <si>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</si>
  <si>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</si>
  <si>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</si>
  <si>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</si>
  <si>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</si>
  <si>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</si>
  <si>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</si>
  <si>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</si>
  <si>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</si>
  <si>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</si>
  <si>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</si>
  <si>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</si>
  <si>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</si>
  <si>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</si>
  <si>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</si>
  <si>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</si>
  <si>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</si>
  <si>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</si>
  <si>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</si>
  <si>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</si>
  <si>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</si>
  <si>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</si>
  <si>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</si>
  <si>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</si>
  <si>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</si>
  <si>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</si>
  <si>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</si>
  <si>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</si>
  <si>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</si>
  <si>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</si>
  <si>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</si>
  <si>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</si>
  <si>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</si>
  <si>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</si>
  <si>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</si>
  <si>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</si>
  <si>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</si>
  <si>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</si>
  <si>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</si>
  <si>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</si>
  <si>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</si>
  <si>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</si>
  <si>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</si>
  <si>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Housing Authority of the City of Conyers</t>
  </si>
  <si>
    <t>Porterdale</t>
  </si>
  <si>
    <r>
      <t xml:space="preserve">TAX CREDIT PROJECT MAXIMUM - </t>
    </r>
    <r>
      <rPr>
        <sz val="10"/>
        <rFont val="Arial Narrow"/>
        <family val="2"/>
      </rPr>
      <t>Lower of Basis Method, Gap Method and DCA Limit:</t>
    </r>
  </si>
  <si>
    <t>Housing Authority of the City of College Park</t>
  </si>
  <si>
    <t>Lone Oak</t>
  </si>
  <si>
    <t>Evidence of PBRA Agreements, if applicable</t>
  </si>
  <si>
    <t>Development Authority of Butts County</t>
  </si>
  <si>
    <t>Butler</t>
  </si>
  <si>
    <t>Development Authority of Carroll County</t>
  </si>
  <si>
    <t>Byromville</t>
  </si>
  <si>
    <t>Development Authority of Cartersville</t>
  </si>
  <si>
    <t>Byron</t>
  </si>
  <si>
    <r>
      <t xml:space="preserve">1-3 adjustments/revisions = one (1) pt deduction total; </t>
    </r>
    <r>
      <rPr>
        <i/>
        <sz val="8"/>
        <rFont val="Arial Narrow"/>
        <family val="2"/>
      </rPr>
      <t>then</t>
    </r>
    <r>
      <rPr>
        <sz val="8"/>
        <rFont val="Arial Narrow"/>
        <family val="2"/>
      </rPr>
      <t xml:space="preserve"> (1) pt deducted for each add'l adjustment.</t>
    </r>
  </si>
  <si>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</si>
  <si>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</si>
  <si>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</si>
  <si>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</si>
  <si>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</si>
  <si>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</si>
  <si>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</si>
  <si>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</si>
  <si>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</si>
  <si>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</si>
  <si>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</si>
  <si>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</si>
  <si>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</si>
  <si>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</si>
  <si>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</si>
  <si>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</si>
  <si>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</si>
  <si>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</si>
  <si>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</si>
  <si>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</si>
  <si>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</si>
  <si>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</si>
  <si>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</si>
  <si>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</si>
  <si>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</si>
  <si>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</si>
  <si>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</si>
  <si>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</si>
  <si>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</si>
  <si>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</si>
  <si>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</si>
  <si>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</si>
  <si>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</si>
  <si>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</si>
  <si>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</si>
  <si>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</si>
  <si>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</si>
  <si>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</si>
  <si>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</si>
  <si>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</si>
  <si>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</si>
  <si>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</si>
  <si>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</si>
  <si>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</si>
  <si>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</si>
  <si>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</si>
  <si>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</si>
  <si>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</si>
  <si>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</si>
  <si>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Tenant-Paid Utility Allowances by Unit Size (# Bdrms)</t>
  </si>
  <si>
    <t>&lt;Select&gt;</t>
  </si>
  <si>
    <t>Partnership Organization Fees</t>
  </si>
  <si>
    <t>Bridge Loan Fee and Bridge Loan Interest</t>
  </si>
  <si>
    <t>Tax Credit Legal Opinion</t>
  </si>
  <si>
    <t>3 BR New Construction NSP 120% Units</t>
  </si>
  <si>
    <t>4 BR New Construction NSP 120% Units</t>
  </si>
  <si>
    <t>OTHER PROJECT TEAM MEMBERS</t>
  </si>
  <si>
    <t>OWNERSHIP CONSULTANT</t>
  </si>
  <si>
    <t>GENERAL CONTRACTOR</t>
  </si>
  <si>
    <t>MANAGEMENT COMPANY</t>
  </si>
  <si>
    <t>Efficiency NSP 120% Acq/Rhb Units</t>
  </si>
  <si>
    <t>1 BR Acq/Rhb NSP 120% Units</t>
  </si>
  <si>
    <t>2 BR Acq/Rhb NSP 120% Units</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</si>
  <si>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</si>
  <si>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</si>
  <si>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</si>
  <si>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</si>
  <si>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</si>
  <si>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</si>
  <si>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</si>
  <si>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</si>
  <si>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</si>
  <si>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</si>
  <si>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</si>
  <si>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</si>
  <si>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</si>
  <si>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</si>
  <si>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</si>
  <si>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</si>
  <si>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</si>
  <si>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</si>
  <si>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</si>
  <si>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</si>
  <si>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</si>
  <si>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</si>
  <si>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</si>
  <si>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</si>
  <si>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</si>
  <si>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</si>
  <si>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</si>
  <si>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</si>
  <si>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</si>
  <si>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</si>
  <si>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</si>
  <si>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</si>
  <si>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</si>
  <si>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</si>
  <si>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</si>
  <si>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</si>
  <si>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</si>
  <si>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</si>
  <si>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</si>
  <si>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</si>
  <si>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</si>
  <si>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</si>
  <si>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</si>
  <si>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</si>
  <si>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</si>
  <si>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</si>
  <si>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</si>
  <si>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</si>
  <si>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</si>
  <si>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</si>
  <si>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</si>
  <si>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</si>
  <si>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</si>
  <si>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Evidence of public meetings regarding the proposed project to local government and residents of the community?</t>
  </si>
  <si>
    <t>Housing Authority of the City of Forsyth</t>
  </si>
  <si>
    <t>Martin</t>
  </si>
  <si>
    <t>Housing Authority of the City of Fort Gaines</t>
  </si>
  <si>
    <t>For each missing or incomplete document, one (1) point will be deducted</t>
  </si>
  <si>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</si>
  <si>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</si>
  <si>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</si>
  <si>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</si>
  <si>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</si>
  <si>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</si>
  <si>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</si>
  <si>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</si>
  <si>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</si>
  <si>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</si>
  <si>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</si>
  <si>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</si>
  <si>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</si>
  <si>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</si>
  <si>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</si>
  <si>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</si>
  <si>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</si>
  <si>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</si>
  <si>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</si>
  <si>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</si>
  <si>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</si>
  <si>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</si>
  <si>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</si>
  <si>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</si>
  <si>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</si>
  <si>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</si>
  <si>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</si>
  <si>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</si>
  <si>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</si>
  <si>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</si>
  <si>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</si>
  <si>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</si>
  <si>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</si>
  <si>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</si>
  <si>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</si>
  <si>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</si>
  <si>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</si>
  <si>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</si>
  <si>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</si>
  <si>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</si>
  <si>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</si>
  <si>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</si>
  <si>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</si>
  <si>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</si>
  <si>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</si>
  <si>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</si>
  <si>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</si>
  <si>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</si>
  <si>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</si>
  <si>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</si>
  <si>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</si>
  <si>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</si>
  <si>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</si>
  <si>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</si>
  <si>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</si>
  <si>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</si>
  <si>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</si>
  <si>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Documentation that Plan is current, ongoing and directly affects the site</t>
  </si>
  <si>
    <t>Efficiency New Construction NSP 120% Units</t>
  </si>
  <si>
    <t>1 BR New Construction NSP 120% Units</t>
  </si>
  <si>
    <t>2 BR New Construction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</si>
  <si>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</si>
  <si>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</si>
  <si>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</si>
  <si>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</si>
  <si>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</si>
  <si>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</si>
  <si>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</si>
  <si>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</si>
  <si>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</si>
  <si>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</si>
  <si>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</si>
  <si>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</si>
  <si>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</si>
  <si>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</si>
  <si>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</si>
  <si>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</si>
  <si>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</si>
  <si>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</si>
  <si>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</si>
  <si>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</si>
  <si>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</si>
  <si>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</si>
  <si>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</si>
  <si>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</si>
  <si>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</si>
  <si>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</si>
  <si>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</si>
  <si>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</si>
  <si>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</si>
  <si>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</si>
  <si>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</si>
  <si>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</si>
  <si>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</si>
  <si>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</si>
  <si>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</si>
  <si>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</si>
  <si>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</si>
  <si>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</si>
  <si>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</si>
  <si>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</si>
  <si>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</si>
  <si>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</si>
  <si>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</si>
  <si>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</si>
  <si>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</si>
  <si>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</si>
  <si>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</si>
  <si>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</si>
  <si>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</si>
  <si>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</si>
  <si>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</si>
  <si>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</si>
  <si>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</si>
  <si>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</si>
  <si>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</si>
  <si>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</si>
  <si>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</si>
  <si>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</si>
  <si>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</si>
  <si>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</si>
  <si>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</si>
  <si>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</si>
  <si>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</si>
  <si>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</si>
  <si>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</si>
  <si>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</si>
  <si>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</si>
  <si>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</si>
  <si>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</si>
  <si>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</si>
  <si>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</si>
  <si>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</si>
  <si>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</si>
  <si>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</si>
  <si>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</si>
  <si>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</si>
  <si>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</si>
  <si>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</si>
  <si>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</si>
  <si>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</si>
  <si>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</si>
  <si>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</si>
  <si>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</si>
  <si>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</si>
  <si>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</si>
  <si>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</si>
  <si>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</si>
  <si>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</si>
  <si>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</si>
  <si>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Development Authority of Wilkinson County</t>
  </si>
  <si>
    <t>Doraville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</si>
  <si>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</si>
  <si>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</si>
  <si>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</si>
  <si>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</si>
  <si>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</si>
  <si>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</si>
  <si>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</si>
  <si>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</si>
  <si>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</si>
  <si>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</si>
  <si>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</si>
  <si>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</si>
  <si>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</si>
  <si>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</si>
  <si>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</si>
  <si>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</si>
  <si>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</si>
  <si>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</si>
  <si>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</si>
  <si>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</si>
  <si>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</si>
  <si>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</si>
  <si>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</si>
  <si>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</si>
  <si>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</si>
  <si>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</si>
  <si>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</si>
  <si>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</si>
  <si>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</si>
  <si>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</si>
  <si>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</si>
  <si>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</si>
  <si>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</si>
  <si>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</si>
  <si>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</si>
  <si>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</si>
  <si>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2010-026</t>
    <phoneticPr fontId="5" type="noConversion"/>
  </si>
  <si>
    <t>Columbia TH Edgewood II</t>
    <phoneticPr fontId="5" type="noConversion"/>
  </si>
  <si>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</si>
  <si>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</si>
  <si>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</si>
  <si>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</si>
  <si>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</si>
  <si>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</si>
  <si>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</si>
  <si>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</si>
  <si>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</si>
  <si>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</si>
  <si>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</si>
  <si>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</si>
  <si>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</si>
  <si>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</si>
  <si>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</si>
  <si>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</si>
  <si>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</si>
  <si>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</si>
  <si>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</si>
  <si>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</si>
  <si>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</si>
  <si>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</si>
  <si>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</si>
  <si>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</si>
  <si>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</si>
  <si>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</si>
  <si>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</si>
  <si>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</si>
  <si>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</si>
  <si>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</si>
  <si>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</si>
  <si>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</si>
  <si>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</si>
  <si>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</si>
  <si>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</si>
  <si>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</si>
  <si>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</si>
  <si>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</si>
  <si>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</si>
  <si>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</si>
  <si>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</si>
  <si>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</si>
  <si>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</si>
  <si>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</si>
  <si>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</si>
  <si>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</si>
  <si>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</si>
  <si>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</si>
  <si>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</si>
  <si>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</si>
  <si>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ADA Beltline Grant</t>
    <phoneticPr fontId="5" type="noConversion"/>
  </si>
  <si>
    <t>7 to 10 units per month</t>
    <phoneticPr fontId="5" type="noConversion"/>
  </si>
  <si>
    <t>9 to 11 months</t>
    <phoneticPr fontId="5" type="noConversion"/>
  </si>
  <si>
    <t>2011-013</t>
    <phoneticPr fontId="5" type="noConversion"/>
  </si>
  <si>
    <t>Ashely Auburn Pointe II</t>
    <phoneticPr fontId="5" type="noConversion"/>
  </si>
  <si>
    <t>Development Authority of Burke County</t>
  </si>
  <si>
    <t>Buford</t>
  </si>
  <si>
    <t>198 Boulevard</t>
    <phoneticPr fontId="5" type="noConversion"/>
  </si>
  <si>
    <t>Athens</t>
    <phoneticPr fontId="5" type="noConversion"/>
  </si>
  <si>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</si>
  <si>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</si>
  <si>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</si>
  <si>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</si>
  <si>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</si>
  <si>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</si>
  <si>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</si>
  <si>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</si>
  <si>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</si>
  <si>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</si>
  <si>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</si>
  <si>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</si>
  <si>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</si>
  <si>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</si>
  <si>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</si>
  <si>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</si>
  <si>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</si>
  <si>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</si>
  <si>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</si>
  <si>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</si>
  <si>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</si>
  <si>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</si>
  <si>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</si>
  <si>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</si>
  <si>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</si>
  <si>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</si>
  <si>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</si>
  <si>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</si>
  <si>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</si>
  <si>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</si>
  <si>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</si>
  <si>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</si>
  <si>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Curry Wadsworth</t>
    <phoneticPr fontId="5" type="noConversion"/>
  </si>
  <si>
    <t>president Parallel Housing</t>
    <phoneticPr fontId="5" type="noConversion"/>
  </si>
  <si>
    <t>Parallel Adair Court LLC</t>
    <phoneticPr fontId="5" type="noConversion"/>
  </si>
  <si>
    <t>president</t>
    <phoneticPr fontId="5" type="noConversion"/>
  </si>
  <si>
    <t>Adair Court GP LLC</t>
    <phoneticPr fontId="5" type="noConversion"/>
  </si>
  <si>
    <t xml:space="preserve">229 Huber Village </t>
    <phoneticPr fontId="5" type="noConversion"/>
  </si>
  <si>
    <t>Westerville</t>
    <phoneticPr fontId="5" type="noConversion"/>
  </si>
  <si>
    <t>David Cooper Jr</t>
    <phoneticPr fontId="5" type="noConversion"/>
  </si>
  <si>
    <t>General Council/Member</t>
    <phoneticPr fontId="5" type="noConversion"/>
  </si>
  <si>
    <t>RBC Capital Markets</t>
    <phoneticPr fontId="5" type="noConversion"/>
  </si>
  <si>
    <t>4720 Piedmont Row Drive suite 240</t>
    <phoneticPr fontId="5" type="noConversion"/>
  </si>
  <si>
    <t>Charlotte</t>
    <phoneticPr fontId="5" type="noConversion"/>
  </si>
  <si>
    <t>Brian C. Flanagan</t>
    <phoneticPr fontId="5" type="noConversion"/>
  </si>
  <si>
    <t>Director of Acquistions</t>
    <phoneticPr fontId="5" type="noConversion"/>
  </si>
  <si>
    <t>Brian.Flanagan@rbc.com</t>
  </si>
  <si>
    <t>RBC Capital Markets</t>
    <phoneticPr fontId="5" type="noConversion"/>
  </si>
  <si>
    <t>4720 Piedmont Row Drive suite 240</t>
    <phoneticPr fontId="5" type="noConversion"/>
  </si>
  <si>
    <t>Charlotter</t>
    <phoneticPr fontId="5" type="noConversion"/>
  </si>
  <si>
    <t>Brian C. Flanagan</t>
    <phoneticPr fontId="5" type="noConversion"/>
  </si>
  <si>
    <t>Director of Acquistions</t>
    <phoneticPr fontId="5" type="noConversion"/>
  </si>
  <si>
    <t>198 Boulevard</t>
    <phoneticPr fontId="5" type="noConversion"/>
  </si>
  <si>
    <t>Athens</t>
    <phoneticPr fontId="5" type="noConversion"/>
  </si>
  <si>
    <t>Ga</t>
    <phoneticPr fontId="5" type="noConversion"/>
  </si>
  <si>
    <t>Curry Wadsworth</t>
    <phoneticPr fontId="5" type="noConversion"/>
  </si>
  <si>
    <t>president</t>
    <phoneticPr fontId="5" type="noConversion"/>
  </si>
  <si>
    <t>Parallel Housing Inc.</t>
    <phoneticPr fontId="5" type="noConversion"/>
  </si>
  <si>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</si>
  <si>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</si>
  <si>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</si>
  <si>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</si>
  <si>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</si>
  <si>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</si>
  <si>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</si>
  <si>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</si>
  <si>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</si>
  <si>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</si>
  <si>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</si>
  <si>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</si>
  <si>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</si>
  <si>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</si>
  <si>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</si>
  <si>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</si>
  <si>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</si>
  <si>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</si>
  <si>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</si>
  <si>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</si>
  <si>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</si>
  <si>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</si>
  <si>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</si>
  <si>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</si>
  <si>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</si>
  <si>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</si>
  <si>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</si>
  <si>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</si>
  <si>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 xml:space="preserve">Adair Court Limited Partnership
Local Government Strategy for Neighborhood Rebuilding
The Adair Court project is quite the development.  The unique concept using fuel cell technology has been described and included in the Superior Project Concept Narrative.  We believe using such technology would not only be quite unique as it would also demonstrate that DCA is a leader in promoting efficient energy solutions for affordable housing, not only in Georgia, but in the Southeast.
We would also like to highlight how Adair Court could also be considered to be awarded the points that could be allocated by DCA to an application that is part of a local government strategy to rebuild a neighborhood. This development has caught the attention of Atlanta BeltLine, the well-known urban redevelopment plan transforming the core and inner-city neighborhoods of Atlanta.  We have included considerable data on this statutory community redevelopment plan in Tab 26.  We would like to stress that a main part of the BeltLine plan is to focus on building affordable housing. The following is a quote from the BeltLine website:
“Affordable housing is critical to the Atlanta BeltLine development plan. Atlanta BeltLine Affordable Housing Trust Fund (BAHTF) assists with the creation and preservation of affordable housing along the Atlanta BeltLine. Funding from BAHTF can be combined with money from other programs to construct or renovate affordable housing.”
BAHTF has selected to support  Adair Court, as the redevelopment of this specific site with affordable housing, especially senior housing, is a key piece of the puzzle in the holistic redevelopment strategy.  The location, being so close to MARTA, and the fact that we are emphasizing such key sustainable features in the design concept hit both of BAHFT’s hot buttons.  BAHFT has agreed to support the development of Adair Court with a $1.1 million grant. Such commitment has been included in Tab 5, under “Other Financing Commitments”.
Atlanta BeltLine staff has met several times with DCA to share a) their enthusiasm for the energy efficiency design concepts proposed, b) the importance of affordable housing in their overall plan, and c) that they will be providing such financing assistance to this project.
It is for all these reason that we believe Adair Court could also be considered to receive the 6 points potentially given to development that fully supports a Local Government’s Strategy for Neighborhood Rebuilding as defined in this year’s QAP.
</t>
    <phoneticPr fontId="130" type="noConversion"/>
  </si>
  <si>
    <t>Parallel Housing is the managing GP and the non profit sponser. The Woda Group, LLC is owned by Jeffrey Woda and David Cooper.  They also own the Co-General Partner and are officers of Woda Management &amp; Real Estate, LLC. Jeff Woda is the Shareholder/President and David Cooper, Jr. is a Shareholder/General Counsel of Woda Construction, Inc.</t>
  </si>
  <si>
    <t>2012-042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</si>
</sst>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amily val="2"/>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
      <sz val="8"/>
      <name val="Verdana"/>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7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5" fillId="0" borderId="65" xfId="0" applyFont="1" applyFill="1" applyBorder="1" applyAlignment="1" applyProtection="1">
      <alignment horizontal="center" vertical="center" wrapText="1"/>
    </xf>
    <xf numFmtId="0" fontId="125" fillId="0" borderId="66" xfId="0" applyFont="1" applyFill="1" applyBorder="1" applyAlignment="1" applyProtection="1">
      <alignment horizontal="center" vertical="center" wrapText="1"/>
    </xf>
    <xf numFmtId="0" fontId="125" fillId="0" borderId="46" xfId="0" applyFont="1" applyFill="1" applyBorder="1" applyAlignment="1" applyProtection="1">
      <alignment horizontal="center" vertical="center" wrapText="1"/>
    </xf>
    <xf numFmtId="0" fontId="125"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3" fillId="0" borderId="0" xfId="0" applyFont="1" applyFill="1" applyAlignment="1" applyProtection="1">
      <alignment horizontal="center" wrapText="1"/>
    </xf>
    <xf numFmtId="0" fontId="115"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4" fillId="5" borderId="37" xfId="6"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4" fillId="5" borderId="37" xfId="6" applyNumberForma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 fillId="5" borderId="29" xfId="0" applyFont="1"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 fillId="5" borderId="31" xfId="0" applyFont="1"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0" fillId="5" borderId="29" xfId="0" applyFill="1" applyBorder="1" applyAlignment="1" applyProtection="1">
      <alignment horizontal="left"/>
    </xf>
    <xf numFmtId="0" fontId="0" fillId="5" borderId="31"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nathanm/Local%20Settings/Temporary%20Internet%20Files/OLK8/My%20Documents/Focus%20Group/Summit%20Ridge%20(8-30-0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curry@parallelhousing.org"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urry@parallelhousing.org" TargetMode="External"/><Relationship Id="rId3" Type="http://schemas.openxmlformats.org/officeDocument/2006/relationships/hyperlink" Target="mailto:curry@parallelhousing.org" TargetMode="External"/><Relationship Id="rId7" Type="http://schemas.openxmlformats.org/officeDocument/2006/relationships/hyperlink" Target="mailto:Brian.Flanagan@rbc.com" TargetMode="External"/><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 Id="rId6" Type="http://schemas.openxmlformats.org/officeDocument/2006/relationships/hyperlink" Target="mailto:Brian.Flanagan@rbc.com" TargetMode="External"/><Relationship Id="rId5" Type="http://schemas.openxmlformats.org/officeDocument/2006/relationships/hyperlink" Target="mailto:dcooper@wodagroup.com" TargetMode="External"/><Relationship Id="rId4" Type="http://schemas.openxmlformats.org/officeDocument/2006/relationships/hyperlink" Target="mailto:curry@parallelhousing.org" TargetMode="External"/></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4"/>
  <sheetViews>
    <sheetView showGridLines="0" zoomScaleNormal="100" workbookViewId="0">
      <selection sqref="A1:XFD1048576"/>
    </sheetView>
  </sheetViews>
  <sheetFormatPr defaultColWidth="8.85546875" defaultRowHeight="12.75"/>
  <cols>
    <col min="1" max="1" width="3.42578125" style="40" customWidth="1"/>
    <col min="2" max="2" width="2.7109375" style="1273" customWidth="1"/>
    <col min="3" max="4" width="16.7109375" style="1273" customWidth="1"/>
    <col min="5" max="5" width="45.7109375" style="1273" customWidth="1"/>
    <col min="6" max="6" width="44" style="40" customWidth="1"/>
    <col min="7" max="7" width="4.7109375" style="40" customWidth="1"/>
    <col min="8" max="16384" width="8.8554687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2012-042, Adair Court, Fulton County</v>
      </c>
      <c r="B1" s="869"/>
      <c r="C1" s="869"/>
      <c r="D1" s="869"/>
      <c r="E1" s="869"/>
      <c r="F1" s="869"/>
      <c r="G1" s="869"/>
    </row>
    <row r="2" spans="1:9" s="40" customFormat="1" ht="11.45" customHeight="1">
      <c r="A2" s="870" t="s">
        <v>3433</v>
      </c>
      <c r="B2" s="871"/>
      <c r="C2" s="871"/>
      <c r="D2" s="871"/>
      <c r="E2" s="871"/>
      <c r="F2" s="871"/>
      <c r="G2" s="871"/>
    </row>
    <row r="3" spans="1:9" s="40" customFormat="1" ht="25.35" customHeight="1">
      <c r="A3" s="883" t="s">
        <v>447</v>
      </c>
      <c r="B3" s="883"/>
      <c r="C3" s="883"/>
      <c r="D3" s="883"/>
      <c r="E3" s="883"/>
      <c r="F3" s="883"/>
      <c r="G3" s="883"/>
    </row>
    <row r="4" spans="1:9" s="40" customFormat="1" ht="8.25" customHeight="1">
      <c r="A4" s="95"/>
      <c r="B4" s="872" t="s">
        <v>2940</v>
      </c>
      <c r="C4" s="873"/>
      <c r="D4" s="873"/>
      <c r="E4" s="873" t="s">
        <v>415</v>
      </c>
      <c r="F4" s="878"/>
      <c r="G4" s="96" t="s">
        <v>3389</v>
      </c>
    </row>
    <row r="5" spans="1:9" s="40" customFormat="1" ht="8.25" customHeight="1">
      <c r="A5" s="97" t="s">
        <v>3391</v>
      </c>
      <c r="B5" s="874"/>
      <c r="C5" s="875"/>
      <c r="D5" s="875"/>
      <c r="E5" s="875"/>
      <c r="F5" s="879"/>
      <c r="G5" s="98" t="s">
        <v>3392</v>
      </c>
    </row>
    <row r="6" spans="1:9" s="40" customFormat="1" ht="8.25" customHeight="1">
      <c r="A6" s="99" t="s">
        <v>3393</v>
      </c>
      <c r="B6" s="876"/>
      <c r="C6" s="877"/>
      <c r="D6" s="877"/>
      <c r="E6" s="877"/>
      <c r="F6" s="880"/>
      <c r="G6" s="100" t="s">
        <v>3394</v>
      </c>
    </row>
    <row r="7" spans="1:9" s="40" customFormat="1" ht="3" customHeight="1">
      <c r="A7" s="95"/>
      <c r="B7" s="393"/>
      <c r="C7" s="393"/>
      <c r="D7" s="393"/>
      <c r="E7" s="306"/>
      <c r="F7" s="823"/>
      <c r="G7" s="311"/>
    </row>
    <row r="8" spans="1:9" s="40" customFormat="1" ht="12.6" customHeight="1">
      <c r="A8" s="101"/>
      <c r="B8" s="790"/>
      <c r="C8" s="390"/>
      <c r="D8" s="390"/>
      <c r="E8" s="790" t="s">
        <v>3154</v>
      </c>
      <c r="F8" s="390"/>
      <c r="G8" s="1228" t="s">
        <v>63</v>
      </c>
      <c r="I8" s="1229"/>
    </row>
    <row r="9" spans="1:9" s="40" customFormat="1" ht="12.6" customHeight="1" thickBot="1">
      <c r="A9" s="101"/>
      <c r="B9" s="790"/>
      <c r="C9" s="390"/>
      <c r="D9" s="390"/>
      <c r="E9" s="391" t="s">
        <v>161</v>
      </c>
      <c r="F9" s="391"/>
      <c r="G9" s="1228" t="s">
        <v>63</v>
      </c>
      <c r="I9" s="1229"/>
    </row>
    <row r="10" spans="1:9" s="40" customFormat="1" ht="12.6" customHeight="1" thickBot="1">
      <c r="A10" s="97"/>
      <c r="B10" s="402" t="s">
        <v>2856</v>
      </c>
      <c r="C10" s="402"/>
      <c r="D10" s="403"/>
      <c r="E10" s="306"/>
      <c r="F10" s="823"/>
      <c r="G10" s="823"/>
    </row>
    <row r="11" spans="1:9" s="40" customFormat="1" ht="12" customHeight="1">
      <c r="A11" s="386">
        <v>1</v>
      </c>
      <c r="B11" s="404" t="s">
        <v>2121</v>
      </c>
      <c r="C11" s="416"/>
      <c r="D11" s="1230"/>
      <c r="E11" s="391" t="s">
        <v>3402</v>
      </c>
      <c r="F11" s="390"/>
      <c r="G11" s="1228" t="s">
        <v>63</v>
      </c>
    </row>
    <row r="12" spans="1:9" s="40" customFormat="1" ht="12.6" customHeight="1">
      <c r="A12" s="386"/>
      <c r="B12" s="1231"/>
      <c r="C12" s="1231"/>
      <c r="D12" s="1231"/>
      <c r="E12" s="1230" t="s">
        <v>162</v>
      </c>
      <c r="F12" s="395"/>
      <c r="G12" s="1228" t="s">
        <v>63</v>
      </c>
    </row>
    <row r="13" spans="1:9" s="40" customFormat="1" ht="12.6" customHeight="1">
      <c r="A13" s="386"/>
      <c r="B13" s="1231"/>
      <c r="C13" s="1231"/>
      <c r="D13" s="1231"/>
      <c r="E13" s="1230" t="s">
        <v>125</v>
      </c>
      <c r="F13" s="395"/>
      <c r="G13" s="1228" t="s">
        <v>63</v>
      </c>
    </row>
    <row r="14" spans="1:9" s="40" customFormat="1" ht="12" customHeight="1">
      <c r="A14" s="101"/>
      <c r="B14" s="391"/>
      <c r="C14" s="391"/>
      <c r="D14" s="391"/>
      <c r="E14" s="392" t="s">
        <v>3282</v>
      </c>
      <c r="F14" s="391"/>
      <c r="G14" s="1228" t="s">
        <v>63</v>
      </c>
    </row>
    <row r="15" spans="1:9" s="40" customFormat="1" ht="12" customHeight="1">
      <c r="A15" s="101"/>
      <c r="B15" s="391"/>
      <c r="C15" s="391"/>
      <c r="D15" s="391"/>
      <c r="E15" s="392" t="s">
        <v>3535</v>
      </c>
      <c r="F15" s="391"/>
      <c r="G15" s="1228" t="s">
        <v>2019</v>
      </c>
    </row>
    <row r="16" spans="1:9" s="40" customFormat="1" ht="12" customHeight="1">
      <c r="A16" s="101"/>
      <c r="B16" s="391"/>
      <c r="C16" s="391"/>
      <c r="D16" s="391"/>
      <c r="E16" s="392" t="s">
        <v>2017</v>
      </c>
      <c r="F16" s="391"/>
      <c r="G16" s="1228" t="s">
        <v>2019</v>
      </c>
    </row>
    <row r="17" spans="1:7" s="40" customFormat="1" ht="12" customHeight="1">
      <c r="A17" s="101"/>
      <c r="B17" s="239"/>
      <c r="C17" s="790"/>
      <c r="D17" s="391"/>
      <c r="E17" s="391" t="s">
        <v>151</v>
      </c>
      <c r="F17" s="391"/>
      <c r="G17" s="1228" t="s">
        <v>2019</v>
      </c>
    </row>
    <row r="18" spans="1:7" s="40" customFormat="1" ht="12" customHeight="1">
      <c r="A18" s="101"/>
      <c r="B18" s="239"/>
      <c r="C18" s="790"/>
      <c r="D18" s="391"/>
      <c r="E18" s="391" t="s">
        <v>50</v>
      </c>
      <c r="F18" s="391"/>
      <c r="G18" s="1228" t="s">
        <v>2019</v>
      </c>
    </row>
    <row r="19" spans="1:7" s="40" customFormat="1" ht="12" customHeight="1">
      <c r="A19" s="387">
        <v>2</v>
      </c>
      <c r="B19" s="394" t="s">
        <v>182</v>
      </c>
      <c r="C19" s="239"/>
      <c r="D19" s="391"/>
      <c r="E19" s="391"/>
      <c r="F19" s="391"/>
      <c r="G19" s="395"/>
    </row>
    <row r="20" spans="1:7" s="40" customFormat="1" ht="3" customHeight="1">
      <c r="A20" s="101"/>
      <c r="B20" s="239"/>
      <c r="C20" s="391"/>
      <c r="D20" s="391"/>
      <c r="E20" s="1230"/>
      <c r="F20" s="391"/>
      <c r="G20" s="102"/>
    </row>
    <row r="21" spans="1:7" s="40" customFormat="1" ht="12" customHeight="1">
      <c r="A21" s="101"/>
      <c r="B21" s="239"/>
      <c r="C21" s="405" t="s">
        <v>172</v>
      </c>
      <c r="D21" s="391"/>
      <c r="E21" s="391" t="s">
        <v>2122</v>
      </c>
      <c r="F21" s="391"/>
      <c r="G21" s="1228" t="s">
        <v>2019</v>
      </c>
    </row>
    <row r="22" spans="1:7" s="40" customFormat="1" ht="3" customHeight="1">
      <c r="A22" s="101"/>
      <c r="B22" s="239"/>
      <c r="C22" s="391"/>
      <c r="D22" s="391"/>
      <c r="E22" s="1230"/>
      <c r="F22" s="391"/>
      <c r="G22" s="102"/>
    </row>
    <row r="23" spans="1:7" s="40" customFormat="1" ht="12" customHeight="1">
      <c r="A23" s="101"/>
      <c r="B23" s="239"/>
      <c r="C23" s="405" t="s">
        <v>3912</v>
      </c>
      <c r="D23" s="391"/>
      <c r="E23" s="1230" t="s">
        <v>169</v>
      </c>
      <c r="F23" s="391"/>
      <c r="G23" s="1228" t="s">
        <v>2019</v>
      </c>
    </row>
    <row r="24" spans="1:7" s="40" customFormat="1" ht="3" customHeight="1">
      <c r="A24" s="101"/>
      <c r="B24" s="239"/>
      <c r="C24" s="391"/>
      <c r="D24" s="391"/>
      <c r="E24" s="1230"/>
      <c r="F24" s="391"/>
      <c r="G24" s="102"/>
    </row>
    <row r="25" spans="1:7" s="40" customFormat="1" ht="12" customHeight="1">
      <c r="A25" s="101"/>
      <c r="B25" s="790"/>
      <c r="C25" s="405" t="s">
        <v>3216</v>
      </c>
      <c r="D25" s="391"/>
      <c r="E25" s="391" t="s">
        <v>566</v>
      </c>
      <c r="F25" s="391"/>
      <c r="G25" s="1228" t="s">
        <v>2019</v>
      </c>
    </row>
    <row r="26" spans="1:7" s="40" customFormat="1" ht="12" customHeight="1">
      <c r="A26" s="101"/>
      <c r="B26" s="391"/>
      <c r="C26" s="391"/>
      <c r="D26" s="391"/>
      <c r="E26" s="1230" t="s">
        <v>794</v>
      </c>
      <c r="F26" s="391"/>
      <c r="G26" s="1228" t="s">
        <v>2019</v>
      </c>
    </row>
    <row r="27" spans="1:7" s="40" customFormat="1" ht="12" customHeight="1">
      <c r="A27" s="101"/>
      <c r="B27" s="391"/>
      <c r="C27" s="416"/>
      <c r="D27" s="391"/>
      <c r="E27" s="1230" t="s">
        <v>2123</v>
      </c>
      <c r="F27" s="391"/>
      <c r="G27" s="1228" t="s">
        <v>2019</v>
      </c>
    </row>
    <row r="28" spans="1:7" s="40" customFormat="1" ht="12" customHeight="1">
      <c r="A28" s="101"/>
      <c r="B28" s="391"/>
      <c r="C28" s="391"/>
      <c r="D28" s="391"/>
      <c r="E28" s="1230" t="s">
        <v>1449</v>
      </c>
      <c r="F28" s="391"/>
      <c r="G28" s="1228" t="s">
        <v>2019</v>
      </c>
    </row>
    <row r="29" spans="1:7" s="40" customFormat="1" ht="12" customHeight="1">
      <c r="A29" s="101"/>
      <c r="B29" s="391"/>
      <c r="C29" s="391"/>
      <c r="D29" s="391"/>
      <c r="E29" s="1230" t="s">
        <v>1450</v>
      </c>
      <c r="F29" s="391"/>
      <c r="G29" s="1228" t="s">
        <v>2019</v>
      </c>
    </row>
    <row r="30" spans="1:7" s="40" customFormat="1" ht="12" customHeight="1">
      <c r="A30" s="101"/>
      <c r="B30" s="391"/>
      <c r="C30" s="391"/>
      <c r="D30" s="391"/>
      <c r="E30" s="1230" t="s">
        <v>139</v>
      </c>
      <c r="F30" s="391"/>
      <c r="G30" s="1228" t="s">
        <v>2019</v>
      </c>
    </row>
    <row r="31" spans="1:7" s="40" customFormat="1" ht="12" customHeight="1">
      <c r="A31" s="101"/>
      <c r="B31" s="239"/>
      <c r="D31" s="1230" t="s">
        <v>513</v>
      </c>
      <c r="E31" s="1230" t="s">
        <v>3941</v>
      </c>
      <c r="F31" s="395"/>
      <c r="G31" s="1228" t="s">
        <v>2019</v>
      </c>
    </row>
    <row r="32" spans="1:7" s="40" customFormat="1" ht="12" customHeight="1">
      <c r="A32" s="101"/>
      <c r="B32" s="1230"/>
      <c r="D32" s="790" t="s">
        <v>1549</v>
      </c>
      <c r="E32" s="1230" t="s">
        <v>3942</v>
      </c>
      <c r="F32" s="395"/>
      <c r="G32" s="1228" t="s">
        <v>2019</v>
      </c>
    </row>
    <row r="33" spans="1:7" s="40" customFormat="1" ht="12" customHeight="1">
      <c r="A33" s="101"/>
      <c r="B33" s="391"/>
      <c r="C33" s="391"/>
      <c r="D33" s="391"/>
      <c r="E33" s="1230" t="s">
        <v>170</v>
      </c>
      <c r="F33" s="391"/>
      <c r="G33" s="1228" t="s">
        <v>2019</v>
      </c>
    </row>
    <row r="34" spans="1:7" s="40" customFormat="1" ht="3" customHeight="1">
      <c r="A34" s="101"/>
      <c r="B34" s="391"/>
      <c r="C34" s="391"/>
      <c r="D34" s="391"/>
      <c r="E34" s="1230"/>
      <c r="F34" s="391"/>
      <c r="G34" s="102"/>
    </row>
    <row r="35" spans="1:7" s="40" customFormat="1" ht="12" customHeight="1">
      <c r="A35" s="97"/>
      <c r="B35" s="393"/>
      <c r="C35" s="393" t="s">
        <v>183</v>
      </c>
      <c r="D35" s="393"/>
      <c r="E35" s="395" t="s">
        <v>621</v>
      </c>
      <c r="F35" s="394"/>
      <c r="G35" s="1228" t="s">
        <v>63</v>
      </c>
    </row>
    <row r="36" spans="1:7" s="40" customFormat="1" ht="12" customHeight="1">
      <c r="A36" s="97"/>
      <c r="B36" s="393"/>
      <c r="C36" s="393"/>
      <c r="D36" s="393"/>
      <c r="E36" s="395" t="s">
        <v>622</v>
      </c>
      <c r="F36" s="394"/>
      <c r="G36" s="1228" t="s">
        <v>63</v>
      </c>
    </row>
    <row r="37" spans="1:7" s="40" customFormat="1" ht="12" customHeight="1">
      <c r="A37" s="97"/>
      <c r="B37" s="393"/>
      <c r="C37" s="393"/>
      <c r="D37" s="393"/>
      <c r="E37" s="395" t="s">
        <v>3943</v>
      </c>
      <c r="F37" s="394"/>
      <c r="G37" s="1228" t="s">
        <v>63</v>
      </c>
    </row>
    <row r="38" spans="1:7" s="40" customFormat="1" ht="26.25" customHeight="1">
      <c r="A38" s="97"/>
      <c r="B38" s="393"/>
      <c r="C38" s="393"/>
      <c r="D38" s="393"/>
      <c r="E38" s="865" t="s">
        <v>372</v>
      </c>
      <c r="F38" s="866"/>
      <c r="G38" s="1228" t="s">
        <v>63</v>
      </c>
    </row>
    <row r="39" spans="1:7" s="40" customFormat="1" ht="12" customHeight="1">
      <c r="A39" s="101"/>
      <c r="B39" s="239"/>
      <c r="C39" s="391"/>
      <c r="D39" s="391"/>
      <c r="E39" s="395" t="s">
        <v>885</v>
      </c>
      <c r="F39" s="391"/>
      <c r="G39" s="1228" t="s">
        <v>63</v>
      </c>
    </row>
    <row r="40" spans="1:7" s="40" customFormat="1" ht="12" customHeight="1">
      <c r="A40" s="101"/>
      <c r="B40" s="239"/>
      <c r="C40" s="391"/>
      <c r="D40" s="391"/>
      <c r="E40" s="395" t="s">
        <v>498</v>
      </c>
      <c r="F40" s="391"/>
      <c r="G40" s="1228" t="s">
        <v>63</v>
      </c>
    </row>
    <row r="41" spans="1:7" s="40" customFormat="1" ht="12" customHeight="1">
      <c r="A41" s="97"/>
      <c r="B41" s="393"/>
      <c r="C41" s="393"/>
      <c r="D41" s="393"/>
      <c r="E41" s="395" t="s">
        <v>2305</v>
      </c>
      <c r="F41" s="394"/>
      <c r="G41" s="1228" t="s">
        <v>63</v>
      </c>
    </row>
    <row r="42" spans="1:7" s="40" customFormat="1" ht="12" customHeight="1">
      <c r="A42" s="97"/>
      <c r="B42" s="393"/>
      <c r="C42" s="393"/>
      <c r="D42" s="393"/>
      <c r="E42" s="395" t="s">
        <v>2304</v>
      </c>
      <c r="F42" s="394"/>
      <c r="G42" s="1228" t="s">
        <v>63</v>
      </c>
    </row>
    <row r="43" spans="1:7" s="40" customFormat="1" ht="3" customHeight="1">
      <c r="A43" s="101"/>
      <c r="B43" s="391"/>
      <c r="C43" s="391"/>
      <c r="D43" s="391"/>
      <c r="E43" s="1230"/>
      <c r="F43" s="391"/>
      <c r="G43" s="102"/>
    </row>
    <row r="44" spans="1:7" s="40" customFormat="1" ht="12" customHeight="1">
      <c r="A44" s="386"/>
      <c r="B44" s="1232"/>
      <c r="C44" s="1233"/>
      <c r="D44" s="790" t="s">
        <v>222</v>
      </c>
      <c r="E44" s="1234" t="s">
        <v>171</v>
      </c>
      <c r="F44" s="1235"/>
      <c r="G44" s="1228" t="s">
        <v>2019</v>
      </c>
    </row>
    <row r="45" spans="1:7" s="40" customFormat="1" ht="11.25" customHeight="1">
      <c r="A45" s="101"/>
      <c r="B45" s="1236"/>
      <c r="C45" s="143"/>
      <c r="D45" s="143"/>
      <c r="E45" s="1230" t="s">
        <v>459</v>
      </c>
      <c r="F45" s="391"/>
      <c r="G45" s="1228" t="s">
        <v>2019</v>
      </c>
    </row>
    <row r="46" spans="1:7" s="40" customFormat="1" ht="12" customHeight="1">
      <c r="A46" s="101"/>
      <c r="B46" s="1237"/>
      <c r="C46" s="1238"/>
      <c r="D46" s="1238"/>
      <c r="E46" s="1230" t="s">
        <v>460</v>
      </c>
      <c r="F46" s="391"/>
      <c r="G46" s="1228" t="s">
        <v>2019</v>
      </c>
    </row>
    <row r="47" spans="1:7" s="40" customFormat="1" ht="26.25" customHeight="1">
      <c r="A47" s="99"/>
      <c r="B47" s="393"/>
      <c r="C47" s="393"/>
      <c r="D47" s="393"/>
      <c r="E47" s="865" t="s">
        <v>433</v>
      </c>
      <c r="F47" s="866"/>
      <c r="G47" s="1228" t="s">
        <v>2019</v>
      </c>
    </row>
    <row r="48" spans="1:7" s="40" customFormat="1" ht="3" customHeight="1">
      <c r="A48" s="798"/>
      <c r="B48" s="393"/>
      <c r="C48" s="393"/>
      <c r="D48" s="393"/>
      <c r="E48" s="395"/>
      <c r="F48" s="394"/>
      <c r="G48" s="312"/>
    </row>
    <row r="49" spans="1:7" s="40" customFormat="1" ht="12" customHeight="1">
      <c r="A49" s="386">
        <v>3</v>
      </c>
      <c r="B49" s="406" t="s">
        <v>143</v>
      </c>
      <c r="C49" s="391"/>
      <c r="D49" s="391"/>
      <c r="E49" s="395" t="s">
        <v>186</v>
      </c>
      <c r="F49" s="795"/>
      <c r="G49" s="1228" t="s">
        <v>63</v>
      </c>
    </row>
    <row r="50" spans="1:7" s="40" customFormat="1" ht="13.5">
      <c r="A50" s="386"/>
      <c r="B50" s="406"/>
      <c r="C50" s="1239" t="s">
        <v>152</v>
      </c>
      <c r="D50" s="391"/>
      <c r="E50" s="865" t="s">
        <v>114</v>
      </c>
      <c r="F50" s="866"/>
      <c r="G50" s="1228" t="s">
        <v>63</v>
      </c>
    </row>
    <row r="51" spans="1:7" s="40" customFormat="1" ht="12" customHeight="1">
      <c r="A51" s="101"/>
      <c r="B51" s="239"/>
      <c r="C51" s="790"/>
      <c r="D51" s="391"/>
      <c r="E51" s="391" t="s">
        <v>870</v>
      </c>
      <c r="F51" s="391"/>
      <c r="G51" s="1228" t="s">
        <v>63</v>
      </c>
    </row>
    <row r="52" spans="1:7" s="40" customFormat="1" ht="12" customHeight="1">
      <c r="A52" s="101"/>
      <c r="B52" s="239"/>
      <c r="C52" s="790"/>
      <c r="D52" s="391"/>
      <c r="E52" s="391" t="s">
        <v>185</v>
      </c>
      <c r="F52" s="391"/>
      <c r="G52" s="1228" t="s">
        <v>63</v>
      </c>
    </row>
    <row r="53" spans="1:7" s="40" customFormat="1" ht="12" customHeight="1">
      <c r="A53" s="101"/>
      <c r="B53" s="239"/>
      <c r="C53" s="391"/>
      <c r="D53" s="391"/>
      <c r="E53" s="395" t="s">
        <v>924</v>
      </c>
      <c r="F53" s="395"/>
      <c r="G53" s="1228" t="s">
        <v>63</v>
      </c>
    </row>
    <row r="54" spans="1:7" s="40" customFormat="1" ht="12" customHeight="1">
      <c r="A54" s="101"/>
      <c r="B54" s="239"/>
      <c r="C54" s="391"/>
      <c r="D54" s="391"/>
      <c r="E54" s="865" t="s">
        <v>187</v>
      </c>
      <c r="F54" s="866"/>
      <c r="G54" s="1228" t="s">
        <v>63</v>
      </c>
    </row>
    <row r="55" spans="1:7" s="40" customFormat="1" ht="3" customHeight="1">
      <c r="A55" s="97"/>
      <c r="B55" s="393"/>
      <c r="C55" s="393"/>
      <c r="D55" s="393"/>
      <c r="E55" s="393"/>
      <c r="F55" s="394"/>
      <c r="G55" s="311"/>
    </row>
    <row r="56" spans="1:7" s="40" customFormat="1" ht="12" customHeight="1">
      <c r="A56" s="101"/>
      <c r="B56" s="395"/>
      <c r="C56" s="868" t="s">
        <v>144</v>
      </c>
      <c r="D56" s="868"/>
      <c r="E56" s="395" t="s">
        <v>696</v>
      </c>
      <c r="F56" s="395"/>
      <c r="G56" s="1228" t="s">
        <v>63</v>
      </c>
    </row>
    <row r="57" spans="1:7" s="40" customFormat="1" ht="12" customHeight="1">
      <c r="A57" s="101"/>
      <c r="B57" s="395"/>
      <c r="C57" s="868"/>
      <c r="D57" s="868"/>
      <c r="E57" s="395" t="s">
        <v>697</v>
      </c>
      <c r="F57" s="395"/>
      <c r="G57" s="1228" t="s">
        <v>63</v>
      </c>
    </row>
    <row r="58" spans="1:7" s="1240" customFormat="1" ht="12" customHeight="1">
      <c r="A58" s="101"/>
      <c r="B58" s="395"/>
      <c r="C58" s="395"/>
      <c r="D58" s="414"/>
      <c r="E58" s="395" t="s">
        <v>827</v>
      </c>
      <c r="F58" s="395"/>
      <c r="G58" s="1228" t="s">
        <v>63</v>
      </c>
    </row>
    <row r="59" spans="1:7" s="40" customFormat="1" ht="3" customHeight="1">
      <c r="A59" s="97"/>
      <c r="B59" s="393"/>
      <c r="C59" s="393"/>
      <c r="D59" s="393"/>
      <c r="E59" s="393"/>
      <c r="F59" s="394"/>
      <c r="G59" s="311"/>
    </row>
    <row r="60" spans="1:7" s="40" customFormat="1" ht="12" customHeight="1">
      <c r="A60" s="101"/>
      <c r="C60" s="1239" t="s">
        <v>432</v>
      </c>
      <c r="D60" s="391"/>
      <c r="E60" s="391" t="s">
        <v>425</v>
      </c>
      <c r="G60" s="1228" t="s">
        <v>2019</v>
      </c>
    </row>
    <row r="61" spans="1:7" s="40" customFormat="1" ht="12" customHeight="1">
      <c r="A61" s="101"/>
      <c r="B61" s="395"/>
      <c r="C61" s="390"/>
      <c r="D61" s="395"/>
      <c r="E61" s="865" t="s">
        <v>426</v>
      </c>
      <c r="F61" s="866"/>
      <c r="G61" s="1228" t="s">
        <v>2019</v>
      </c>
    </row>
    <row r="62" spans="1:7" s="40" customFormat="1" ht="12" customHeight="1">
      <c r="A62" s="101"/>
      <c r="B62" s="395"/>
      <c r="C62" s="413"/>
      <c r="D62" s="395"/>
      <c r="E62" s="395" t="s">
        <v>173</v>
      </c>
      <c r="G62" s="1228" t="s">
        <v>2019</v>
      </c>
    </row>
    <row r="63" spans="1:7" s="40" customFormat="1" ht="12" customHeight="1">
      <c r="A63" s="101"/>
      <c r="B63" s="395"/>
      <c r="C63" s="395"/>
      <c r="D63" s="414"/>
      <c r="E63" s="395" t="s">
        <v>427</v>
      </c>
      <c r="G63" s="1228" t="s">
        <v>2019</v>
      </c>
    </row>
    <row r="64" spans="1:7" s="40" customFormat="1" ht="12" customHeight="1">
      <c r="A64" s="101"/>
      <c r="B64" s="395"/>
      <c r="C64" s="395"/>
      <c r="D64" s="414"/>
      <c r="E64" s="395" t="s">
        <v>428</v>
      </c>
      <c r="G64" s="1228" t="s">
        <v>2019</v>
      </c>
    </row>
    <row r="65" spans="1:7" s="1240" customFormat="1" ht="12" customHeight="1">
      <c r="A65" s="101"/>
      <c r="B65" s="395"/>
      <c r="C65" s="395"/>
      <c r="D65" s="414"/>
      <c r="E65" s="865" t="s">
        <v>429</v>
      </c>
      <c r="F65" s="866"/>
      <c r="G65" s="1228" t="s">
        <v>2019</v>
      </c>
    </row>
    <row r="66" spans="1:7" s="40" customFormat="1" ht="12" customHeight="1">
      <c r="A66" s="101"/>
      <c r="D66" s="391"/>
      <c r="E66" s="867" t="s">
        <v>430</v>
      </c>
      <c r="F66" s="866"/>
      <c r="G66" s="1228" t="s">
        <v>2019</v>
      </c>
    </row>
    <row r="67" spans="1:7" s="40" customFormat="1" ht="12" customHeight="1">
      <c r="A67" s="101"/>
      <c r="B67" s="395"/>
      <c r="C67" s="390"/>
      <c r="D67" s="395"/>
      <c r="E67" s="395" t="s">
        <v>431</v>
      </c>
      <c r="G67" s="1228" t="s">
        <v>2019</v>
      </c>
    </row>
    <row r="68" spans="1:7" s="40" customFormat="1" ht="13.5">
      <c r="A68" s="101"/>
      <c r="B68" s="1230" t="s">
        <v>142</v>
      </c>
      <c r="C68" s="391"/>
      <c r="D68" s="391"/>
      <c r="E68" s="796"/>
      <c r="F68" s="796"/>
      <c r="G68" s="800"/>
    </row>
    <row r="69" spans="1:7" s="40" customFormat="1" ht="6" customHeight="1">
      <c r="A69" s="97"/>
      <c r="B69" s="393"/>
      <c r="C69" s="393"/>
      <c r="D69" s="393"/>
      <c r="E69" s="395"/>
      <c r="F69" s="394"/>
      <c r="G69" s="227"/>
    </row>
    <row r="70" spans="1:7" s="40" customFormat="1" ht="12" customHeight="1">
      <c r="A70" s="386">
        <v>4</v>
      </c>
      <c r="B70" s="1231" t="s">
        <v>3186</v>
      </c>
      <c r="C70" s="391"/>
      <c r="D70" s="391"/>
      <c r="E70" s="1230" t="s">
        <v>146</v>
      </c>
      <c r="F70" s="391"/>
      <c r="G70" s="1228" t="s">
        <v>2019</v>
      </c>
    </row>
    <row r="71" spans="1:7" s="40" customFormat="1" ht="12" customHeight="1">
      <c r="A71" s="101"/>
      <c r="B71" s="391"/>
      <c r="C71" s="391"/>
      <c r="D71" s="1230"/>
      <c r="E71" s="396" t="s">
        <v>828</v>
      </c>
      <c r="F71" s="395"/>
      <c r="G71" s="1228" t="s">
        <v>2019</v>
      </c>
    </row>
    <row r="72" spans="1:7" s="40" customFormat="1" ht="12" customHeight="1">
      <c r="A72" s="386"/>
      <c r="B72" s="1231"/>
      <c r="C72" s="391"/>
      <c r="D72" s="391"/>
      <c r="E72" s="1230" t="s">
        <v>145</v>
      </c>
      <c r="F72" s="391"/>
      <c r="G72" s="1228" t="s">
        <v>63</v>
      </c>
    </row>
    <row r="73" spans="1:7" s="40" customFormat="1" ht="12" customHeight="1">
      <c r="A73" s="386"/>
      <c r="B73" s="1231"/>
      <c r="C73" s="391"/>
      <c r="D73" s="391"/>
      <c r="E73" s="1230" t="s">
        <v>135</v>
      </c>
      <c r="F73" s="391"/>
      <c r="G73" s="1228" t="s">
        <v>2019</v>
      </c>
    </row>
    <row r="74" spans="1:7" s="40" customFormat="1" ht="12" customHeight="1">
      <c r="A74" s="386"/>
      <c r="B74" s="1231"/>
      <c r="C74" s="391"/>
      <c r="D74" s="391"/>
      <c r="E74" s="1230" t="s">
        <v>442</v>
      </c>
      <c r="F74" s="391"/>
      <c r="G74" s="1228" t="s">
        <v>2019</v>
      </c>
    </row>
    <row r="75" spans="1:7" s="40" customFormat="1" ht="12" customHeight="1">
      <c r="A75" s="386"/>
      <c r="B75" s="1231"/>
      <c r="C75" s="391"/>
      <c r="D75" s="391"/>
      <c r="E75" s="1230" t="s">
        <v>1003</v>
      </c>
      <c r="F75" s="391"/>
      <c r="G75" s="1228" t="s">
        <v>2019</v>
      </c>
    </row>
    <row r="76" spans="1:7" s="40" customFormat="1" ht="12" customHeight="1">
      <c r="A76" s="386"/>
      <c r="B76" s="1231"/>
      <c r="C76" s="391"/>
      <c r="D76" s="391"/>
      <c r="E76" s="1230" t="s">
        <v>147</v>
      </c>
      <c r="F76" s="391"/>
      <c r="G76" s="1228" t="s">
        <v>2019</v>
      </c>
    </row>
    <row r="77" spans="1:7" s="40" customFormat="1" ht="12" customHeight="1">
      <c r="A77" s="386"/>
      <c r="B77" s="1231"/>
      <c r="C77" s="391"/>
      <c r="D77" s="391"/>
      <c r="E77" s="1230" t="s">
        <v>1537</v>
      </c>
      <c r="F77" s="391"/>
      <c r="G77" s="1228" t="s">
        <v>2019</v>
      </c>
    </row>
    <row r="78" spans="1:7" s="40" customFormat="1" ht="12" customHeight="1">
      <c r="A78" s="386"/>
      <c r="B78" s="1231"/>
      <c r="C78" s="391"/>
      <c r="D78" s="391"/>
      <c r="E78" s="1230" t="s">
        <v>136</v>
      </c>
      <c r="F78" s="391"/>
      <c r="G78" s="1228" t="s">
        <v>2019</v>
      </c>
    </row>
    <row r="79" spans="1:7" s="40" customFormat="1" ht="12" customHeight="1">
      <c r="A79" s="101"/>
      <c r="B79" s="407" t="s">
        <v>628</v>
      </c>
      <c r="C79" s="408"/>
      <c r="D79" s="409"/>
      <c r="E79" s="396"/>
      <c r="F79" s="391"/>
      <c r="G79" s="313"/>
    </row>
    <row r="80" spans="1:7" s="40" customFormat="1" ht="12.75" customHeight="1">
      <c r="A80" s="386">
        <v>5</v>
      </c>
      <c r="B80" s="404" t="s">
        <v>925</v>
      </c>
      <c r="C80" s="391"/>
      <c r="D80" s="391"/>
      <c r="E80" s="397" t="s">
        <v>1561</v>
      </c>
      <c r="F80" s="397"/>
      <c r="G80" s="1228" t="s">
        <v>63</v>
      </c>
    </row>
    <row r="81" spans="1:7" s="40" customFormat="1" ht="12" customHeight="1">
      <c r="A81" s="101"/>
      <c r="B81" s="391"/>
      <c r="C81" s="391"/>
      <c r="D81" s="391"/>
      <c r="E81" s="1230" t="s">
        <v>2363</v>
      </c>
      <c r="F81" s="397"/>
      <c r="G81" s="1228" t="s">
        <v>2019</v>
      </c>
    </row>
    <row r="82" spans="1:7" s="40" customFormat="1" ht="12" customHeight="1">
      <c r="A82" s="386"/>
      <c r="B82" s="404"/>
      <c r="C82" s="391"/>
      <c r="D82" s="391"/>
      <c r="E82" s="397" t="s">
        <v>2356</v>
      </c>
      <c r="F82" s="397"/>
      <c r="G82" s="1228" t="s">
        <v>63</v>
      </c>
    </row>
    <row r="83" spans="1:7" s="40" customFormat="1" ht="12" customHeight="1">
      <c r="A83" s="386"/>
      <c r="B83" s="404"/>
      <c r="C83" s="391"/>
      <c r="D83" s="391"/>
      <c r="E83" s="397" t="s">
        <v>2357</v>
      </c>
      <c r="F83" s="397"/>
      <c r="G83" s="1228" t="s">
        <v>2019</v>
      </c>
    </row>
    <row r="84" spans="1:7" s="40" customFormat="1" ht="12" customHeight="1">
      <c r="A84" s="386"/>
      <c r="B84" s="404"/>
      <c r="C84" s="391"/>
      <c r="D84" s="391"/>
      <c r="E84" s="397" t="s">
        <v>2358</v>
      </c>
      <c r="F84" s="397"/>
      <c r="G84" s="1228" t="s">
        <v>2019</v>
      </c>
    </row>
    <row r="85" spans="1:7" s="40" customFormat="1" ht="12" customHeight="1">
      <c r="A85" s="386"/>
      <c r="B85" s="404"/>
      <c r="C85" s="391"/>
      <c r="D85" s="391"/>
      <c r="E85" s="397" t="s">
        <v>1472</v>
      </c>
      <c r="F85" s="397"/>
      <c r="G85" s="1228" t="s">
        <v>2019</v>
      </c>
    </row>
    <row r="86" spans="1:7" s="40" customFormat="1" ht="12" customHeight="1">
      <c r="A86" s="101"/>
      <c r="B86" s="391"/>
      <c r="C86" s="391"/>
      <c r="D86" s="391"/>
      <c r="E86" s="1230" t="s">
        <v>2359</v>
      </c>
      <c r="F86" s="397"/>
      <c r="G86" s="1228" t="s">
        <v>2019</v>
      </c>
    </row>
    <row r="87" spans="1:7" s="40" customFormat="1" ht="12" customHeight="1">
      <c r="A87" s="104"/>
      <c r="B87" s="391"/>
      <c r="C87" s="391"/>
      <c r="D87" s="391"/>
      <c r="E87" s="1230" t="s">
        <v>2360</v>
      </c>
      <c r="F87" s="391"/>
      <c r="G87" s="1228" t="s">
        <v>2019</v>
      </c>
    </row>
    <row r="88" spans="1:7" s="40" customFormat="1" ht="12" customHeight="1">
      <c r="A88" s="799"/>
      <c r="B88" s="391"/>
      <c r="C88" s="416"/>
      <c r="D88" s="391"/>
      <c r="E88" s="881" t="s">
        <v>2361</v>
      </c>
      <c r="F88" s="882"/>
      <c r="G88" s="1228" t="s">
        <v>2019</v>
      </c>
    </row>
    <row r="89" spans="1:7" s="40" customFormat="1" ht="12" customHeight="1">
      <c r="A89" s="101"/>
      <c r="B89" s="391"/>
      <c r="C89" s="416"/>
      <c r="D89" s="391"/>
      <c r="E89" s="440" t="s">
        <v>2362</v>
      </c>
      <c r="F89" s="398"/>
      <c r="G89" s="1228" t="s">
        <v>2019</v>
      </c>
    </row>
    <row r="90" spans="1:7" s="40" customFormat="1" ht="12" customHeight="1">
      <c r="A90" s="101"/>
      <c r="B90" s="391"/>
      <c r="C90" s="391"/>
      <c r="D90" s="391"/>
      <c r="E90" s="1230" t="s">
        <v>2301</v>
      </c>
      <c r="F90" s="397"/>
      <c r="G90" s="1228" t="s">
        <v>2019</v>
      </c>
    </row>
    <row r="91" spans="1:7" s="40" customFormat="1" ht="12" customHeight="1">
      <c r="A91" s="101"/>
      <c r="B91" s="391"/>
      <c r="C91" s="391"/>
      <c r="D91" s="391"/>
      <c r="E91" s="397" t="s">
        <v>2364</v>
      </c>
      <c r="F91" s="397"/>
      <c r="G91" s="1228" t="s">
        <v>2019</v>
      </c>
    </row>
    <row r="92" spans="1:7" s="40" customFormat="1" ht="12" customHeight="1">
      <c r="A92" s="101"/>
      <c r="B92" s="391"/>
      <c r="C92" s="391"/>
      <c r="D92" s="391"/>
      <c r="E92" s="397" t="s">
        <v>3651</v>
      </c>
      <c r="F92" s="397"/>
      <c r="G92" s="1228" t="s">
        <v>2019</v>
      </c>
    </row>
    <row r="93" spans="1:7" s="40" customFormat="1" ht="12" customHeight="1">
      <c r="A93" s="101"/>
      <c r="B93" s="391"/>
      <c r="C93" s="411"/>
      <c r="D93" s="411"/>
      <c r="E93" s="395" t="s">
        <v>2303</v>
      </c>
      <c r="F93" s="399"/>
      <c r="G93" s="1228" t="s">
        <v>2019</v>
      </c>
    </row>
    <row r="94" spans="1:7" s="40" customFormat="1" ht="12" customHeight="1">
      <c r="A94" s="101"/>
      <c r="B94" s="391"/>
      <c r="C94" s="391"/>
      <c r="D94" s="391"/>
      <c r="E94" s="397" t="s">
        <v>174</v>
      </c>
      <c r="F94" s="397"/>
      <c r="G94" s="1228" t="s">
        <v>61</v>
      </c>
    </row>
    <row r="95" spans="1:7" s="40" customFormat="1" ht="12" customHeight="1">
      <c r="A95" s="101"/>
      <c r="B95" s="391"/>
      <c r="C95" s="391"/>
      <c r="D95" s="391"/>
      <c r="E95" s="397" t="s">
        <v>3537</v>
      </c>
      <c r="F95" s="397"/>
      <c r="G95" s="1228" t="s">
        <v>63</v>
      </c>
    </row>
    <row r="96" spans="1:7" s="40" customFormat="1" ht="13.5">
      <c r="A96" s="101"/>
      <c r="C96" s="1241" t="s">
        <v>461</v>
      </c>
      <c r="D96" s="391"/>
      <c r="E96" s="1230"/>
      <c r="F96" s="397"/>
      <c r="G96" s="149"/>
    </row>
    <row r="97" spans="1:7" s="40" customFormat="1" ht="12.75" customHeight="1">
      <c r="A97" s="387"/>
      <c r="D97" s="1242" t="s">
        <v>462</v>
      </c>
      <c r="E97" s="1230" t="s">
        <v>148</v>
      </c>
      <c r="F97" s="396"/>
      <c r="G97" s="1243" t="s">
        <v>2019</v>
      </c>
    </row>
    <row r="98" spans="1:7" s="40" customFormat="1" ht="12.75" customHeight="1">
      <c r="A98" s="797"/>
      <c r="B98" s="1230"/>
      <c r="D98" s="1242"/>
      <c r="E98" s="1230" t="s">
        <v>4106</v>
      </c>
      <c r="F98" s="396"/>
      <c r="G98" s="1243" t="s">
        <v>2019</v>
      </c>
    </row>
    <row r="99" spans="1:7" s="40" customFormat="1" ht="12.75" customHeight="1">
      <c r="A99" s="797"/>
      <c r="B99" s="400"/>
      <c r="D99" s="1242"/>
      <c r="E99" s="1244" t="s">
        <v>4107</v>
      </c>
      <c r="F99" s="396"/>
      <c r="G99" s="1243" t="s">
        <v>2019</v>
      </c>
    </row>
    <row r="100" spans="1:7" s="40" customFormat="1" ht="6" customHeight="1">
      <c r="A100" s="101"/>
      <c r="B100" s="391"/>
      <c r="C100" s="391"/>
      <c r="D100" s="391"/>
      <c r="E100" s="1230"/>
      <c r="F100" s="397"/>
      <c r="G100" s="149"/>
    </row>
    <row r="101" spans="1:7" s="40" customFormat="1" ht="12" customHeight="1">
      <c r="A101" s="386">
        <v>6</v>
      </c>
      <c r="B101" s="410" t="s">
        <v>3187</v>
      </c>
      <c r="C101" s="239"/>
      <c r="D101" s="391"/>
      <c r="E101" s="391" t="s">
        <v>795</v>
      </c>
      <c r="F101" s="391"/>
      <c r="G101" s="1228" t="s">
        <v>2019</v>
      </c>
    </row>
    <row r="102" spans="1:7" s="40" customFormat="1" ht="12" customHeight="1">
      <c r="A102" s="101"/>
      <c r="B102" s="391"/>
      <c r="C102" s="411"/>
      <c r="D102" s="411"/>
      <c r="E102" s="395" t="s">
        <v>564</v>
      </c>
      <c r="F102" s="399"/>
      <c r="G102" s="1228" t="s">
        <v>2019</v>
      </c>
    </row>
    <row r="103" spans="1:7" s="40" customFormat="1" ht="12" customHeight="1">
      <c r="A103" s="101"/>
      <c r="B103" s="391"/>
      <c r="C103" s="411"/>
      <c r="D103" s="411"/>
      <c r="E103" s="395" t="s">
        <v>465</v>
      </c>
      <c r="F103" s="399"/>
      <c r="G103" s="1228" t="s">
        <v>2019</v>
      </c>
    </row>
    <row r="104" spans="1:7" s="40" customFormat="1" ht="12" customHeight="1">
      <c r="A104" s="101"/>
      <c r="B104" s="391"/>
      <c r="C104" s="391"/>
      <c r="D104" s="391"/>
      <c r="E104" s="391" t="s">
        <v>661</v>
      </c>
      <c r="F104" s="391"/>
      <c r="G104" s="1228" t="s">
        <v>2019</v>
      </c>
    </row>
    <row r="105" spans="1:7" s="40" customFormat="1" ht="6" customHeight="1">
      <c r="A105" s="97"/>
      <c r="B105" s="393"/>
      <c r="C105" s="393"/>
      <c r="D105" s="393"/>
      <c r="E105" s="393"/>
      <c r="F105" s="394"/>
      <c r="G105" s="312"/>
    </row>
    <row r="106" spans="1:7" s="40" customFormat="1" ht="12" customHeight="1">
      <c r="A106" s="386">
        <v>7</v>
      </c>
      <c r="B106" s="406" t="s">
        <v>1562</v>
      </c>
      <c r="C106" s="239"/>
      <c r="D106" s="391"/>
      <c r="E106" s="397" t="s">
        <v>2857</v>
      </c>
      <c r="F106" s="397"/>
      <c r="G106" s="1228" t="s">
        <v>63</v>
      </c>
    </row>
    <row r="107" spans="1:7" s="40" customFormat="1" ht="6" customHeight="1">
      <c r="A107" s="101"/>
      <c r="B107" s="239"/>
      <c r="C107" s="790"/>
      <c r="D107" s="391"/>
      <c r="E107" s="397"/>
      <c r="F107" s="397"/>
      <c r="G107" s="149"/>
    </row>
    <row r="108" spans="1:7" s="40" customFormat="1" ht="12" customHeight="1">
      <c r="A108" s="386">
        <v>8</v>
      </c>
      <c r="B108" s="406" t="s">
        <v>926</v>
      </c>
      <c r="C108" s="239"/>
      <c r="D108" s="391"/>
      <c r="E108" s="397" t="s">
        <v>2302</v>
      </c>
      <c r="F108" s="397"/>
      <c r="G108" s="1228" t="s">
        <v>63</v>
      </c>
    </row>
    <row r="109" spans="1:7" s="40" customFormat="1" ht="12" customHeight="1">
      <c r="A109" s="101"/>
      <c r="B109" s="239"/>
      <c r="C109" s="790"/>
      <c r="D109" s="391"/>
      <c r="E109" s="397" t="s">
        <v>184</v>
      </c>
      <c r="F109" s="397"/>
      <c r="G109" s="1228" t="s">
        <v>2019</v>
      </c>
    </row>
    <row r="110" spans="1:7" s="40" customFormat="1" ht="12" customHeight="1">
      <c r="A110" s="101"/>
      <c r="B110" s="239"/>
      <c r="C110" s="790"/>
      <c r="D110" s="391"/>
      <c r="E110" s="397" t="s">
        <v>177</v>
      </c>
      <c r="F110" s="397"/>
      <c r="G110" s="1228" t="s">
        <v>2019</v>
      </c>
    </row>
    <row r="111" spans="1:7" s="40" customFormat="1" ht="6" customHeight="1">
      <c r="A111" s="101"/>
      <c r="B111" s="790"/>
      <c r="C111" s="391"/>
      <c r="D111" s="391"/>
      <c r="E111" s="1230"/>
      <c r="F111" s="397"/>
      <c r="G111" s="314"/>
    </row>
    <row r="112" spans="1:7" s="40" customFormat="1" ht="13.5">
      <c r="A112" s="386">
        <v>9</v>
      </c>
      <c r="B112" s="404" t="s">
        <v>2591</v>
      </c>
      <c r="C112" s="239"/>
      <c r="D112" s="391"/>
      <c r="E112" s="865" t="s">
        <v>401</v>
      </c>
      <c r="F112" s="866"/>
      <c r="G112" s="1228" t="s">
        <v>63</v>
      </c>
    </row>
    <row r="113" spans="1:7" s="40" customFormat="1" ht="12" customHeight="1">
      <c r="A113" s="101"/>
      <c r="B113" s="395"/>
      <c r="C113" s="239"/>
      <c r="D113" s="395"/>
      <c r="E113" s="395" t="s">
        <v>3444</v>
      </c>
      <c r="F113" s="401"/>
      <c r="G113" s="1228" t="s">
        <v>63</v>
      </c>
    </row>
    <row r="114" spans="1:7" s="40" customFormat="1" ht="12" customHeight="1">
      <c r="A114" s="101"/>
      <c r="B114" s="391"/>
      <c r="C114" s="239"/>
      <c r="D114" s="391"/>
      <c r="E114" s="395" t="s">
        <v>403</v>
      </c>
      <c r="F114" s="397"/>
      <c r="G114" s="1228" t="s">
        <v>2019</v>
      </c>
    </row>
    <row r="115" spans="1:7" s="40" customFormat="1" ht="6" customHeight="1">
      <c r="A115" s="97"/>
      <c r="B115" s="393"/>
      <c r="C115" s="393"/>
      <c r="D115" s="393"/>
      <c r="E115" s="393"/>
      <c r="F115" s="394"/>
      <c r="G115" s="227"/>
    </row>
    <row r="116" spans="1:7" s="40" customFormat="1" ht="12" customHeight="1">
      <c r="A116" s="386">
        <v>10</v>
      </c>
      <c r="B116" s="404" t="s">
        <v>3489</v>
      </c>
      <c r="C116" s="239"/>
      <c r="D116" s="395"/>
      <c r="E116" s="391" t="s">
        <v>330</v>
      </c>
      <c r="F116" s="391"/>
      <c r="G116" s="1228" t="s">
        <v>63</v>
      </c>
    </row>
    <row r="117" spans="1:7" s="40" customFormat="1" ht="12" customHeight="1">
      <c r="A117" s="101"/>
      <c r="B117" s="239"/>
      <c r="C117" s="239"/>
      <c r="D117" s="391"/>
      <c r="E117" s="391" t="s">
        <v>944</v>
      </c>
      <c r="F117" s="391"/>
      <c r="G117" s="1228" t="s">
        <v>2019</v>
      </c>
    </row>
    <row r="118" spans="1:7" s="40" customFormat="1" ht="12" customHeight="1">
      <c r="A118" s="101"/>
      <c r="B118" s="391"/>
      <c r="C118" s="239"/>
      <c r="D118" s="391"/>
      <c r="E118" s="391" t="s">
        <v>1112</v>
      </c>
      <c r="F118" s="391"/>
      <c r="G118" s="1228" t="s">
        <v>2019</v>
      </c>
    </row>
    <row r="119" spans="1:7" s="40" customFormat="1" ht="12" customHeight="1">
      <c r="A119" s="101"/>
      <c r="B119" s="390"/>
      <c r="C119" s="239"/>
      <c r="D119" s="391"/>
      <c r="E119" s="395" t="s">
        <v>357</v>
      </c>
      <c r="F119" s="401"/>
      <c r="G119" s="1228" t="s">
        <v>2019</v>
      </c>
    </row>
    <row r="120" spans="1:7" s="40" customFormat="1" ht="6" customHeight="1">
      <c r="A120" s="97"/>
      <c r="B120" s="393"/>
      <c r="C120" s="239"/>
      <c r="D120" s="393"/>
      <c r="E120" s="393"/>
      <c r="F120" s="394"/>
      <c r="G120" s="312"/>
    </row>
    <row r="121" spans="1:7" s="40" customFormat="1" ht="26.25" customHeight="1">
      <c r="A121" s="386">
        <v>11</v>
      </c>
      <c r="B121" s="412" t="s">
        <v>3788</v>
      </c>
      <c r="C121" s="239"/>
      <c r="D121" s="395"/>
      <c r="E121" s="865" t="s">
        <v>362</v>
      </c>
      <c r="F121" s="865"/>
      <c r="G121" s="1228" t="s">
        <v>63</v>
      </c>
    </row>
    <row r="122" spans="1:7" s="40" customFormat="1" ht="12" customHeight="1">
      <c r="A122" s="104"/>
      <c r="B122" s="390"/>
      <c r="C122" s="239"/>
      <c r="D122" s="395"/>
      <c r="E122" s="865" t="s">
        <v>358</v>
      </c>
      <c r="F122" s="866"/>
      <c r="G122" s="1228" t="s">
        <v>63</v>
      </c>
    </row>
    <row r="123" spans="1:7" s="40" customFormat="1" ht="6" customHeight="1">
      <c r="A123" s="798"/>
      <c r="B123" s="393"/>
      <c r="C123" s="239"/>
      <c r="D123" s="393"/>
      <c r="E123" s="393"/>
      <c r="F123" s="394"/>
      <c r="G123" s="312"/>
    </row>
    <row r="124" spans="1:7" s="40" customFormat="1" ht="12" customHeight="1">
      <c r="A124" s="386">
        <v>12</v>
      </c>
      <c r="B124" s="404" t="s">
        <v>1538</v>
      </c>
      <c r="C124" s="239"/>
      <c r="D124" s="391"/>
      <c r="E124" s="395" t="s">
        <v>363</v>
      </c>
      <c r="F124" s="401"/>
      <c r="G124" s="1228" t="s">
        <v>2019</v>
      </c>
    </row>
    <row r="125" spans="1:7" s="40" customFormat="1" ht="12" customHeight="1">
      <c r="A125" s="386"/>
      <c r="B125" s="404"/>
      <c r="C125" s="239"/>
      <c r="D125" s="391"/>
      <c r="E125" s="395" t="s">
        <v>796</v>
      </c>
      <c r="F125" s="395"/>
      <c r="G125" s="1228" t="s">
        <v>63</v>
      </c>
    </row>
    <row r="126" spans="1:7" s="40" customFormat="1" ht="12" customHeight="1">
      <c r="A126" s="101"/>
      <c r="B126" s="395"/>
      <c r="C126" s="239"/>
      <c r="D126" s="395"/>
      <c r="E126" s="396" t="s">
        <v>565</v>
      </c>
      <c r="F126" s="391"/>
      <c r="G126" s="1228" t="s">
        <v>2019</v>
      </c>
    </row>
    <row r="127" spans="1:7" s="40" customFormat="1" ht="12" customHeight="1">
      <c r="A127" s="101"/>
      <c r="B127" s="391"/>
      <c r="C127" s="239"/>
      <c r="D127" s="1230"/>
      <c r="E127" s="391" t="s">
        <v>893</v>
      </c>
      <c r="F127" s="391"/>
      <c r="G127" s="1228" t="s">
        <v>63</v>
      </c>
    </row>
    <row r="128" spans="1:7" s="40" customFormat="1" ht="12" customHeight="1">
      <c r="A128" s="101"/>
      <c r="B128" s="390"/>
      <c r="C128" s="239"/>
      <c r="D128" s="391"/>
      <c r="E128" s="391" t="s">
        <v>2515</v>
      </c>
      <c r="F128" s="391"/>
      <c r="G128" s="1228" t="s">
        <v>63</v>
      </c>
    </row>
    <row r="129" spans="1:7" s="40" customFormat="1" ht="12" customHeight="1">
      <c r="A129" s="101"/>
      <c r="B129" s="391"/>
      <c r="C129" s="239"/>
      <c r="D129" s="391"/>
      <c r="E129" s="395" t="s">
        <v>2516</v>
      </c>
      <c r="F129" s="401"/>
      <c r="G129" s="1228" t="s">
        <v>63</v>
      </c>
    </row>
    <row r="130" spans="1:7" s="40" customFormat="1" ht="12" customHeight="1">
      <c r="A130" s="101"/>
      <c r="B130" s="395"/>
      <c r="C130" s="239"/>
      <c r="D130" s="395"/>
      <c r="E130" s="395" t="s">
        <v>759</v>
      </c>
      <c r="F130" s="401"/>
      <c r="G130" s="1228" t="s">
        <v>2019</v>
      </c>
    </row>
    <row r="131" spans="1:7" s="40" customFormat="1" ht="3" customHeight="1">
      <c r="A131" s="97"/>
      <c r="B131" s="393"/>
      <c r="C131" s="393"/>
      <c r="D131" s="393"/>
      <c r="E131" s="393"/>
      <c r="F131" s="394"/>
      <c r="G131" s="312"/>
    </row>
    <row r="132" spans="1:7" ht="12" customHeight="1">
      <c r="A132" s="386">
        <v>13</v>
      </c>
      <c r="B132" s="884" t="s">
        <v>3873</v>
      </c>
      <c r="C132" s="885"/>
      <c r="D132" s="885"/>
      <c r="E132" s="395" t="s">
        <v>2307</v>
      </c>
      <c r="F132" s="395"/>
      <c r="G132" s="1228" t="s">
        <v>63</v>
      </c>
    </row>
    <row r="133" spans="1:7" s="40" customFormat="1" ht="12" customHeight="1">
      <c r="A133" s="101"/>
      <c r="B133" s="884"/>
      <c r="C133" s="885"/>
      <c r="D133" s="885"/>
      <c r="E133" s="395" t="s">
        <v>2308</v>
      </c>
      <c r="F133" s="395"/>
      <c r="G133" s="1228" t="s">
        <v>63</v>
      </c>
    </row>
    <row r="134" spans="1:7" s="40" customFormat="1" ht="12" customHeight="1">
      <c r="A134" s="101"/>
      <c r="B134" s="884"/>
      <c r="C134" s="885"/>
      <c r="D134" s="885"/>
      <c r="E134" s="395" t="s">
        <v>2311</v>
      </c>
      <c r="F134" s="395"/>
      <c r="G134" s="1228" t="s">
        <v>2019</v>
      </c>
    </row>
    <row r="135" spans="1:7" s="40" customFormat="1" ht="6" customHeight="1">
      <c r="A135" s="97"/>
      <c r="B135" s="393"/>
      <c r="C135" s="393"/>
      <c r="D135" s="393"/>
      <c r="E135" s="393"/>
      <c r="F135" s="394"/>
      <c r="G135" s="312"/>
    </row>
    <row r="136" spans="1:7" s="40" customFormat="1" ht="12" customHeight="1">
      <c r="A136" s="386">
        <v>14</v>
      </c>
      <c r="B136" s="404" t="s">
        <v>2309</v>
      </c>
      <c r="C136" s="239"/>
      <c r="D136" s="391"/>
      <c r="E136" s="391" t="s">
        <v>741</v>
      </c>
      <c r="F136" s="397"/>
      <c r="G136" s="1228" t="s">
        <v>2019</v>
      </c>
    </row>
    <row r="137" spans="1:7" s="40" customFormat="1" ht="12" customHeight="1">
      <c r="A137" s="101"/>
      <c r="B137" s="588" t="s">
        <v>1170</v>
      </c>
      <c r="C137" s="239"/>
      <c r="D137" s="1245"/>
      <c r="E137" s="867" t="s">
        <v>156</v>
      </c>
      <c r="F137" s="866"/>
      <c r="G137" s="1228" t="s">
        <v>2019</v>
      </c>
    </row>
    <row r="138" spans="1:7" s="40" customFormat="1" ht="6" customHeight="1">
      <c r="A138" s="97"/>
      <c r="B138" s="393"/>
      <c r="C138" s="393"/>
      <c r="D138" s="393"/>
      <c r="E138" s="393"/>
      <c r="F138" s="394"/>
      <c r="G138" s="311"/>
    </row>
    <row r="139" spans="1:7" s="40" customFormat="1" ht="12" customHeight="1">
      <c r="A139" s="386">
        <v>15</v>
      </c>
      <c r="B139" s="404" t="s">
        <v>1132</v>
      </c>
      <c r="C139" s="412"/>
      <c r="D139" s="395"/>
      <c r="E139" s="392" t="s">
        <v>1133</v>
      </c>
      <c r="F139" s="391"/>
      <c r="G139" s="1228" t="s">
        <v>63</v>
      </c>
    </row>
    <row r="140" spans="1:7" s="40" customFormat="1" ht="12" customHeight="1">
      <c r="A140" s="386"/>
      <c r="B140" s="588" t="s">
        <v>805</v>
      </c>
      <c r="C140" s="404"/>
      <c r="D140" s="391"/>
      <c r="E140" s="392" t="s">
        <v>1695</v>
      </c>
      <c r="F140" s="391"/>
      <c r="G140" s="1228" t="s">
        <v>63</v>
      </c>
    </row>
    <row r="141" spans="1:7" s="40" customFormat="1" ht="12" customHeight="1">
      <c r="A141" s="101"/>
      <c r="B141" s="239"/>
      <c r="C141" s="391"/>
      <c r="D141" s="391"/>
      <c r="E141" s="391" t="s">
        <v>910</v>
      </c>
      <c r="F141" s="391"/>
      <c r="G141" s="1228" t="s">
        <v>63</v>
      </c>
    </row>
    <row r="142" spans="1:7" s="40" customFormat="1" ht="12" customHeight="1">
      <c r="A142" s="101"/>
      <c r="B142" s="391"/>
      <c r="C142" s="391"/>
      <c r="D142" s="391"/>
      <c r="E142" s="391" t="s">
        <v>404</v>
      </c>
      <c r="F142" s="391"/>
      <c r="G142" s="1228" t="s">
        <v>63</v>
      </c>
    </row>
    <row r="143" spans="1:7" s="40" customFormat="1" ht="3" customHeight="1">
      <c r="A143" s="101"/>
      <c r="B143" s="415"/>
      <c r="C143" s="1246"/>
      <c r="D143" s="1246"/>
      <c r="E143" s="1247"/>
      <c r="F143" s="103"/>
      <c r="G143" s="103"/>
    </row>
    <row r="144" spans="1:7" s="40" customFormat="1" ht="12.6" customHeight="1">
      <c r="A144" s="386">
        <v>16</v>
      </c>
      <c r="B144" s="412" t="s">
        <v>3299</v>
      </c>
      <c r="C144" s="1230"/>
      <c r="D144" s="1230"/>
      <c r="E144" s="395" t="s">
        <v>3662</v>
      </c>
      <c r="F144" s="395"/>
      <c r="G144" s="1228" t="s">
        <v>63</v>
      </c>
    </row>
    <row r="145" spans="1:7" s="40" customFormat="1" ht="12" customHeight="1">
      <c r="A145" s="101"/>
      <c r="B145" s="395"/>
      <c r="C145" s="390"/>
      <c r="D145" s="395"/>
      <c r="E145" s="395" t="s">
        <v>584</v>
      </c>
      <c r="F145" s="395"/>
      <c r="G145" s="1228" t="s">
        <v>63</v>
      </c>
    </row>
    <row r="146" spans="1:7" s="40" customFormat="1" ht="12" customHeight="1">
      <c r="A146" s="101"/>
      <c r="B146" s="395"/>
      <c r="C146" s="413"/>
      <c r="D146" s="395"/>
      <c r="E146" s="395" t="s">
        <v>3442</v>
      </c>
      <c r="F146" s="395"/>
      <c r="G146" s="1228" t="s">
        <v>63</v>
      </c>
    </row>
    <row r="147" spans="1:7" s="40" customFormat="1" ht="12" customHeight="1">
      <c r="A147" s="101"/>
      <c r="B147" s="395"/>
      <c r="C147" s="395"/>
      <c r="D147" s="414"/>
      <c r="E147" s="395" t="s">
        <v>3443</v>
      </c>
      <c r="F147" s="395"/>
      <c r="G147" s="1228" t="s">
        <v>63</v>
      </c>
    </row>
    <row r="148" spans="1:7" s="40" customFormat="1" ht="12" customHeight="1">
      <c r="A148" s="101"/>
      <c r="B148" s="395"/>
      <c r="C148" s="395"/>
      <c r="D148" s="414"/>
      <c r="E148" s="395" t="s">
        <v>3163</v>
      </c>
      <c r="F148" s="395"/>
      <c r="G148" s="1228" t="s">
        <v>63</v>
      </c>
    </row>
    <row r="149" spans="1:7" s="1240" customFormat="1" ht="12" customHeight="1">
      <c r="A149" s="101"/>
      <c r="B149" s="395"/>
      <c r="C149" s="395"/>
      <c r="D149" s="414"/>
      <c r="E149" s="395" t="s">
        <v>1941</v>
      </c>
      <c r="F149" s="395"/>
      <c r="G149" s="1228" t="s">
        <v>63</v>
      </c>
    </row>
    <row r="150" spans="1:7" s="40" customFormat="1" ht="12" customHeight="1">
      <c r="A150" s="101"/>
      <c r="B150" s="395"/>
      <c r="C150" s="395"/>
      <c r="D150" s="395"/>
      <c r="E150" s="790" t="s">
        <v>620</v>
      </c>
      <c r="F150" s="401"/>
      <c r="G150" s="1228" t="s">
        <v>63</v>
      </c>
    </row>
    <row r="151" spans="1:7" s="40" customFormat="1" ht="12" customHeight="1">
      <c r="A151" s="101"/>
      <c r="B151" s="395"/>
      <c r="C151" s="395"/>
      <c r="D151" s="395"/>
      <c r="E151" s="790" t="s">
        <v>373</v>
      </c>
      <c r="F151" s="401"/>
      <c r="G151" s="1228" t="s">
        <v>63</v>
      </c>
    </row>
    <row r="152" spans="1:7" s="40" customFormat="1" ht="6" customHeight="1">
      <c r="A152" s="97"/>
      <c r="B152" s="393"/>
      <c r="C152" s="393"/>
      <c r="D152" s="393"/>
      <c r="E152" s="393"/>
      <c r="F152" s="394"/>
      <c r="G152" s="312"/>
    </row>
    <row r="153" spans="1:7" ht="11.45" customHeight="1">
      <c r="A153" s="386">
        <v>17</v>
      </c>
      <c r="B153" s="412" t="s">
        <v>1697</v>
      </c>
      <c r="C153" s="1230"/>
      <c r="D153" s="1230"/>
      <c r="E153" s="395" t="s">
        <v>1432</v>
      </c>
      <c r="F153" s="395"/>
      <c r="G153" s="1228" t="s">
        <v>2019</v>
      </c>
    </row>
    <row r="154" spans="1:7" ht="11.45" customHeight="1">
      <c r="A154" s="386"/>
      <c r="B154" s="412"/>
      <c r="C154" s="1230"/>
      <c r="D154" s="1230"/>
      <c r="E154" s="395" t="s">
        <v>1081</v>
      </c>
      <c r="F154" s="395"/>
      <c r="G154" s="1228" t="s">
        <v>2019</v>
      </c>
    </row>
    <row r="155" spans="1:7" s="40" customFormat="1" ht="11.45" customHeight="1">
      <c r="A155" s="101"/>
      <c r="B155" s="395"/>
      <c r="C155" s="395"/>
      <c r="D155" s="395"/>
      <c r="E155" s="395" t="s">
        <v>2312</v>
      </c>
      <c r="F155" s="395"/>
      <c r="G155" s="1228" t="s">
        <v>2019</v>
      </c>
    </row>
    <row r="156" spans="1:7" s="40" customFormat="1" ht="11.45" customHeight="1">
      <c r="A156" s="104"/>
      <c r="B156" s="395"/>
      <c r="C156" s="395"/>
      <c r="D156" s="395"/>
      <c r="E156" s="395" t="s">
        <v>2310</v>
      </c>
      <c r="F156" s="395"/>
      <c r="G156" s="1228" t="s">
        <v>2019</v>
      </c>
    </row>
    <row r="157" spans="1:7" s="40" customFormat="1" ht="6" customHeight="1">
      <c r="A157" s="97"/>
      <c r="B157" s="393"/>
      <c r="C157" s="393"/>
      <c r="D157" s="393"/>
      <c r="E157" s="393"/>
      <c r="F157" s="394"/>
      <c r="G157" s="312"/>
    </row>
    <row r="158" spans="1:7" s="40" customFormat="1" ht="12" customHeight="1">
      <c r="A158" s="386">
        <v>18</v>
      </c>
      <c r="B158" s="412" t="s">
        <v>3559</v>
      </c>
      <c r="C158" s="1230"/>
      <c r="D158" s="1230"/>
      <c r="E158" s="395" t="s">
        <v>2071</v>
      </c>
      <c r="F158" s="391"/>
      <c r="G158" s="1228" t="s">
        <v>2019</v>
      </c>
    </row>
    <row r="159" spans="1:7" s="40" customFormat="1" ht="12" customHeight="1">
      <c r="A159" s="101"/>
      <c r="B159" s="239"/>
      <c r="C159" s="239"/>
      <c r="D159" s="239"/>
      <c r="E159" s="395" t="s">
        <v>915</v>
      </c>
      <c r="F159" s="391"/>
      <c r="G159" s="1228" t="s">
        <v>2019</v>
      </c>
    </row>
    <row r="160" spans="1:7" s="40" customFormat="1" ht="12" customHeight="1">
      <c r="A160" s="101"/>
      <c r="B160" s="239"/>
      <c r="C160" s="239"/>
      <c r="D160" s="239"/>
      <c r="E160" s="395" t="s">
        <v>852</v>
      </c>
      <c r="F160" s="391"/>
      <c r="G160" s="1228" t="s">
        <v>2019</v>
      </c>
    </row>
    <row r="161" spans="1:7" s="40" customFormat="1" ht="12" customHeight="1">
      <c r="A161" s="101"/>
      <c r="B161" s="239"/>
      <c r="C161" s="395"/>
      <c r="D161" s="395"/>
      <c r="E161" s="395" t="s">
        <v>2072</v>
      </c>
      <c r="F161" s="391"/>
      <c r="G161" s="1228" t="s">
        <v>2019</v>
      </c>
    </row>
    <row r="162" spans="1:7" s="40" customFormat="1" ht="12" customHeight="1">
      <c r="A162" s="101"/>
      <c r="B162" s="395"/>
      <c r="C162" s="395"/>
      <c r="D162" s="395"/>
      <c r="E162" s="395" t="s">
        <v>2073</v>
      </c>
      <c r="F162" s="391"/>
      <c r="G162" s="1228" t="s">
        <v>2019</v>
      </c>
    </row>
    <row r="163" spans="1:7" s="40" customFormat="1" ht="12" customHeight="1">
      <c r="A163" s="101"/>
      <c r="B163" s="395"/>
      <c r="C163" s="395"/>
      <c r="D163" s="395"/>
      <c r="E163" s="395" t="s">
        <v>954</v>
      </c>
      <c r="F163" s="391"/>
      <c r="G163" s="1228" t="s">
        <v>2019</v>
      </c>
    </row>
    <row r="164" spans="1:7" s="40" customFormat="1" ht="12" customHeight="1">
      <c r="A164" s="101"/>
      <c r="B164" s="395"/>
      <c r="C164" s="395"/>
      <c r="D164" s="395"/>
      <c r="E164" s="395" t="s">
        <v>955</v>
      </c>
      <c r="F164" s="391"/>
      <c r="G164" s="1228" t="s">
        <v>2019</v>
      </c>
    </row>
    <row r="165" spans="1:7" s="40" customFormat="1" ht="12" customHeight="1">
      <c r="A165" s="101"/>
      <c r="B165" s="395"/>
      <c r="C165" s="395"/>
      <c r="D165" s="395"/>
      <c r="E165" s="395" t="s">
        <v>2070</v>
      </c>
      <c r="F165" s="391"/>
      <c r="G165" s="1228" t="s">
        <v>2019</v>
      </c>
    </row>
    <row r="166" spans="1:7" s="40" customFormat="1" ht="12" customHeight="1">
      <c r="A166" s="101"/>
      <c r="B166" s="790"/>
      <c r="C166" s="413"/>
      <c r="D166" s="395"/>
      <c r="E166" s="396" t="s">
        <v>1451</v>
      </c>
      <c r="F166" s="391"/>
      <c r="G166" s="1228" t="s">
        <v>2019</v>
      </c>
    </row>
    <row r="167" spans="1:7" s="40" customFormat="1" ht="6" customHeight="1">
      <c r="A167" s="97"/>
      <c r="B167" s="393"/>
      <c r="C167" s="393"/>
      <c r="D167" s="393"/>
      <c r="E167" s="393"/>
      <c r="F167" s="394"/>
      <c r="G167" s="312"/>
    </row>
    <row r="168" spans="1:7" s="40" customFormat="1" ht="12.6" customHeight="1">
      <c r="A168" s="101"/>
      <c r="B168" s="407" t="s">
        <v>792</v>
      </c>
      <c r="C168" s="1248"/>
      <c r="D168" s="1249"/>
      <c r="E168" s="1230"/>
      <c r="F168" s="391"/>
      <c r="G168" s="103"/>
    </row>
    <row r="169" spans="1:7" s="40" customFormat="1" ht="12" customHeight="1">
      <c r="A169" s="386">
        <v>19</v>
      </c>
      <c r="B169" s="1231" t="s">
        <v>3188</v>
      </c>
      <c r="C169" s="239"/>
      <c r="D169" s="1230"/>
      <c r="E169" s="397" t="s">
        <v>793</v>
      </c>
      <c r="F169" s="391"/>
      <c r="G169" s="1228" t="s">
        <v>63</v>
      </c>
    </row>
    <row r="170" spans="1:7" s="40" customFormat="1" ht="12" customHeight="1">
      <c r="A170" s="101"/>
      <c r="B170" s="239"/>
      <c r="C170" s="790"/>
      <c r="D170" s="1230"/>
      <c r="E170" s="867" t="s">
        <v>3343</v>
      </c>
      <c r="F170" s="866"/>
      <c r="G170" s="1228" t="s">
        <v>63</v>
      </c>
    </row>
    <row r="171" spans="1:7" s="40" customFormat="1" ht="12" customHeight="1">
      <c r="A171" s="101"/>
      <c r="B171" s="400"/>
      <c r="C171" s="1230"/>
      <c r="D171" s="1230"/>
      <c r="E171" s="397" t="s">
        <v>4108</v>
      </c>
      <c r="F171" s="391"/>
      <c r="G171" s="1228" t="s">
        <v>63</v>
      </c>
    </row>
    <row r="172" spans="1:7" s="40" customFormat="1" ht="27" customHeight="1">
      <c r="A172" s="101"/>
      <c r="B172" s="400"/>
      <c r="C172" s="1230"/>
      <c r="D172" s="1230"/>
      <c r="E172" s="867" t="s">
        <v>3403</v>
      </c>
      <c r="F172" s="866"/>
      <c r="G172" s="1228" t="s">
        <v>61</v>
      </c>
    </row>
    <row r="173" spans="1:7" s="40" customFormat="1" ht="37.5" customHeight="1">
      <c r="A173" s="101"/>
      <c r="B173" s="400"/>
      <c r="C173" s="1230"/>
      <c r="D173" s="1230"/>
      <c r="E173" s="881" t="s">
        <v>337</v>
      </c>
      <c r="F173" s="882"/>
      <c r="G173" s="1228" t="s">
        <v>61</v>
      </c>
    </row>
    <row r="174" spans="1:7" s="40" customFormat="1" ht="5.45" customHeight="1">
      <c r="A174" s="101"/>
      <c r="B174" s="400"/>
      <c r="C174" s="1230"/>
      <c r="D174" s="1230"/>
      <c r="E174" s="824"/>
      <c r="F174" s="824"/>
      <c r="G174" s="1250"/>
    </row>
    <row r="175" spans="1:7" s="40" customFormat="1" ht="14.1" customHeight="1">
      <c r="A175" s="386">
        <v>20</v>
      </c>
      <c r="B175" s="1251" t="s">
        <v>3430</v>
      </c>
      <c r="C175" s="239"/>
      <c r="D175" s="1231"/>
      <c r="E175" s="867" t="s">
        <v>178</v>
      </c>
      <c r="F175" s="866"/>
      <c r="G175" s="1228" t="s">
        <v>63</v>
      </c>
    </row>
    <row r="176" spans="1:7" s="40" customFormat="1" ht="11.25" customHeight="1">
      <c r="A176" s="386"/>
      <c r="B176" s="1251"/>
      <c r="C176" s="239"/>
      <c r="D176" s="1231"/>
      <c r="E176" s="867" t="s">
        <v>3431</v>
      </c>
      <c r="F176" s="866"/>
      <c r="G176" s="1228" t="s">
        <v>63</v>
      </c>
    </row>
    <row r="177" spans="1:7" s="40" customFormat="1" ht="5.45" customHeight="1">
      <c r="A177" s="101"/>
      <c r="B177" s="400"/>
      <c r="C177" s="1230"/>
      <c r="D177" s="1230"/>
      <c r="E177" s="824"/>
      <c r="F177" s="824"/>
      <c r="G177" s="1250"/>
    </row>
    <row r="178" spans="1:7" s="40" customFormat="1" ht="12" customHeight="1">
      <c r="A178" s="386">
        <v>21</v>
      </c>
      <c r="B178" s="1231" t="s">
        <v>3404</v>
      </c>
      <c r="C178" s="239"/>
      <c r="D178" s="1231"/>
      <c r="E178" s="824" t="s">
        <v>3405</v>
      </c>
      <c r="F178" s="825"/>
      <c r="G178" s="1228" t="s">
        <v>2019</v>
      </c>
    </row>
    <row r="179" spans="1:7" s="40" customFormat="1" ht="12" customHeight="1">
      <c r="A179" s="101"/>
      <c r="B179" s="1231"/>
      <c r="C179" s="239"/>
      <c r="E179" s="824" t="s">
        <v>374</v>
      </c>
      <c r="F179" s="825"/>
      <c r="G179" s="1228" t="s">
        <v>2019</v>
      </c>
    </row>
    <row r="180" spans="1:7" s="40" customFormat="1" ht="12" customHeight="1">
      <c r="A180" s="101"/>
      <c r="B180" s="406"/>
      <c r="C180" s="239"/>
      <c r="D180" s="1231"/>
      <c r="E180" s="867" t="s">
        <v>3432</v>
      </c>
      <c r="F180" s="866"/>
      <c r="G180" s="1228" t="s">
        <v>2019</v>
      </c>
    </row>
    <row r="181" spans="1:7" s="40" customFormat="1" ht="12" customHeight="1">
      <c r="A181" s="101"/>
      <c r="B181" s="406"/>
      <c r="C181" s="239"/>
      <c r="D181" s="1231"/>
      <c r="E181" s="867" t="s">
        <v>3528</v>
      </c>
      <c r="F181" s="866"/>
      <c r="G181" s="1228" t="s">
        <v>2019</v>
      </c>
    </row>
    <row r="182" spans="1:7" s="40" customFormat="1" ht="6" customHeight="1">
      <c r="A182" s="101"/>
      <c r="B182" s="400"/>
      <c r="C182" s="1230"/>
      <c r="D182" s="1230"/>
      <c r="E182" s="824"/>
      <c r="F182" s="824"/>
      <c r="G182" s="1250"/>
    </row>
    <row r="183" spans="1:7" s="40" customFormat="1" ht="12" customHeight="1">
      <c r="A183" s="386">
        <v>22</v>
      </c>
      <c r="B183" s="1252" t="s">
        <v>3849</v>
      </c>
      <c r="C183" s="239"/>
      <c r="D183" s="1231"/>
      <c r="E183" s="824" t="s">
        <v>3406</v>
      </c>
      <c r="F183" s="825"/>
      <c r="G183" s="1228" t="s">
        <v>63</v>
      </c>
    </row>
    <row r="184" spans="1:7" s="40" customFormat="1" ht="26.25" customHeight="1">
      <c r="A184" s="101"/>
      <c r="B184" s="1231"/>
      <c r="C184" s="239"/>
      <c r="D184" s="1231"/>
      <c r="E184" s="867" t="s">
        <v>456</v>
      </c>
      <c r="F184" s="866"/>
      <c r="G184" s="1228" t="s">
        <v>63</v>
      </c>
    </row>
    <row r="185" spans="1:7" s="40" customFormat="1" ht="12" customHeight="1">
      <c r="A185" s="101"/>
      <c r="B185" s="1231"/>
      <c r="C185" s="239"/>
      <c r="D185" s="1231"/>
      <c r="E185" s="397" t="s">
        <v>3407</v>
      </c>
      <c r="F185" s="395"/>
      <c r="G185" s="1228" t="s">
        <v>63</v>
      </c>
    </row>
    <row r="186" spans="1:7" s="40" customFormat="1" ht="12" customHeight="1">
      <c r="A186" s="101"/>
      <c r="B186" s="1231"/>
      <c r="C186" s="239"/>
      <c r="D186" s="1231"/>
      <c r="E186" s="397" t="s">
        <v>3408</v>
      </c>
      <c r="F186" s="395"/>
      <c r="G186" s="1228" t="s">
        <v>63</v>
      </c>
    </row>
    <row r="187" spans="1:7" s="40" customFormat="1" ht="12" customHeight="1">
      <c r="A187" s="386"/>
      <c r="B187" s="1231"/>
      <c r="C187" s="239"/>
      <c r="D187" s="1231"/>
      <c r="E187" s="1253" t="s">
        <v>3409</v>
      </c>
      <c r="F187" s="395"/>
      <c r="G187" s="1228" t="s">
        <v>63</v>
      </c>
    </row>
    <row r="188" spans="1:7" s="40" customFormat="1" ht="6" customHeight="1">
      <c r="A188" s="101"/>
      <c r="B188" s="1231"/>
      <c r="C188" s="239"/>
      <c r="D188" s="1231"/>
      <c r="E188" s="397"/>
      <c r="F188" s="397"/>
      <c r="G188" s="149"/>
    </row>
    <row r="189" spans="1:7" s="40" customFormat="1" ht="13.5">
      <c r="A189" s="386">
        <v>23</v>
      </c>
      <c r="B189" s="1252" t="s">
        <v>767</v>
      </c>
      <c r="C189" s="1231"/>
      <c r="D189" s="1231"/>
      <c r="E189" s="867" t="s">
        <v>133</v>
      </c>
      <c r="F189" s="866"/>
      <c r="G189" s="1228" t="s">
        <v>61</v>
      </c>
    </row>
    <row r="190" spans="1:7" s="40" customFormat="1" ht="12" customHeight="1">
      <c r="A190" s="101"/>
      <c r="B190" s="1231"/>
      <c r="C190" s="239"/>
      <c r="D190" s="1231"/>
      <c r="E190" s="1230" t="s">
        <v>457</v>
      </c>
      <c r="G190" s="1228" t="s">
        <v>61</v>
      </c>
    </row>
    <row r="191" spans="1:7" s="40" customFormat="1" ht="12" customHeight="1">
      <c r="A191" s="386"/>
      <c r="B191" s="1252"/>
      <c r="C191" s="1231"/>
      <c r="D191" s="1231"/>
      <c r="E191" s="867" t="s">
        <v>134</v>
      </c>
      <c r="F191" s="1163"/>
      <c r="G191" s="1228" t="s">
        <v>63</v>
      </c>
    </row>
    <row r="192" spans="1:7" s="40" customFormat="1" ht="12" customHeight="1">
      <c r="A192" s="388"/>
      <c r="B192" s="1252"/>
      <c r="C192" s="1231"/>
      <c r="D192" s="1231"/>
      <c r="E192" s="867" t="s">
        <v>458</v>
      </c>
      <c r="F192" s="1163"/>
      <c r="G192" s="1228" t="s">
        <v>63</v>
      </c>
    </row>
    <row r="193" spans="1:7" s="40" customFormat="1" ht="6" customHeight="1">
      <c r="A193" s="101"/>
      <c r="B193" s="1231"/>
      <c r="C193" s="239"/>
      <c r="D193" s="1231"/>
      <c r="E193" s="397"/>
      <c r="F193" s="395"/>
      <c r="G193" s="103"/>
    </row>
    <row r="194" spans="1:7" s="40" customFormat="1" ht="12" customHeight="1">
      <c r="A194" s="386">
        <v>24</v>
      </c>
      <c r="B194" s="1252" t="s">
        <v>3733</v>
      </c>
      <c r="C194" s="239"/>
      <c r="D194" s="1231"/>
      <c r="E194" s="867" t="s">
        <v>3529</v>
      </c>
      <c r="F194" s="866"/>
      <c r="G194" s="1228" t="s">
        <v>63</v>
      </c>
    </row>
    <row r="195" spans="1:7" s="40" customFormat="1" ht="26.25" customHeight="1">
      <c r="A195" s="101"/>
      <c r="B195" s="1231"/>
      <c r="C195" s="239"/>
      <c r="D195" s="1231"/>
      <c r="E195" s="1254" t="s">
        <v>132</v>
      </c>
      <c r="F195" s="1255"/>
      <c r="G195" s="1228" t="s">
        <v>63</v>
      </c>
    </row>
    <row r="196" spans="1:7" s="40" customFormat="1" ht="6" customHeight="1">
      <c r="A196" s="97"/>
      <c r="B196" s="393"/>
      <c r="C196" s="1231"/>
      <c r="D196" s="1231"/>
      <c r="E196" s="1230"/>
      <c r="F196" s="395"/>
      <c r="G196" s="395"/>
    </row>
    <row r="197" spans="1:7" s="40" customFormat="1" ht="12" customHeight="1">
      <c r="A197" s="386">
        <v>25</v>
      </c>
      <c r="B197" s="1231" t="s">
        <v>406</v>
      </c>
      <c r="C197" s="239"/>
      <c r="D197" s="1231"/>
      <c r="E197" s="1230" t="s">
        <v>2501</v>
      </c>
      <c r="F197" s="395"/>
      <c r="G197" s="1228" t="s">
        <v>2019</v>
      </c>
    </row>
    <row r="198" spans="1:7" s="40" customFormat="1" ht="6" customHeight="1">
      <c r="A198" s="97"/>
      <c r="B198" s="393"/>
      <c r="C198" s="1231"/>
      <c r="D198" s="1231"/>
      <c r="E198" s="1230"/>
      <c r="F198" s="395"/>
      <c r="G198" s="395"/>
    </row>
    <row r="199" spans="1:7" s="40" customFormat="1" ht="12" customHeight="1">
      <c r="A199" s="386">
        <v>26</v>
      </c>
      <c r="B199" s="1256" t="s">
        <v>3932</v>
      </c>
      <c r="C199" s="239"/>
      <c r="D199" s="394"/>
      <c r="E199" s="393"/>
      <c r="F199" s="394"/>
      <c r="G199" s="394"/>
    </row>
    <row r="200" spans="1:7" s="40" customFormat="1" ht="12" customHeight="1">
      <c r="A200" s="386"/>
      <c r="C200" s="1257" t="s">
        <v>3382</v>
      </c>
      <c r="D200" s="1231"/>
      <c r="E200" s="1258" t="s">
        <v>745</v>
      </c>
      <c r="F200" s="1259"/>
      <c r="G200" s="1228" t="s">
        <v>2019</v>
      </c>
    </row>
    <row r="201" spans="1:7" s="40" customFormat="1" ht="12" customHeight="1">
      <c r="A201" s="386"/>
      <c r="C201" s="1257"/>
      <c r="D201" s="1231"/>
      <c r="E201" s="1257" t="s">
        <v>2502</v>
      </c>
      <c r="F201" s="1260"/>
      <c r="G201" s="1228" t="s">
        <v>2019</v>
      </c>
    </row>
    <row r="202" spans="1:7" s="40" customFormat="1" ht="12" customHeight="1">
      <c r="A202" s="101"/>
      <c r="C202" s="1230"/>
      <c r="D202" s="1231"/>
      <c r="E202" s="1261" t="s">
        <v>746</v>
      </c>
      <c r="F202" s="1262"/>
      <c r="G202" s="1228" t="s">
        <v>2019</v>
      </c>
    </row>
    <row r="203" spans="1:7" s="40" customFormat="1" ht="12" customHeight="1">
      <c r="A203" s="101"/>
      <c r="C203" s="1230"/>
      <c r="D203" s="1231"/>
      <c r="E203" s="1230" t="s">
        <v>841</v>
      </c>
      <c r="F203" s="395"/>
      <c r="G203" s="1228" t="s">
        <v>2019</v>
      </c>
    </row>
    <row r="204" spans="1:7" s="40" customFormat="1" ht="5.45" customHeight="1">
      <c r="A204" s="97"/>
      <c r="B204" s="393"/>
      <c r="C204" s="393"/>
      <c r="D204" s="394"/>
      <c r="E204" s="393"/>
      <c r="F204" s="394"/>
      <c r="G204" s="312"/>
    </row>
    <row r="205" spans="1:7" s="40" customFormat="1" ht="12" customHeight="1">
      <c r="A205" s="101"/>
      <c r="C205" s="1230" t="s">
        <v>3476</v>
      </c>
      <c r="D205" s="1231"/>
      <c r="E205" s="1230" t="s">
        <v>599</v>
      </c>
      <c r="F205" s="395"/>
      <c r="G205" s="1228" t="s">
        <v>63</v>
      </c>
    </row>
    <row r="206" spans="1:7" s="40" customFormat="1" ht="12" customHeight="1">
      <c r="A206" s="101"/>
      <c r="B206" s="239"/>
      <c r="C206" s="1230"/>
      <c r="D206" s="1231"/>
      <c r="E206" s="1230" t="s">
        <v>887</v>
      </c>
      <c r="F206" s="395"/>
      <c r="G206" s="1228" t="s">
        <v>63</v>
      </c>
    </row>
    <row r="207" spans="1:7" s="40" customFormat="1" ht="12" customHeight="1">
      <c r="A207" s="101"/>
      <c r="B207" s="1230"/>
      <c r="C207" s="390"/>
      <c r="D207" s="1231"/>
      <c r="E207" s="1230" t="s">
        <v>3929</v>
      </c>
      <c r="F207" s="395"/>
      <c r="G207" s="1228" t="s">
        <v>63</v>
      </c>
    </row>
    <row r="208" spans="1:7" s="40" customFormat="1" ht="12" customHeight="1">
      <c r="A208" s="101"/>
      <c r="B208" s="1230"/>
      <c r="C208" s="1239"/>
      <c r="D208" s="1231"/>
      <c r="E208" s="1230" t="s">
        <v>405</v>
      </c>
      <c r="F208" s="395"/>
      <c r="G208" s="1228" t="s">
        <v>63</v>
      </c>
    </row>
    <row r="209" spans="1:7" s="40" customFormat="1" ht="12" customHeight="1">
      <c r="A209" s="101"/>
      <c r="B209" s="790"/>
      <c r="C209" s="1239"/>
      <c r="D209" s="1231"/>
      <c r="E209" s="1230" t="s">
        <v>3837</v>
      </c>
      <c r="F209" s="395"/>
      <c r="G209" s="1228" t="s">
        <v>63</v>
      </c>
    </row>
    <row r="210" spans="1:7" s="40" customFormat="1" ht="5.45" customHeight="1">
      <c r="A210" s="97"/>
      <c r="B210" s="393"/>
      <c r="C210" s="393"/>
      <c r="D210" s="394"/>
      <c r="E210" s="393"/>
      <c r="F210" s="394"/>
      <c r="G210" s="312"/>
    </row>
    <row r="211" spans="1:7" s="40" customFormat="1" ht="12" customHeight="1">
      <c r="A211" s="101"/>
      <c r="B211" s="1231"/>
      <c r="C211" s="1230" t="s">
        <v>3582</v>
      </c>
      <c r="D211" s="1231"/>
      <c r="E211" s="1230" t="s">
        <v>1469</v>
      </c>
      <c r="F211" s="395"/>
      <c r="G211" s="1228" t="s">
        <v>2019</v>
      </c>
    </row>
    <row r="212" spans="1:7" s="40" customFormat="1" ht="12" customHeight="1">
      <c r="A212" s="101"/>
      <c r="B212" s="790"/>
      <c r="C212" s="1239"/>
      <c r="D212" s="1231"/>
      <c r="E212" s="1230" t="s">
        <v>1470</v>
      </c>
      <c r="F212" s="395"/>
      <c r="G212" s="1228" t="s">
        <v>63</v>
      </c>
    </row>
    <row r="213" spans="1:7" s="40" customFormat="1" ht="5.45" customHeight="1">
      <c r="A213" s="97"/>
      <c r="B213" s="393"/>
      <c r="C213" s="393"/>
      <c r="D213" s="394"/>
      <c r="E213" s="393"/>
      <c r="F213" s="394"/>
      <c r="G213" s="312"/>
    </row>
    <row r="214" spans="1:7" s="40" customFormat="1" ht="12" customHeight="1">
      <c r="A214" s="101"/>
      <c r="C214" s="1230" t="s">
        <v>3933</v>
      </c>
      <c r="D214" s="1231"/>
      <c r="E214" s="1230" t="s">
        <v>3934</v>
      </c>
      <c r="F214" s="395"/>
      <c r="G214" s="1228" t="s">
        <v>2019</v>
      </c>
    </row>
    <row r="215" spans="1:7" s="40" customFormat="1" ht="12" customHeight="1">
      <c r="A215" s="101"/>
      <c r="B215" s="239"/>
      <c r="C215" s="239"/>
      <c r="D215" s="1231"/>
      <c r="E215" s="1230" t="s">
        <v>3935</v>
      </c>
      <c r="F215" s="395"/>
      <c r="G215" s="1228" t="s">
        <v>2019</v>
      </c>
    </row>
    <row r="216" spans="1:7" s="40" customFormat="1" ht="12" customHeight="1">
      <c r="A216" s="101"/>
      <c r="B216" s="1230"/>
      <c r="C216" s="406"/>
      <c r="D216" s="1231"/>
      <c r="E216" s="1230" t="s">
        <v>894</v>
      </c>
      <c r="F216" s="395"/>
      <c r="G216" s="1228" t="s">
        <v>2019</v>
      </c>
    </row>
    <row r="217" spans="1:7" s="40" customFormat="1" ht="12" customHeight="1">
      <c r="A217" s="101"/>
      <c r="B217" s="1230"/>
      <c r="C217" s="1231"/>
      <c r="D217" s="1231"/>
      <c r="E217" s="1230" t="s">
        <v>3936</v>
      </c>
      <c r="F217" s="395"/>
      <c r="G217" s="1228" t="s">
        <v>2019</v>
      </c>
    </row>
    <row r="218" spans="1:7" s="40" customFormat="1" ht="12" customHeight="1">
      <c r="A218" s="386"/>
      <c r="B218" s="790"/>
      <c r="C218" s="1231"/>
      <c r="D218" s="1231"/>
      <c r="E218" s="1230" t="s">
        <v>3937</v>
      </c>
      <c r="F218" s="395"/>
      <c r="G218" s="1228" t="s">
        <v>2019</v>
      </c>
    </row>
    <row r="219" spans="1:7" s="40" customFormat="1" ht="12" customHeight="1">
      <c r="A219" s="101"/>
      <c r="B219" s="790"/>
      <c r="C219" s="1231"/>
      <c r="D219" s="1231"/>
      <c r="E219" s="1230" t="s">
        <v>3938</v>
      </c>
      <c r="F219" s="395"/>
      <c r="G219" s="1228" t="s">
        <v>2019</v>
      </c>
    </row>
    <row r="220" spans="1:7" s="40" customFormat="1" ht="6" customHeight="1">
      <c r="A220" s="101"/>
      <c r="B220" s="790"/>
      <c r="C220" s="1231"/>
      <c r="D220" s="1231"/>
      <c r="E220" s="1230"/>
      <c r="F220" s="395"/>
      <c r="G220" s="630"/>
    </row>
    <row r="221" spans="1:7" s="40" customFormat="1" ht="12" customHeight="1">
      <c r="A221" s="386">
        <v>27</v>
      </c>
      <c r="B221" s="1231" t="s">
        <v>990</v>
      </c>
      <c r="C221" s="239"/>
      <c r="D221" s="1231"/>
      <c r="E221" s="1230" t="s">
        <v>3939</v>
      </c>
      <c r="F221" s="395"/>
      <c r="G221" s="1228" t="s">
        <v>2019</v>
      </c>
    </row>
    <row r="222" spans="1:7" s="40" customFormat="1" ht="6" customHeight="1">
      <c r="A222" s="101"/>
      <c r="B222" s="790"/>
      <c r="C222" s="1231"/>
      <c r="D222" s="1231"/>
      <c r="E222" s="1230"/>
      <c r="F222" s="395"/>
      <c r="G222" s="630"/>
    </row>
    <row r="223" spans="1:7" s="40" customFormat="1" ht="12" customHeight="1">
      <c r="A223" s="386">
        <v>28</v>
      </c>
      <c r="B223" s="1231" t="s">
        <v>3848</v>
      </c>
      <c r="C223" s="239"/>
      <c r="D223" s="1231"/>
      <c r="E223" s="1230" t="s">
        <v>2306</v>
      </c>
      <c r="F223" s="395"/>
      <c r="G223" s="1228" t="s">
        <v>2019</v>
      </c>
    </row>
    <row r="224" spans="1:7" s="40" customFormat="1" ht="6" customHeight="1">
      <c r="A224" s="101"/>
      <c r="B224" s="790"/>
      <c r="C224" s="1231"/>
      <c r="D224" s="1231"/>
      <c r="E224" s="1230"/>
      <c r="F224" s="395"/>
      <c r="G224" s="630"/>
    </row>
    <row r="225" spans="1:7" s="40" customFormat="1" ht="5.45" customHeight="1">
      <c r="A225" s="97"/>
      <c r="B225" s="393"/>
      <c r="C225" s="393"/>
      <c r="D225" s="393"/>
      <c r="E225" s="393"/>
      <c r="F225" s="394"/>
      <c r="G225" s="312"/>
    </row>
    <row r="226" spans="1:7" s="40" customFormat="1" ht="12" customHeight="1">
      <c r="A226" s="386">
        <v>29</v>
      </c>
      <c r="B226" s="1231" t="s">
        <v>1436</v>
      </c>
      <c r="C226" s="239"/>
      <c r="D226" s="1231"/>
      <c r="E226" s="1263" t="s">
        <v>3940</v>
      </c>
      <c r="F226" s="1264"/>
      <c r="G226" s="1228" t="s">
        <v>2019</v>
      </c>
    </row>
    <row r="227" spans="1:7" s="40" customFormat="1" ht="12" customHeight="1">
      <c r="A227" s="386"/>
      <c r="B227" s="239"/>
      <c r="C227" s="239"/>
      <c r="D227" s="1231"/>
      <c r="E227" s="392" t="s">
        <v>463</v>
      </c>
      <c r="F227" s="825"/>
      <c r="G227" s="1228" t="s">
        <v>2019</v>
      </c>
    </row>
    <row r="228" spans="1:7" s="40" customFormat="1" ht="26.25" customHeight="1">
      <c r="A228" s="388"/>
      <c r="B228" s="239"/>
      <c r="C228" s="239"/>
      <c r="D228" s="1231"/>
      <c r="E228" s="867" t="s">
        <v>466</v>
      </c>
      <c r="F228" s="866"/>
      <c r="G228" s="1228" t="s">
        <v>2019</v>
      </c>
    </row>
    <row r="229" spans="1:7" s="40" customFormat="1" ht="6" customHeight="1">
      <c r="A229" s="101"/>
      <c r="B229" s="790"/>
      <c r="C229" s="1231"/>
      <c r="D229" s="1231"/>
      <c r="E229" s="1230"/>
      <c r="F229" s="395"/>
      <c r="G229" s="103"/>
    </row>
    <row r="230" spans="1:7" s="40" customFormat="1" ht="13.35" customHeight="1">
      <c r="A230" s="386">
        <v>30</v>
      </c>
      <c r="B230" s="1231" t="s">
        <v>1877</v>
      </c>
      <c r="E230" s="1265"/>
      <c r="F230" s="1265"/>
      <c r="G230" s="1228"/>
    </row>
    <row r="231" spans="1:7" s="40" customFormat="1" ht="12.6" customHeight="1">
      <c r="A231" s="101"/>
      <c r="C231" s="1266" t="s">
        <v>3189</v>
      </c>
      <c r="D231" s="1163"/>
      <c r="E231" s="1267"/>
      <c r="F231" s="1267"/>
      <c r="G231" s="1268"/>
    </row>
    <row r="232" spans="1:7" s="40" customFormat="1" ht="12.6" customHeight="1">
      <c r="A232" s="101"/>
      <c r="C232" s="1266"/>
      <c r="D232" s="1163"/>
      <c r="E232" s="1267"/>
      <c r="F232" s="1267"/>
      <c r="G232" s="1268"/>
    </row>
    <row r="233" spans="1:7" s="40" customFormat="1" ht="12.6" customHeight="1">
      <c r="A233" s="101"/>
      <c r="C233" s="1266"/>
      <c r="D233" s="1163"/>
      <c r="E233" s="1267"/>
      <c r="F233" s="1267"/>
      <c r="G233" s="1268"/>
    </row>
    <row r="234" spans="1:7" s="40" customFormat="1" ht="12.6" customHeight="1">
      <c r="A234" s="101"/>
      <c r="C234" s="1266"/>
      <c r="D234" s="1163"/>
      <c r="E234" s="1267"/>
      <c r="F234" s="1267"/>
      <c r="G234" s="1268"/>
    </row>
    <row r="235" spans="1:7" s="40" customFormat="1" ht="12.6" customHeight="1">
      <c r="A235" s="101"/>
      <c r="C235" s="1162"/>
      <c r="D235" s="1163"/>
      <c r="E235" s="1269"/>
      <c r="F235" s="1269"/>
      <c r="G235" s="1268"/>
    </row>
    <row r="236" spans="1:7" s="40" customFormat="1" ht="5.45" customHeight="1">
      <c r="A236" s="97"/>
      <c r="B236" s="393"/>
      <c r="C236" s="393"/>
      <c r="D236" s="393"/>
      <c r="E236" s="393"/>
      <c r="F236" s="394"/>
      <c r="G236" s="312"/>
    </row>
    <row r="237" spans="1:7" s="40" customFormat="1" ht="12" customHeight="1">
      <c r="A237" s="386">
        <v>31</v>
      </c>
      <c r="B237" s="404" t="s">
        <v>740</v>
      </c>
      <c r="C237" s="239"/>
      <c r="D237" s="391"/>
      <c r="E237" s="1230" t="s">
        <v>402</v>
      </c>
      <c r="F237" s="397"/>
      <c r="G237" s="1228" t="s">
        <v>63</v>
      </c>
    </row>
    <row r="238" spans="1:7" s="40" customFormat="1" ht="6" customHeight="1">
      <c r="A238" s="97"/>
      <c r="B238" s="393"/>
      <c r="C238" s="239"/>
      <c r="D238" s="393"/>
      <c r="E238" s="393"/>
      <c r="F238" s="394"/>
      <c r="G238" s="312"/>
    </row>
    <row r="239" spans="1:7" s="40" customFormat="1" ht="14.1" customHeight="1">
      <c r="A239" s="386">
        <v>32</v>
      </c>
      <c r="B239" s="404" t="s">
        <v>3345</v>
      </c>
      <c r="C239" s="239"/>
      <c r="D239" s="391"/>
      <c r="E239" s="391" t="s">
        <v>3774</v>
      </c>
      <c r="F239" s="391"/>
      <c r="G239" s="1228" t="s">
        <v>63</v>
      </c>
    </row>
    <row r="240" spans="1:7" s="40" customFormat="1" ht="6" customHeight="1">
      <c r="A240" s="97"/>
      <c r="B240" s="393"/>
      <c r="C240" s="239"/>
      <c r="D240" s="393"/>
      <c r="E240" s="393"/>
      <c r="F240" s="394"/>
      <c r="G240" s="312"/>
    </row>
    <row r="241" spans="1:7" s="40" customFormat="1" ht="12" customHeight="1">
      <c r="A241" s="386">
        <v>33</v>
      </c>
      <c r="B241" s="404" t="s">
        <v>3787</v>
      </c>
      <c r="C241" s="239"/>
      <c r="D241" s="391"/>
      <c r="E241" s="867" t="s">
        <v>407</v>
      </c>
      <c r="F241" s="991"/>
      <c r="G241" s="1228" t="s">
        <v>63</v>
      </c>
    </row>
    <row r="242" spans="1:7" s="40" customFormat="1" ht="12" customHeight="1">
      <c r="A242" s="101"/>
      <c r="B242" s="391"/>
      <c r="C242" s="390"/>
      <c r="D242" s="1230"/>
      <c r="E242" s="391" t="s">
        <v>3767</v>
      </c>
      <c r="F242" s="391"/>
      <c r="G242" s="1228" t="s">
        <v>63</v>
      </c>
    </row>
    <row r="243" spans="1:7" s="40" customFormat="1" ht="6" customHeight="1">
      <c r="A243" s="104"/>
      <c r="B243" s="790"/>
      <c r="C243" s="1231"/>
      <c r="D243" s="1231"/>
      <c r="E243" s="1230"/>
      <c r="F243" s="395"/>
      <c r="G243" s="103"/>
    </row>
    <row r="244" spans="1:7" s="40" customFormat="1" ht="26.45" customHeight="1">
      <c r="A244" s="1270" t="s">
        <v>181</v>
      </c>
      <c r="B244" s="1271"/>
      <c r="C244" s="1271"/>
      <c r="D244" s="1271"/>
      <c r="E244" s="1271"/>
      <c r="F244" s="1271"/>
      <c r="G244" s="1272"/>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4"/>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4" t="s">
        <v>2582</v>
      </c>
    </row>
    <row r="2" spans="1:6" ht="16.5">
      <c r="A2" s="1275" t="str">
        <f>'Part I-Project Information'!F22</f>
        <v>Adair Court</v>
      </c>
    </row>
    <row r="3" spans="1:6" ht="16.5">
      <c r="A3" s="1275" t="str">
        <f>CONCATENATE('Part I-Project Information'!F24,", ", 'Part I-Project Information'!J25," County")</f>
        <v>Atlanta, Fulton County</v>
      </c>
    </row>
    <row r="4" spans="1:6" ht="12" customHeight="1"/>
    <row r="5" spans="1:6" ht="111" customHeight="1">
      <c r="A5" s="1276" t="s">
        <v>22</v>
      </c>
      <c r="B5" s="886" t="s">
        <v>121</v>
      </c>
      <c r="C5" s="886"/>
      <c r="D5" s="886"/>
      <c r="E5" s="886"/>
      <c r="F5" s="886"/>
    </row>
    <row r="6" spans="1:6" ht="6.6" customHeight="1">
      <c r="A6" s="1276"/>
      <c r="B6" s="886"/>
      <c r="C6" s="886"/>
      <c r="D6" s="886"/>
      <c r="E6" s="886"/>
      <c r="F6" s="886"/>
    </row>
    <row r="7" spans="1:6" ht="111" customHeight="1">
      <c r="A7" s="1276"/>
    </row>
    <row r="8" spans="1:6" ht="6.6" customHeight="1">
      <c r="A8" s="1276"/>
    </row>
    <row r="9" spans="1:6" ht="111" customHeight="1">
      <c r="A9" s="1276"/>
    </row>
    <row r="10" spans="1:6" ht="6.6" customHeight="1">
      <c r="A10" s="1276"/>
    </row>
    <row r="11" spans="1:6" ht="111" customHeight="1">
      <c r="A11" s="1276"/>
    </row>
    <row r="12" spans="1:6" ht="6.6" customHeight="1">
      <c r="A12" s="1276"/>
    </row>
    <row r="13" spans="1:6" ht="111" customHeight="1">
      <c r="A13" s="1276"/>
    </row>
    <row r="14" spans="1:6" ht="6.6" customHeight="1">
      <c r="A14" s="1276"/>
    </row>
    <row r="15" spans="1:6" ht="111" customHeight="1">
      <c r="A15" s="1276"/>
    </row>
    <row r="16" spans="1:6" ht="6.6" customHeight="1">
      <c r="A16" s="1276"/>
    </row>
    <row r="17" spans="1:1" ht="111" customHeight="1">
      <c r="A17" s="1276"/>
    </row>
    <row r="18" spans="1:1" ht="6.6" customHeight="1">
      <c r="A18" s="1276"/>
    </row>
    <row r="19" spans="1:1" ht="111" customHeight="1">
      <c r="A19" s="1276"/>
    </row>
    <row r="20" spans="1:1" ht="6.6" customHeight="1">
      <c r="A20" s="1276"/>
    </row>
    <row r="21" spans="1:1" ht="111" customHeight="1">
      <c r="A21" s="1276"/>
    </row>
    <row r="22" spans="1:1" ht="6.6" customHeight="1">
      <c r="A22" s="1276"/>
    </row>
    <row r="23" spans="1:1" ht="111" customHeight="1">
      <c r="A23" s="1276"/>
    </row>
    <row r="24" spans="1:1" ht="6.6" customHeight="1">
      <c r="A24" s="1277"/>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headerFooter alignWithMargins="0">
    <oddFooter>&amp;L2012 Project Narrative&amp;C&amp;F&amp;R&amp;9&amp;P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5"/>
  <sheetViews>
    <sheetView showGridLines="0" showZeros="0" tabSelected="1" workbookViewId="0">
      <selection activeCell="F22" sqref="F22:L22"/>
    </sheetView>
  </sheetViews>
  <sheetFormatPr defaultColWidth="9.140625" defaultRowHeight="12" customHeight="1"/>
  <cols>
    <col min="1" max="1" width="3.28515625" style="472" customWidth="1"/>
    <col min="2" max="2" width="2.28515625" style="497" customWidth="1"/>
    <col min="3" max="16" width="8.85546875" style="472" customWidth="1"/>
    <col min="17" max="16384" width="9.140625" style="472"/>
  </cols>
  <sheetData>
    <row r="1" spans="1:16" s="449" customFormat="1" ht="14.1" customHeight="1">
      <c r="A1" s="893" t="str">
        <f>CONCATENATE("PART ONE - PROJECT INFORMATION"," - ",$O$4," ",$F$22,", ",'Part I-Project Information'!F24,", ",'Part I-Project Information'!J25," County")</f>
        <v>PART ONE - PROJECT INFORMATION - 2012-042 Adair Court, Atlanta, Fulton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616</v>
      </c>
      <c r="B3" s="450"/>
      <c r="C3" s="450"/>
      <c r="D3" s="451"/>
      <c r="E3" s="400" t="s">
        <v>3450</v>
      </c>
      <c r="L3" s="450"/>
      <c r="O3" s="908" t="s">
        <v>199</v>
      </c>
      <c r="P3" s="908"/>
    </row>
    <row r="4" spans="1:16" s="449" customFormat="1" ht="12" customHeight="1" thickBot="1">
      <c r="A4" s="845"/>
      <c r="B4" s="452"/>
      <c r="C4" s="452"/>
      <c r="D4" s="453"/>
      <c r="E4" s="400" t="s">
        <v>3451</v>
      </c>
      <c r="H4" s="837"/>
      <c r="I4" s="837"/>
      <c r="J4" s="837"/>
      <c r="O4" s="1278" t="s">
        <v>4117</v>
      </c>
      <c r="P4" s="1279"/>
    </row>
    <row r="5" spans="1:16" s="449" customFormat="1" ht="12" customHeight="1">
      <c r="A5" s="845"/>
      <c r="B5" s="452"/>
      <c r="C5" s="452"/>
      <c r="D5" s="452"/>
      <c r="E5" s="837"/>
      <c r="H5" s="837"/>
      <c r="I5" s="837"/>
      <c r="J5" s="837"/>
      <c r="K5" s="394"/>
      <c r="M5" s="837"/>
    </row>
    <row r="6" spans="1:16" s="449" customFormat="1" ht="13.35" customHeight="1">
      <c r="A6" s="452" t="s">
        <v>3133</v>
      </c>
      <c r="C6" s="452" t="s">
        <v>634</v>
      </c>
      <c r="D6" s="416"/>
      <c r="E6" s="454"/>
      <c r="F6" s="455" t="s">
        <v>1475</v>
      </c>
      <c r="J6" s="898">
        <f>'Part IV-Uses of Funds'!J165</f>
        <v>941000</v>
      </c>
      <c r="K6" s="899"/>
      <c r="O6" s="896" t="s">
        <v>198</v>
      </c>
      <c r="P6" s="896"/>
    </row>
    <row r="7" spans="1:16" s="2" customFormat="1" ht="13.35" customHeight="1">
      <c r="A7" s="5"/>
      <c r="C7" s="5"/>
      <c r="D7" s="31"/>
      <c r="E7" s="550"/>
      <c r="F7" s="449" t="s">
        <v>2263</v>
      </c>
      <c r="J7" s="900">
        <f>'Part III A-Sources of Funds'!J5</f>
        <v>0</v>
      </c>
      <c r="K7" s="901"/>
      <c r="M7" s="449"/>
      <c r="N7" s="449"/>
      <c r="O7" s="1280" t="s">
        <v>110</v>
      </c>
      <c r="P7" s="1281"/>
    </row>
    <row r="8" spans="1:16" s="449" customFormat="1" ht="7.35" customHeight="1">
      <c r="A8" s="452"/>
      <c r="C8" s="452"/>
      <c r="D8" s="416"/>
      <c r="E8" s="454"/>
      <c r="F8" s="454"/>
      <c r="I8" s="456"/>
      <c r="N8" s="457"/>
    </row>
    <row r="9" spans="1:16" s="449" customFormat="1" ht="13.35" customHeight="1">
      <c r="A9" s="456" t="s">
        <v>2832</v>
      </c>
      <c r="C9" s="452" t="s">
        <v>1122</v>
      </c>
      <c r="F9" s="1282" t="s">
        <v>56</v>
      </c>
      <c r="G9" s="1283"/>
      <c r="H9" s="1284"/>
      <c r="I9" s="1285" t="s">
        <v>2833</v>
      </c>
      <c r="J9" s="1286"/>
      <c r="K9" s="1287"/>
      <c r="L9" s="1287"/>
      <c r="M9" s="1287"/>
      <c r="N9" s="1287"/>
      <c r="O9" s="1287"/>
      <c r="P9" s="1288"/>
    </row>
    <row r="10" spans="1:16" s="449" customFormat="1" ht="7.35" customHeight="1">
      <c r="I10" s="416"/>
      <c r="J10" s="416"/>
      <c r="K10" s="416"/>
      <c r="L10" s="416"/>
      <c r="M10" s="416"/>
      <c r="N10" s="416"/>
      <c r="O10" s="416"/>
      <c r="P10" s="416"/>
    </row>
    <row r="11" spans="1:16" s="449" customFormat="1" ht="13.35" customHeight="1">
      <c r="A11" s="456" t="s">
        <v>2834</v>
      </c>
      <c r="B11" s="454"/>
      <c r="C11" s="452" t="s">
        <v>1980</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35" customHeight="1">
      <c r="C13" s="449" t="s">
        <v>830</v>
      </c>
      <c r="F13" s="1286" t="s">
        <v>6</v>
      </c>
      <c r="G13" s="1287"/>
      <c r="H13" s="1287"/>
      <c r="I13" s="1287"/>
      <c r="J13" s="1287"/>
      <c r="K13" s="1287"/>
      <c r="L13" s="1288"/>
      <c r="M13" s="828" t="s">
        <v>1147</v>
      </c>
      <c r="N13" s="1286" t="s">
        <v>9</v>
      </c>
      <c r="O13" s="1287"/>
      <c r="P13" s="1288"/>
    </row>
    <row r="14" spans="1:16" s="449" customFormat="1" ht="13.35" customHeight="1">
      <c r="C14" s="455" t="s">
        <v>1148</v>
      </c>
      <c r="F14" s="1286" t="s">
        <v>7</v>
      </c>
      <c r="G14" s="1287"/>
      <c r="H14" s="1287"/>
      <c r="I14" s="1287"/>
      <c r="J14" s="1287"/>
      <c r="K14" s="1287"/>
      <c r="L14" s="1288"/>
      <c r="M14" s="828" t="s">
        <v>1481</v>
      </c>
      <c r="O14" s="1289">
        <v>7063405539</v>
      </c>
      <c r="P14" s="1290"/>
    </row>
    <row r="15" spans="1:16" s="449" customFormat="1" ht="13.35" customHeight="1">
      <c r="C15" s="455" t="s">
        <v>3136</v>
      </c>
      <c r="F15" s="1291" t="s">
        <v>8</v>
      </c>
      <c r="G15" s="1292"/>
      <c r="H15" s="1293"/>
      <c r="M15" s="828" t="s">
        <v>1428</v>
      </c>
      <c r="O15" s="1294">
        <v>6143963243</v>
      </c>
      <c r="P15" s="1295"/>
    </row>
    <row r="16" spans="1:16" s="449" customFormat="1" ht="13.35" customHeight="1">
      <c r="C16" s="455" t="s">
        <v>1425</v>
      </c>
      <c r="F16" s="1296" t="s">
        <v>2723</v>
      </c>
      <c r="I16" s="837" t="s">
        <v>982</v>
      </c>
      <c r="J16" s="1297">
        <v>306011929</v>
      </c>
      <c r="K16" s="1298"/>
      <c r="M16" s="828" t="s">
        <v>1146</v>
      </c>
      <c r="O16" s="1294">
        <v>7063405539</v>
      </c>
      <c r="P16" s="1295"/>
    </row>
    <row r="17" spans="1:16" s="449" customFormat="1" ht="13.35" customHeight="1">
      <c r="B17" s="834"/>
      <c r="C17" s="455" t="s">
        <v>1480</v>
      </c>
      <c r="F17" s="1294">
        <v>7063405539</v>
      </c>
      <c r="G17" s="1299"/>
      <c r="H17" s="1295"/>
      <c r="I17" s="829" t="s">
        <v>1479</v>
      </c>
      <c r="J17" s="1300"/>
      <c r="K17" s="837" t="s">
        <v>1151</v>
      </c>
      <c r="L17" s="1301" t="s">
        <v>10</v>
      </c>
      <c r="M17" s="1287"/>
      <c r="N17" s="1287"/>
      <c r="O17" s="1287"/>
      <c r="P17" s="1288"/>
    </row>
    <row r="18" spans="1:16" s="449" customFormat="1" ht="13.35" customHeight="1">
      <c r="A18" s="452"/>
      <c r="B18" s="454"/>
      <c r="C18" s="440" t="s">
        <v>3071</v>
      </c>
      <c r="D18" s="454"/>
      <c r="G18" s="454"/>
      <c r="H18" s="454"/>
      <c r="I18" s="458"/>
    </row>
    <row r="19" spans="1:16" s="449" customFormat="1" ht="7.35" customHeight="1">
      <c r="A19" s="845"/>
      <c r="B19" s="845"/>
      <c r="C19" s="459"/>
      <c r="D19" s="834"/>
      <c r="E19" s="834"/>
      <c r="F19" s="834"/>
      <c r="H19" s="837"/>
      <c r="I19" s="834"/>
      <c r="J19" s="459"/>
      <c r="K19" s="834"/>
      <c r="P19" s="460"/>
    </row>
    <row r="20" spans="1:16" s="449" customFormat="1" ht="13.35" customHeight="1">
      <c r="A20" s="456" t="s">
        <v>1418</v>
      </c>
      <c r="B20" s="452"/>
      <c r="C20" s="452" t="s">
        <v>1981</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35" customHeight="1">
      <c r="A22" s="452"/>
      <c r="B22" s="452"/>
      <c r="C22" s="449" t="s">
        <v>3134</v>
      </c>
      <c r="D22" s="461"/>
      <c r="F22" s="1302" t="s">
        <v>60</v>
      </c>
      <c r="G22" s="1303"/>
      <c r="H22" s="1303"/>
      <c r="I22" s="1303"/>
      <c r="J22" s="1303"/>
      <c r="K22" s="1303"/>
      <c r="L22" s="1304"/>
      <c r="M22" s="828" t="s">
        <v>905</v>
      </c>
      <c r="O22" s="1286" t="s">
        <v>61</v>
      </c>
      <c r="P22" s="1288"/>
    </row>
    <row r="23" spans="1:16" s="449" customFormat="1" ht="13.35" customHeight="1">
      <c r="A23" s="462"/>
      <c r="B23" s="452"/>
      <c r="C23" s="449" t="s">
        <v>3135</v>
      </c>
      <c r="D23" s="463"/>
      <c r="F23" s="1286" t="s">
        <v>62</v>
      </c>
      <c r="G23" s="1287"/>
      <c r="H23" s="1287"/>
      <c r="I23" s="1287"/>
      <c r="J23" s="1287"/>
      <c r="K23" s="1287"/>
      <c r="L23" s="1288"/>
      <c r="M23" s="828" t="s">
        <v>1276</v>
      </c>
      <c r="O23" s="1286" t="s">
        <v>61</v>
      </c>
      <c r="P23" s="1288"/>
    </row>
    <row r="24" spans="1:16" s="449" customFormat="1" ht="13.35" customHeight="1">
      <c r="A24" s="845"/>
      <c r="B24" s="452"/>
      <c r="C24" s="449" t="s">
        <v>3136</v>
      </c>
      <c r="F24" s="1286" t="s">
        <v>2378</v>
      </c>
      <c r="G24" s="1287"/>
      <c r="H24" s="1288"/>
      <c r="I24" s="837" t="s">
        <v>3504</v>
      </c>
      <c r="J24" s="1297">
        <v>303101925</v>
      </c>
      <c r="K24" s="1298"/>
      <c r="L24" s="541" t="str">
        <f>IF(AND(NOT(F22=""),NOT(F24="Select from list"),J24=""),"Enter Zip!","")</f>
        <v/>
      </c>
      <c r="M24" s="828" t="s">
        <v>920</v>
      </c>
      <c r="O24" s="1286">
        <v>2.15</v>
      </c>
      <c r="P24" s="1288"/>
    </row>
    <row r="25" spans="1:16" s="449" customFormat="1" ht="13.35" customHeight="1">
      <c r="A25" s="845"/>
      <c r="B25" s="452"/>
      <c r="C25" s="887" t="s">
        <v>1134</v>
      </c>
      <c r="D25" s="887"/>
      <c r="F25" s="1305" t="s">
        <v>63</v>
      </c>
      <c r="I25" s="495" t="s">
        <v>3137</v>
      </c>
      <c r="J25" s="1306" t="str">
        <f>IF($F$24="","",VLOOKUP($F$24,$N$181:$O$784,2,FALSE))</f>
        <v>Fulton</v>
      </c>
      <c r="K25" s="1307"/>
      <c r="M25" s="465" t="s">
        <v>935</v>
      </c>
      <c r="O25" s="1286">
        <v>58</v>
      </c>
      <c r="P25" s="1308"/>
    </row>
    <row r="26" spans="1:16" s="449" customFormat="1" ht="13.35" customHeight="1">
      <c r="A26" s="845"/>
      <c r="B26" s="452"/>
      <c r="C26" s="449" t="s">
        <v>1961</v>
      </c>
      <c r="F26" s="1309" t="s">
        <v>61</v>
      </c>
      <c r="H26" s="457" t="s">
        <v>438</v>
      </c>
      <c r="I26" s="683" t="str">
        <f>VLOOKUP($J$25,$C$181:$F$340,4)</f>
        <v>MSA</v>
      </c>
      <c r="J26" s="1310" t="str">
        <f>IF($F$24="","",VLOOKUP($J$25,$C$181:$H$340,3,FALSE))</f>
        <v>Atlanta-Sandy Springs-Marietta</v>
      </c>
      <c r="K26" s="1311"/>
      <c r="L26" s="1312"/>
      <c r="M26" s="828" t="s">
        <v>3466</v>
      </c>
      <c r="N26" s="1313" t="s">
        <v>63</v>
      </c>
      <c r="O26" s="457" t="s">
        <v>3467</v>
      </c>
      <c r="P26" s="1313" t="s">
        <v>61</v>
      </c>
    </row>
    <row r="27" spans="1:16" s="449" customFormat="1" ht="3" customHeight="1">
      <c r="A27" s="845"/>
      <c r="B27" s="452"/>
      <c r="C27" s="452"/>
      <c r="I27" s="455"/>
      <c r="J27" s="834"/>
      <c r="L27" s="844"/>
      <c r="M27" s="844"/>
      <c r="N27" s="844"/>
      <c r="O27" s="844"/>
      <c r="P27" s="844"/>
    </row>
    <row r="28" spans="1:16" s="449" customFormat="1" ht="13.35" customHeight="1">
      <c r="A28" s="845"/>
      <c r="B28" s="452"/>
      <c r="F28" s="897" t="s">
        <v>3505</v>
      </c>
      <c r="G28" s="897"/>
      <c r="H28" s="896" t="s">
        <v>2828</v>
      </c>
      <c r="I28" s="896"/>
      <c r="J28" s="896" t="s">
        <v>2829</v>
      </c>
      <c r="K28" s="896"/>
      <c r="L28" s="459"/>
    </row>
    <row r="29" spans="1:16" s="449" customFormat="1" ht="13.35" customHeight="1">
      <c r="A29" s="845"/>
      <c r="B29" s="452"/>
      <c r="C29" s="449" t="s">
        <v>3138</v>
      </c>
      <c r="D29" s="452"/>
      <c r="F29" s="1314">
        <v>5</v>
      </c>
      <c r="G29" s="1315"/>
      <c r="H29" s="1314">
        <v>36</v>
      </c>
      <c r="I29" s="1315"/>
      <c r="J29" s="1314">
        <v>56</v>
      </c>
      <c r="K29" s="1315"/>
    </row>
    <row r="30" spans="1:16" s="449" customFormat="1" ht="13.35" customHeight="1">
      <c r="A30" s="845"/>
      <c r="B30" s="452"/>
      <c r="C30" s="455" t="s">
        <v>2830</v>
      </c>
      <c r="F30" s="1314"/>
      <c r="G30" s="1315"/>
      <c r="H30" s="1314"/>
      <c r="I30" s="1315"/>
      <c r="J30" s="1314"/>
      <c r="K30" s="1315"/>
    </row>
    <row r="31" spans="1:16" s="449" customFormat="1" ht="3" customHeight="1">
      <c r="A31" s="845"/>
      <c r="B31" s="452"/>
      <c r="I31" s="844"/>
      <c r="J31" s="844"/>
      <c r="K31" s="844"/>
      <c r="M31" s="834"/>
      <c r="N31" s="834"/>
      <c r="O31" s="834"/>
      <c r="P31" s="834"/>
    </row>
    <row r="32" spans="1:16" s="449" customFormat="1" ht="13.35" customHeight="1">
      <c r="A32" s="845"/>
      <c r="B32" s="845"/>
      <c r="C32" s="452" t="s">
        <v>3234</v>
      </c>
      <c r="F32" s="1316" t="s">
        <v>74</v>
      </c>
      <c r="G32" s="1317"/>
      <c r="H32" s="1317"/>
      <c r="I32" s="1317"/>
      <c r="J32" s="1317"/>
      <c r="K32" s="1318"/>
      <c r="L32" s="466"/>
      <c r="M32" s="466"/>
      <c r="N32" s="466"/>
    </row>
    <row r="33" spans="1:19" s="449" customFormat="1" ht="13.35" customHeight="1">
      <c r="A33" s="845"/>
      <c r="B33" s="845"/>
      <c r="C33" s="449" t="s">
        <v>3235</v>
      </c>
      <c r="F33" s="1319" t="s">
        <v>75</v>
      </c>
      <c r="G33" s="1320"/>
      <c r="H33" s="1320"/>
      <c r="I33" s="1320"/>
      <c r="J33" s="1321"/>
      <c r="K33" s="467" t="s">
        <v>1147</v>
      </c>
      <c r="L33" s="1316" t="s">
        <v>76</v>
      </c>
      <c r="M33" s="1317"/>
      <c r="N33" s="1318"/>
    </row>
    <row r="34" spans="1:19" s="449" customFormat="1" ht="13.35" customHeight="1">
      <c r="A34" s="845"/>
      <c r="B34" s="845"/>
      <c r="C34" s="449" t="s">
        <v>1148</v>
      </c>
      <c r="F34" s="1316" t="s">
        <v>77</v>
      </c>
      <c r="G34" s="1317"/>
      <c r="H34" s="1317"/>
      <c r="I34" s="1317"/>
      <c r="J34" s="1318"/>
      <c r="K34" s="468" t="s">
        <v>3136</v>
      </c>
      <c r="L34" s="1286" t="s">
        <v>2378</v>
      </c>
      <c r="M34" s="1287"/>
      <c r="N34" s="1288"/>
    </row>
    <row r="35" spans="1:19" s="449" customFormat="1" ht="13.35" customHeight="1">
      <c r="A35" s="845"/>
      <c r="B35" s="845"/>
      <c r="C35" s="828" t="s">
        <v>982</v>
      </c>
      <c r="F35" s="1322">
        <v>303033520</v>
      </c>
      <c r="G35" s="1323"/>
      <c r="H35" s="829" t="s">
        <v>1149</v>
      </c>
      <c r="I35" s="1324">
        <v>4043306100</v>
      </c>
      <c r="J35" s="1325"/>
      <c r="K35" s="1326"/>
      <c r="L35" s="829" t="s">
        <v>1428</v>
      </c>
      <c r="M35" s="1324">
        <v>4046586893</v>
      </c>
      <c r="N35" s="1326"/>
    </row>
    <row r="36" spans="1:19" s="449" customFormat="1" ht="6.75" customHeight="1">
      <c r="A36" s="845"/>
      <c r="B36" s="845"/>
      <c r="C36" s="469"/>
      <c r="D36" s="470"/>
      <c r="E36" s="470"/>
      <c r="F36" s="837"/>
      <c r="G36" s="837"/>
      <c r="H36" s="837"/>
      <c r="I36" s="837"/>
      <c r="J36" s="470"/>
      <c r="K36" s="837"/>
      <c r="L36" s="837"/>
      <c r="N36" s="834"/>
      <c r="O36" s="834"/>
      <c r="P36" s="460"/>
    </row>
    <row r="37" spans="1:19" s="449" customFormat="1" ht="12" customHeight="1">
      <c r="A37" s="456" t="s">
        <v>1420</v>
      </c>
      <c r="C37" s="452" t="s">
        <v>1982</v>
      </c>
      <c r="F37" s="471"/>
      <c r="I37" s="455"/>
      <c r="J37" s="684" t="s">
        <v>375</v>
      </c>
      <c r="K37" s="589"/>
      <c r="L37" s="589"/>
      <c r="M37" s="589"/>
      <c r="N37" s="589"/>
      <c r="O37" s="589"/>
      <c r="P37" s="590"/>
    </row>
    <row r="38" spans="1:19" s="449" customFormat="1" ht="3" customHeight="1">
      <c r="A38" s="845"/>
      <c r="B38" s="452"/>
      <c r="C38" s="452"/>
      <c r="I38" s="455"/>
      <c r="J38" s="591"/>
      <c r="K38" s="834"/>
      <c r="L38" s="834"/>
      <c r="M38" s="834"/>
      <c r="N38" s="834"/>
      <c r="O38" s="834"/>
      <c r="P38" s="592"/>
    </row>
    <row r="39" spans="1:19" s="449" customFormat="1" ht="12.75">
      <c r="A39" s="845"/>
      <c r="B39" s="845" t="s">
        <v>1150</v>
      </c>
      <c r="C39" s="452" t="s">
        <v>937</v>
      </c>
      <c r="F39" s="1300" t="s">
        <v>61</v>
      </c>
      <c r="J39" s="591" t="s">
        <v>2254</v>
      </c>
      <c r="K39" s="834"/>
      <c r="L39" s="902" t="s">
        <v>2255</v>
      </c>
      <c r="M39" s="902"/>
      <c r="N39" s="902"/>
      <c r="O39" s="902"/>
      <c r="P39" s="592"/>
    </row>
    <row r="40" spans="1:19" s="449" customFormat="1" ht="3" customHeight="1">
      <c r="A40" s="845"/>
      <c r="J40" s="591"/>
      <c r="K40" s="844"/>
      <c r="L40" s="834"/>
      <c r="M40" s="844"/>
      <c r="N40" s="844"/>
      <c r="O40" s="844"/>
      <c r="P40" s="593"/>
    </row>
    <row r="41" spans="1:19" s="449" customFormat="1" ht="13.35" customHeight="1">
      <c r="A41" s="845"/>
      <c r="B41" s="845" t="s">
        <v>1153</v>
      </c>
      <c r="C41" s="452" t="s">
        <v>3029</v>
      </c>
      <c r="J41" s="594" t="s">
        <v>2258</v>
      </c>
      <c r="K41" s="595"/>
      <c r="L41" s="906" t="s">
        <v>2253</v>
      </c>
      <c r="M41" s="906"/>
      <c r="N41" s="906"/>
      <c r="O41" s="906"/>
      <c r="P41" s="907"/>
      <c r="Q41" s="837"/>
    </row>
    <row r="42" spans="1:19" ht="13.35" customHeight="1">
      <c r="B42" s="845"/>
      <c r="C42" s="449" t="s">
        <v>936</v>
      </c>
      <c r="D42" s="449"/>
      <c r="E42" s="449"/>
      <c r="F42" s="473">
        <f>'Part VI-Revenues &amp; Expenses'!$M$74</f>
        <v>91</v>
      </c>
      <c r="J42" s="397"/>
      <c r="L42" s="449"/>
      <c r="Q42" s="837"/>
    </row>
    <row r="43" spans="1:19" s="449" customFormat="1" ht="13.35" customHeight="1">
      <c r="A43" s="845"/>
      <c r="B43" s="845"/>
      <c r="C43" s="455" t="s">
        <v>3663</v>
      </c>
      <c r="D43" s="834"/>
      <c r="F43" s="473">
        <f>'Part VI-Revenues &amp; Expenses'!$M$81</f>
        <v>0</v>
      </c>
      <c r="Q43" s="837"/>
    </row>
    <row r="44" spans="1:19" s="449" customFormat="1" ht="13.35" customHeight="1">
      <c r="A44" s="845"/>
      <c r="B44" s="845"/>
      <c r="C44" s="455" t="s">
        <v>3644</v>
      </c>
      <c r="D44" s="834"/>
      <c r="F44" s="473">
        <f>'Part VI-Revenues &amp; Expenses'!$M$77</f>
        <v>0</v>
      </c>
      <c r="G44" s="449" t="s">
        <v>3503</v>
      </c>
      <c r="L44" s="1327"/>
      <c r="M44" s="472"/>
      <c r="N44" s="472"/>
      <c r="O44" s="472"/>
      <c r="P44" s="472"/>
      <c r="Q44" s="837"/>
    </row>
    <row r="45" spans="1:19" s="449" customFormat="1" ht="13.35" customHeight="1">
      <c r="A45" s="845"/>
      <c r="B45" s="845"/>
      <c r="C45" s="474" t="s">
        <v>3645</v>
      </c>
      <c r="F45" s="473">
        <f>'Part VI-Revenues &amp; Expenses'!$M$80</f>
        <v>0</v>
      </c>
      <c r="L45" s="472"/>
    </row>
    <row r="46" spans="1:19" s="449" customFormat="1" ht="13.35" customHeight="1">
      <c r="A46" s="845"/>
      <c r="B46" s="845"/>
      <c r="C46" s="474" t="s">
        <v>3664</v>
      </c>
      <c r="F46" s="473">
        <f>'Part VI-Revenues &amp; Expenses'!$M$82</f>
        <v>0</v>
      </c>
      <c r="P46" s="834"/>
    </row>
    <row r="47" spans="1:19" s="449" customFormat="1" ht="3.6" customHeight="1">
      <c r="A47" s="845"/>
      <c r="P47" s="834"/>
    </row>
    <row r="48" spans="1:19" s="449" customFormat="1" ht="13.35" customHeight="1">
      <c r="A48" s="845"/>
      <c r="B48" s="462" t="s">
        <v>3012</v>
      </c>
      <c r="C48" s="461" t="s">
        <v>817</v>
      </c>
      <c r="D48" s="834"/>
      <c r="I48" s="903" t="s">
        <v>2114</v>
      </c>
      <c r="J48" s="462" t="s">
        <v>1220</v>
      </c>
      <c r="K48" s="475" t="s">
        <v>831</v>
      </c>
      <c r="M48" s="834"/>
      <c r="N48" s="834"/>
      <c r="O48" s="834"/>
      <c r="P48" s="837"/>
      <c r="Q48" s="837"/>
      <c r="R48" s="837"/>
      <c r="S48" s="834"/>
    </row>
    <row r="49" spans="1:16" s="449" customFormat="1" ht="13.35" customHeight="1">
      <c r="A49" s="845"/>
      <c r="B49" s="830"/>
      <c r="C49" s="459" t="s">
        <v>818</v>
      </c>
      <c r="D49" s="834"/>
      <c r="E49" s="834"/>
      <c r="H49" s="476">
        <f>SUM(H50:H51)</f>
        <v>83</v>
      </c>
      <c r="I49" s="904"/>
      <c r="J49" s="845"/>
      <c r="K49" s="459" t="s">
        <v>1060</v>
      </c>
      <c r="M49" s="834"/>
      <c r="N49" s="834"/>
      <c r="O49" s="834"/>
      <c r="P49" s="476">
        <f>'Part VI-Revenues &amp; Expenses'!$M$96</f>
        <v>66036.429999999993</v>
      </c>
    </row>
    <row r="50" spans="1:16" s="449" customFormat="1" ht="13.35" customHeight="1">
      <c r="A50" s="845"/>
      <c r="B50" s="472"/>
      <c r="D50" s="477" t="s">
        <v>3683</v>
      </c>
      <c r="E50" s="477"/>
      <c r="H50" s="476">
        <f>'Part VI-Revenues &amp; Expenses'!$M$57</f>
        <v>19</v>
      </c>
      <c r="I50" s="476">
        <f>'Part VI-Revenues &amp; Expenses'!$M$65</f>
        <v>0</v>
      </c>
      <c r="K50" s="459" t="s">
        <v>3783</v>
      </c>
      <c r="M50" s="834"/>
      <c r="N50" s="834"/>
      <c r="O50" s="834"/>
      <c r="P50" s="476">
        <f>'Part VI-Revenues &amp; Expenses'!$M$97</f>
        <v>6656.67</v>
      </c>
    </row>
    <row r="51" spans="1:16" s="449" customFormat="1" ht="13.35" customHeight="1">
      <c r="A51" s="845"/>
      <c r="D51" s="477" t="s">
        <v>1458</v>
      </c>
      <c r="E51" s="477"/>
      <c r="H51" s="476">
        <f>'Part VI-Revenues &amp; Expenses'!$M$56</f>
        <v>64</v>
      </c>
      <c r="I51" s="476">
        <f>'Part VI-Revenues &amp; Expenses'!$M$64</f>
        <v>0</v>
      </c>
      <c r="K51" s="459" t="s">
        <v>1061</v>
      </c>
      <c r="M51" s="834"/>
      <c r="N51" s="834"/>
      <c r="O51" s="834"/>
      <c r="P51" s="476">
        <f>+P49+P50</f>
        <v>72693.099999999991</v>
      </c>
    </row>
    <row r="52" spans="1:16" s="449" customFormat="1" ht="13.35" customHeight="1">
      <c r="A52" s="845"/>
      <c r="C52" s="459" t="s">
        <v>3784</v>
      </c>
      <c r="D52" s="834"/>
      <c r="E52" s="834"/>
      <c r="H52" s="476">
        <f>'Part VI-Revenues &amp; Expenses'!$M$59</f>
        <v>8</v>
      </c>
      <c r="J52" s="845"/>
      <c r="K52" s="459" t="s">
        <v>2117</v>
      </c>
      <c r="M52" s="834"/>
      <c r="N52" s="834"/>
      <c r="O52" s="834"/>
      <c r="P52" s="476">
        <f>'Part VI-Revenues &amp; Expenses'!$M$99</f>
        <v>0</v>
      </c>
    </row>
    <row r="53" spans="1:16" s="449" customFormat="1" ht="13.35" customHeight="1">
      <c r="A53" s="845"/>
      <c r="C53" s="459" t="s">
        <v>689</v>
      </c>
      <c r="D53" s="834"/>
      <c r="E53" s="834"/>
      <c r="H53" s="476">
        <f>+H49+H52</f>
        <v>91</v>
      </c>
      <c r="J53" s="845"/>
      <c r="K53" s="459" t="s">
        <v>2116</v>
      </c>
      <c r="M53" s="834"/>
      <c r="N53" s="834"/>
      <c r="O53" s="834"/>
      <c r="P53" s="476">
        <f>+P51+P52</f>
        <v>72693.099999999991</v>
      </c>
    </row>
    <row r="54" spans="1:16" s="449" customFormat="1" ht="13.35" customHeight="1">
      <c r="A54" s="845"/>
      <c r="C54" s="459" t="s">
        <v>690</v>
      </c>
      <c r="D54" s="834"/>
      <c r="E54" s="834"/>
      <c r="H54" s="476">
        <f>'Part VI-Revenues &amp; Expenses'!$M$61</f>
        <v>0</v>
      </c>
      <c r="J54" s="845"/>
    </row>
    <row r="55" spans="1:16" s="449" customFormat="1" ht="13.35" customHeight="1">
      <c r="A55" s="845"/>
      <c r="C55" s="459" t="s">
        <v>1419</v>
      </c>
      <c r="D55" s="834"/>
      <c r="E55" s="834"/>
      <c r="H55" s="476">
        <f>+H53+H54</f>
        <v>91</v>
      </c>
      <c r="J55" s="834"/>
    </row>
    <row r="56" spans="1:16" s="449" customFormat="1" ht="3" customHeight="1">
      <c r="A56" s="845"/>
      <c r="I56" s="837"/>
      <c r="L56" s="837"/>
      <c r="M56" s="837"/>
      <c r="N56" s="834"/>
      <c r="P56" s="460"/>
    </row>
    <row r="57" spans="1:16" s="449" customFormat="1" ht="13.35" customHeight="1">
      <c r="A57" s="845"/>
      <c r="B57" s="845" t="s">
        <v>1496</v>
      </c>
      <c r="C57" s="461" t="s">
        <v>938</v>
      </c>
      <c r="D57" s="477" t="s">
        <v>1164</v>
      </c>
      <c r="G57" s="834"/>
      <c r="H57" s="1328">
        <v>2</v>
      </c>
      <c r="K57" s="459" t="s">
        <v>2484</v>
      </c>
      <c r="O57" s="834"/>
      <c r="P57" s="1328">
        <v>16675</v>
      </c>
    </row>
    <row r="58" spans="1:16" s="449" customFormat="1" ht="13.35" customHeight="1">
      <c r="A58" s="845"/>
      <c r="B58" s="845"/>
      <c r="D58" s="830" t="s">
        <v>1165</v>
      </c>
      <c r="H58" s="1328"/>
      <c r="I58" s="834"/>
      <c r="K58" s="459" t="s">
        <v>3782</v>
      </c>
      <c r="O58" s="834"/>
      <c r="P58" s="476">
        <f>+P53+P57</f>
        <v>89368.099999999991</v>
      </c>
    </row>
    <row r="59" spans="1:16" s="449" customFormat="1" ht="13.35" customHeight="1">
      <c r="A59" s="845"/>
      <c r="B59" s="845"/>
      <c r="D59" s="830" t="s">
        <v>1166</v>
      </c>
      <c r="H59" s="476">
        <f>+H57+H58</f>
        <v>2</v>
      </c>
      <c r="I59" s="834"/>
    </row>
    <row r="60" spans="1:16" s="449" customFormat="1" ht="3" customHeight="1">
      <c r="A60" s="845"/>
      <c r="B60" s="845"/>
      <c r="C60" s="834"/>
      <c r="D60" s="834"/>
      <c r="E60" s="834"/>
      <c r="F60" s="834"/>
      <c r="G60" s="837"/>
      <c r="I60" s="459"/>
      <c r="J60" s="834"/>
      <c r="P60" s="460"/>
    </row>
    <row r="61" spans="1:16" s="449" customFormat="1" ht="13.35" customHeight="1">
      <c r="A61" s="845"/>
      <c r="B61" s="845" t="s">
        <v>1497</v>
      </c>
      <c r="C61" s="461" t="s">
        <v>3030</v>
      </c>
      <c r="D61" s="834"/>
      <c r="E61" s="834"/>
      <c r="F61" s="834"/>
      <c r="G61" s="834"/>
      <c r="H61" s="1328">
        <v>49</v>
      </c>
    </row>
    <row r="62" spans="1:16" s="449" customFormat="1" ht="9" customHeight="1">
      <c r="A62" s="845"/>
      <c r="B62" s="845"/>
      <c r="C62" s="459"/>
      <c r="D62" s="834"/>
      <c r="E62" s="834"/>
      <c r="F62" s="834"/>
      <c r="G62" s="837"/>
      <c r="H62" s="834"/>
      <c r="I62" s="459"/>
      <c r="J62" s="459"/>
      <c r="K62" s="834"/>
      <c r="P62" s="460"/>
    </row>
    <row r="63" spans="1:16" s="449" customFormat="1" ht="13.35" customHeight="1">
      <c r="A63" s="845" t="s">
        <v>3298</v>
      </c>
      <c r="C63" s="478" t="s">
        <v>2351</v>
      </c>
      <c r="D63" s="478"/>
      <c r="E63" s="478"/>
      <c r="F63" s="834"/>
      <c r="G63" s="837"/>
      <c r="K63" s="834"/>
      <c r="P63" s="460"/>
    </row>
    <row r="64" spans="1:16" s="449" customFormat="1" ht="3" customHeight="1">
      <c r="A64" s="845"/>
      <c r="C64" s="831"/>
      <c r="D64" s="831"/>
      <c r="E64" s="831"/>
      <c r="F64" s="834"/>
      <c r="G64" s="837"/>
      <c r="K64" s="834"/>
      <c r="P64" s="460"/>
    </row>
    <row r="65" spans="1:16" s="449" customFormat="1" ht="13.35" customHeight="1">
      <c r="A65" s="845"/>
      <c r="B65" s="845" t="s">
        <v>1150</v>
      </c>
      <c r="C65" s="394" t="s">
        <v>120</v>
      </c>
      <c r="D65" s="831"/>
      <c r="E65" s="831"/>
      <c r="F65" s="834"/>
      <c r="G65" s="837"/>
      <c r="H65" s="1329" t="s">
        <v>78</v>
      </c>
      <c r="I65" s="1330"/>
      <c r="K65" s="887" t="s">
        <v>1397</v>
      </c>
      <c r="L65" s="887"/>
      <c r="N65" s="1286"/>
      <c r="O65" s="1287"/>
      <c r="P65" s="1288"/>
    </row>
    <row r="66" spans="1:16" s="449" customFormat="1" ht="3" customHeight="1">
      <c r="A66" s="845"/>
      <c r="B66" s="845"/>
      <c r="D66" s="830"/>
      <c r="E66" s="830"/>
      <c r="F66" s="830"/>
      <c r="G66" s="830"/>
      <c r="I66" s="837"/>
      <c r="K66" s="828"/>
      <c r="L66" s="828"/>
      <c r="M66" s="837"/>
      <c r="N66" s="834"/>
      <c r="P66" s="460"/>
    </row>
    <row r="67" spans="1:16" s="449" customFormat="1" ht="13.35" customHeight="1">
      <c r="A67" s="845"/>
      <c r="B67" s="845" t="s">
        <v>1153</v>
      </c>
      <c r="C67" s="461" t="s">
        <v>2106</v>
      </c>
      <c r="D67" s="834"/>
      <c r="E67" s="477"/>
      <c r="G67" s="479" t="s">
        <v>2817</v>
      </c>
      <c r="H67" s="1328">
        <v>5</v>
      </c>
      <c r="K67" s="887" t="s">
        <v>3288</v>
      </c>
      <c r="L67" s="887"/>
      <c r="P67" s="480">
        <f>IF('Part VI-Revenues &amp; Expenses'!$M$62=0,0,$H67/'Part VI-Revenues &amp; Expenses'!$M$62)</f>
        <v>5.4945054945054944E-2</v>
      </c>
    </row>
    <row r="68" spans="1:16" s="449" customFormat="1" ht="3" customHeight="1">
      <c r="A68" s="845"/>
      <c r="B68" s="845"/>
      <c r="D68" s="830"/>
      <c r="E68" s="830"/>
      <c r="F68" s="830"/>
      <c r="G68" s="830"/>
      <c r="I68" s="837"/>
      <c r="K68" s="828"/>
      <c r="L68" s="828"/>
      <c r="M68" s="837"/>
      <c r="P68" s="837"/>
    </row>
    <row r="69" spans="1:16" s="449" customFormat="1" ht="13.35" customHeight="1">
      <c r="A69" s="845"/>
      <c r="B69" s="845" t="s">
        <v>3012</v>
      </c>
      <c r="C69" s="461" t="s">
        <v>1365</v>
      </c>
      <c r="D69" s="477"/>
      <c r="E69" s="477"/>
      <c r="G69" s="479" t="s">
        <v>2817</v>
      </c>
      <c r="H69" s="1328">
        <v>2</v>
      </c>
      <c r="K69" s="887" t="s">
        <v>3288</v>
      </c>
      <c r="L69" s="887"/>
      <c r="P69" s="480">
        <f>IF('Part VI-Revenues &amp; Expenses'!$M$62=0,0,$H69/'Part VI-Revenues &amp; Expenses'!$M$62)</f>
        <v>2.197802197802198E-2</v>
      </c>
    </row>
    <row r="70" spans="1:16" s="449" customFormat="1" ht="3" customHeight="1">
      <c r="A70" s="845"/>
      <c r="B70" s="845"/>
      <c r="D70" s="830"/>
      <c r="E70" s="830"/>
      <c r="F70" s="830"/>
      <c r="G70" s="830"/>
      <c r="I70" s="837"/>
      <c r="K70" s="828"/>
      <c r="L70" s="828"/>
      <c r="M70" s="837"/>
      <c r="P70" s="837"/>
    </row>
    <row r="71" spans="1:16" s="449" customFormat="1" ht="13.35" customHeight="1">
      <c r="A71" s="845"/>
      <c r="B71" s="845" t="s">
        <v>1220</v>
      </c>
      <c r="C71" s="461" t="s">
        <v>2260</v>
      </c>
      <c r="D71" s="477"/>
      <c r="E71" s="477"/>
      <c r="G71" s="479" t="s">
        <v>2261</v>
      </c>
      <c r="H71" s="1328"/>
      <c r="K71" s="887" t="s">
        <v>3288</v>
      </c>
      <c r="L71" s="887"/>
      <c r="P71" s="480">
        <f>IF('Part VI-Revenues &amp; Expenses'!$M$62=0,0,$H71/'Part VI-Revenues &amp; Expenses'!$M$62)</f>
        <v>0</v>
      </c>
    </row>
    <row r="72" spans="1:16" s="449" customFormat="1" ht="9" customHeight="1">
      <c r="A72" s="845"/>
      <c r="B72" s="845"/>
      <c r="D72" s="830"/>
      <c r="E72" s="830"/>
      <c r="F72" s="830"/>
      <c r="G72" s="830"/>
      <c r="I72" s="837"/>
      <c r="J72" s="837"/>
      <c r="K72" s="837"/>
      <c r="L72" s="837"/>
      <c r="M72" s="837"/>
      <c r="N72" s="834"/>
      <c r="P72" s="460"/>
    </row>
    <row r="73" spans="1:16" s="449" customFormat="1" ht="13.35" customHeight="1">
      <c r="A73" s="481" t="s">
        <v>2949</v>
      </c>
      <c r="B73" s="845"/>
      <c r="C73" s="831" t="s">
        <v>636</v>
      </c>
      <c r="D73" s="830"/>
      <c r="E73" s="830"/>
      <c r="F73" s="830"/>
      <c r="G73" s="830"/>
      <c r="H73" s="830"/>
      <c r="I73" s="837"/>
      <c r="M73" s="837"/>
      <c r="N73" s="834"/>
      <c r="P73" s="460"/>
    </row>
    <row r="74" spans="1:16" s="449" customFormat="1" ht="3" customHeight="1">
      <c r="A74" s="845"/>
      <c r="B74" s="845"/>
      <c r="C74" s="831"/>
      <c r="D74" s="830"/>
      <c r="E74" s="830"/>
      <c r="F74" s="830"/>
      <c r="L74" s="837"/>
      <c r="M74" s="837"/>
      <c r="N74" s="834"/>
      <c r="P74" s="460"/>
    </row>
    <row r="75" spans="1:16" s="449" customFormat="1" ht="13.35" customHeight="1">
      <c r="A75" s="845"/>
      <c r="B75" s="845" t="s">
        <v>1150</v>
      </c>
      <c r="C75" s="394" t="s">
        <v>635</v>
      </c>
      <c r="D75" s="830"/>
      <c r="E75" s="830"/>
      <c r="F75" s="830"/>
      <c r="H75" s="1331" t="s">
        <v>2745</v>
      </c>
      <c r="I75" s="1332"/>
      <c r="J75" s="1333"/>
      <c r="M75" s="837"/>
      <c r="N75" s="834"/>
      <c r="P75" s="460"/>
    </row>
    <row r="76" spans="1:16" s="449" customFormat="1" ht="3" customHeight="1">
      <c r="A76" s="845"/>
      <c r="B76" s="845"/>
      <c r="D76" s="830"/>
      <c r="E76" s="830"/>
      <c r="F76" s="830"/>
      <c r="G76" s="830"/>
      <c r="I76" s="837"/>
      <c r="J76" s="837"/>
      <c r="K76" s="837"/>
      <c r="L76" s="837"/>
      <c r="M76" s="837"/>
      <c r="N76" s="834"/>
      <c r="P76" s="460"/>
    </row>
    <row r="77" spans="1:16" s="449" customFormat="1" ht="13.35" customHeight="1">
      <c r="B77" s="845" t="s">
        <v>1153</v>
      </c>
      <c r="C77" s="452" t="s">
        <v>1934</v>
      </c>
      <c r="K77" s="455" t="s">
        <v>2744</v>
      </c>
      <c r="N77" s="482"/>
      <c r="P77" s="1300"/>
    </row>
    <row r="78" spans="1:16" s="449" customFormat="1" ht="9" customHeight="1">
      <c r="A78" s="845"/>
      <c r="B78" s="845"/>
      <c r="C78" s="452"/>
      <c r="D78" s="830"/>
      <c r="E78" s="830"/>
      <c r="F78" s="830"/>
      <c r="G78" s="830"/>
      <c r="I78" s="837"/>
      <c r="J78" s="837"/>
      <c r="K78" s="837"/>
      <c r="L78" s="837"/>
      <c r="M78" s="837"/>
      <c r="N78" s="834"/>
      <c r="P78" s="460"/>
    </row>
    <row r="79" spans="1:16" s="449" customFormat="1" ht="13.35" customHeight="1">
      <c r="A79" s="481" t="s">
        <v>3573</v>
      </c>
      <c r="B79" s="845"/>
      <c r="C79" s="831" t="s">
        <v>1123</v>
      </c>
      <c r="D79" s="830"/>
      <c r="E79" s="830"/>
      <c r="F79" s="830"/>
      <c r="G79" s="830"/>
      <c r="H79" s="830"/>
      <c r="I79" s="837"/>
      <c r="M79" s="837"/>
      <c r="N79" s="834"/>
      <c r="P79" s="460"/>
    </row>
    <row r="80" spans="1:16" s="449" customFormat="1" ht="3" customHeight="1">
      <c r="A80" s="845"/>
      <c r="B80" s="845"/>
      <c r="D80" s="830"/>
      <c r="E80" s="830"/>
      <c r="F80" s="830"/>
      <c r="G80" s="830"/>
      <c r="I80" s="837"/>
      <c r="J80" s="837"/>
      <c r="K80" s="837"/>
      <c r="L80" s="837"/>
      <c r="M80" s="837"/>
      <c r="N80" s="834"/>
      <c r="P80" s="460"/>
    </row>
    <row r="81" spans="1:16" s="449" customFormat="1" ht="13.35" customHeight="1">
      <c r="B81" s="845"/>
      <c r="C81" s="452"/>
      <c r="E81" s="1300" t="s">
        <v>63</v>
      </c>
      <c r="F81" s="477" t="s">
        <v>502</v>
      </c>
      <c r="H81" s="1300" t="s">
        <v>61</v>
      </c>
      <c r="I81" s="828" t="s">
        <v>501</v>
      </c>
      <c r="K81" s="1300" t="s">
        <v>61</v>
      </c>
      <c r="L81" s="449" t="s">
        <v>3705</v>
      </c>
    </row>
    <row r="82" spans="1:16" s="449" customFormat="1" ht="13.35" customHeight="1">
      <c r="A82" s="845"/>
      <c r="B82" s="845"/>
      <c r="D82" s="470"/>
      <c r="E82" s="1300" t="s">
        <v>61</v>
      </c>
      <c r="F82" s="828" t="s">
        <v>3547</v>
      </c>
      <c r="H82" s="1300" t="s">
        <v>61</v>
      </c>
      <c r="I82" s="830" t="s">
        <v>960</v>
      </c>
    </row>
    <row r="83" spans="1:16" s="449" customFormat="1" ht="9" customHeight="1">
      <c r="A83" s="845"/>
      <c r="B83" s="845"/>
      <c r="D83" s="470"/>
      <c r="E83" s="834"/>
      <c r="I83" s="470"/>
      <c r="J83" s="459"/>
      <c r="K83" s="834"/>
      <c r="P83" s="460"/>
    </row>
    <row r="84" spans="1:16" s="449" customFormat="1" ht="13.35" customHeight="1">
      <c r="A84" s="481" t="s">
        <v>3583</v>
      </c>
      <c r="B84" s="845"/>
      <c r="C84" s="475" t="s">
        <v>2349</v>
      </c>
      <c r="D84" s="834"/>
      <c r="E84" s="834"/>
      <c r="F84" s="834"/>
      <c r="G84" s="834"/>
      <c r="H84" s="834"/>
      <c r="I84" s="470"/>
      <c r="J84" s="459"/>
      <c r="K84" s="834"/>
      <c r="P84" s="460"/>
    </row>
    <row r="85" spans="1:16" s="449" customFormat="1" ht="3" customHeight="1">
      <c r="A85" s="481"/>
      <c r="B85" s="845"/>
      <c r="C85" s="475"/>
      <c r="D85" s="834"/>
      <c r="E85" s="834"/>
      <c r="F85" s="834"/>
      <c r="G85" s="834"/>
      <c r="H85" s="834"/>
      <c r="I85" s="470"/>
      <c r="J85" s="459"/>
      <c r="K85" s="834"/>
    </row>
    <row r="86" spans="1:16" s="449" customFormat="1" ht="13.35" customHeight="1">
      <c r="A86" s="845"/>
      <c r="B86" s="845"/>
      <c r="C86" s="459" t="s">
        <v>3321</v>
      </c>
      <c r="D86" s="834"/>
      <c r="E86" s="1286"/>
      <c r="F86" s="1287"/>
      <c r="G86" s="1287"/>
      <c r="H86" s="1287"/>
      <c r="I86" s="1287"/>
      <c r="J86" s="1287"/>
      <c r="K86" s="1287"/>
      <c r="L86" s="1288"/>
      <c r="M86" s="905" t="s">
        <v>3322</v>
      </c>
      <c r="N86" s="905"/>
      <c r="O86" s="1334"/>
      <c r="P86" s="1335"/>
    </row>
    <row r="87" spans="1:16" s="449" customFormat="1" ht="13.35" customHeight="1">
      <c r="C87" s="455" t="s">
        <v>2505</v>
      </c>
      <c r="D87" s="463"/>
      <c r="E87" s="1286"/>
      <c r="F87" s="1287"/>
      <c r="G87" s="1287"/>
      <c r="H87" s="1287"/>
      <c r="I87" s="1287"/>
      <c r="J87" s="1287"/>
      <c r="K87" s="1287"/>
      <c r="L87" s="1288"/>
      <c r="M87" s="905" t="s">
        <v>2695</v>
      </c>
      <c r="N87" s="905"/>
      <c r="O87" s="1302"/>
      <c r="P87" s="1304"/>
    </row>
    <row r="88" spans="1:16" s="449" customFormat="1" ht="13.35" customHeight="1">
      <c r="C88" s="455" t="s">
        <v>3136</v>
      </c>
      <c r="E88" s="1286"/>
      <c r="F88" s="1336"/>
      <c r="G88" s="1337"/>
      <c r="H88" s="829" t="s">
        <v>1425</v>
      </c>
      <c r="I88" s="1300"/>
      <c r="J88" s="483" t="s">
        <v>982</v>
      </c>
      <c r="K88" s="1297"/>
      <c r="L88" s="1337"/>
      <c r="M88" s="416"/>
      <c r="N88" s="416"/>
      <c r="O88" s="416"/>
      <c r="P88" s="416"/>
    </row>
    <row r="89" spans="1:16" s="449" customFormat="1" ht="13.35" customHeight="1">
      <c r="C89" s="449" t="s">
        <v>907</v>
      </c>
      <c r="E89" s="1286"/>
      <c r="F89" s="1336"/>
      <c r="G89" s="1337"/>
      <c r="H89" s="837" t="s">
        <v>1147</v>
      </c>
      <c r="I89" s="1286"/>
      <c r="J89" s="1336"/>
      <c r="K89" s="1337"/>
      <c r="L89" s="484" t="s">
        <v>1151</v>
      </c>
      <c r="M89" s="1286"/>
      <c r="N89" s="1336"/>
      <c r="O89" s="1336"/>
      <c r="P89" s="1337"/>
    </row>
    <row r="90" spans="1:16" s="449" customFormat="1" ht="13.35" customHeight="1">
      <c r="C90" s="455" t="s">
        <v>906</v>
      </c>
      <c r="E90" s="1294"/>
      <c r="F90" s="1299"/>
      <c r="G90" s="1295"/>
      <c r="H90" s="837" t="s">
        <v>1428</v>
      </c>
      <c r="I90" s="1324"/>
      <c r="J90" s="1337"/>
      <c r="K90" s="483" t="s">
        <v>1429</v>
      </c>
      <c r="L90" s="1324"/>
      <c r="M90" s="1337"/>
      <c r="N90" s="483" t="s">
        <v>1146</v>
      </c>
      <c r="O90" s="1324"/>
      <c r="P90" s="1337"/>
    </row>
    <row r="91" spans="1:16" s="449" customFormat="1" ht="3" customHeight="1">
      <c r="A91" s="845"/>
      <c r="B91" s="845"/>
      <c r="G91" s="470"/>
      <c r="H91" s="837"/>
      <c r="I91" s="837"/>
      <c r="M91" s="460"/>
    </row>
    <row r="92" spans="1:16" s="449" customFormat="1" ht="13.35" customHeight="1">
      <c r="A92" s="481" t="s">
        <v>3659</v>
      </c>
      <c r="B92" s="845"/>
      <c r="C92" s="831" t="s">
        <v>1545</v>
      </c>
      <c r="D92" s="470"/>
      <c r="E92" s="470"/>
      <c r="F92" s="837"/>
      <c r="G92" s="837"/>
      <c r="H92" s="837"/>
      <c r="I92" s="837"/>
      <c r="J92" s="470"/>
      <c r="K92" s="837"/>
      <c r="L92" s="837"/>
      <c r="N92" s="834"/>
      <c r="O92" s="834"/>
      <c r="P92" s="460"/>
    </row>
    <row r="93" spans="1:16" s="449" customFormat="1" ht="3.6" customHeight="1">
      <c r="A93" s="481"/>
      <c r="B93" s="845"/>
      <c r="C93" s="831"/>
      <c r="D93" s="470"/>
      <c r="E93" s="470"/>
      <c r="F93" s="837"/>
      <c r="G93" s="837"/>
      <c r="H93" s="837"/>
      <c r="I93" s="837"/>
      <c r="J93" s="470"/>
      <c r="K93" s="837"/>
      <c r="L93" s="837"/>
      <c r="N93" s="834"/>
      <c r="O93" s="834"/>
      <c r="P93" s="460"/>
    </row>
    <row r="94" spans="1:16" s="449" customFormat="1" ht="13.35" customHeight="1">
      <c r="C94" s="477" t="s">
        <v>1101</v>
      </c>
      <c r="D94" s="485"/>
      <c r="E94" s="485"/>
      <c r="F94" s="485"/>
      <c r="G94" s="485"/>
      <c r="H94" s="485"/>
      <c r="I94" s="485"/>
      <c r="J94" s="485"/>
      <c r="K94" s="485"/>
      <c r="L94" s="485"/>
      <c r="M94" s="485"/>
      <c r="N94" s="485"/>
      <c r="O94" s="485"/>
      <c r="P94" s="485"/>
    </row>
    <row r="95" spans="1:16" s="449" customFormat="1" ht="5.0999999999999996" customHeight="1">
      <c r="A95" s="845"/>
      <c r="B95" s="845"/>
      <c r="C95" s="486"/>
      <c r="D95" s="486"/>
      <c r="E95" s="486"/>
      <c r="F95" s="486"/>
      <c r="G95" s="486"/>
      <c r="H95" s="486"/>
      <c r="I95" s="486"/>
      <c r="J95" s="486"/>
      <c r="K95" s="486"/>
      <c r="L95" s="486"/>
      <c r="M95" s="486"/>
      <c r="N95" s="486"/>
      <c r="O95" s="486"/>
      <c r="P95" s="486"/>
    </row>
    <row r="96" spans="1:16" s="449" customFormat="1" ht="13.35" customHeight="1">
      <c r="A96" s="845"/>
      <c r="B96" s="845" t="s">
        <v>1150</v>
      </c>
      <c r="C96" s="831" t="s">
        <v>2107</v>
      </c>
      <c r="D96" s="830"/>
      <c r="E96" s="830"/>
      <c r="F96" s="837"/>
      <c r="G96" s="837"/>
      <c r="H96" s="1338">
        <v>2</v>
      </c>
      <c r="N96" s="834"/>
      <c r="O96" s="834"/>
    </row>
    <row r="97" spans="1:16" s="449" customFormat="1" ht="3.6" customHeight="1">
      <c r="A97" s="845"/>
      <c r="B97" s="845"/>
      <c r="C97" s="486"/>
      <c r="D97" s="486"/>
      <c r="E97" s="486"/>
      <c r="F97" s="486"/>
      <c r="G97" s="486"/>
      <c r="H97" s="486"/>
      <c r="J97" s="486"/>
      <c r="M97" s="486"/>
      <c r="N97" s="486"/>
      <c r="O97" s="486"/>
    </row>
    <row r="98" spans="1:16" s="449" customFormat="1" ht="13.35" customHeight="1">
      <c r="A98" s="845"/>
      <c r="B98" s="845" t="s">
        <v>1153</v>
      </c>
      <c r="C98" s="831" t="s">
        <v>3567</v>
      </c>
      <c r="D98" s="830"/>
      <c r="E98" s="830"/>
      <c r="F98" s="837"/>
      <c r="G98" s="837"/>
      <c r="H98" s="1339">
        <v>1731509</v>
      </c>
      <c r="J98" s="470"/>
      <c r="K98" s="828"/>
      <c r="N98" s="834"/>
    </row>
    <row r="99" spans="1:16" s="449" customFormat="1" ht="3.6" customHeight="1">
      <c r="A99" s="845"/>
      <c r="B99" s="845"/>
      <c r="C99" s="486"/>
      <c r="D99" s="486"/>
      <c r="E99" s="486"/>
      <c r="F99" s="486"/>
      <c r="G99" s="486"/>
      <c r="H99" s="486"/>
      <c r="I99" s="486"/>
      <c r="J99" s="486"/>
      <c r="K99" s="486"/>
      <c r="M99" s="486"/>
      <c r="N99" s="486"/>
      <c r="O99" s="486"/>
      <c r="P99" s="486"/>
    </row>
    <row r="100" spans="1:16" s="449" customFormat="1" ht="13.35" customHeight="1">
      <c r="B100" s="845" t="s">
        <v>3012</v>
      </c>
      <c r="C100" s="831" t="s">
        <v>3723</v>
      </c>
      <c r="D100" s="830"/>
      <c r="E100" s="830"/>
      <c r="F100" s="837"/>
      <c r="G100" s="837"/>
      <c r="H100" s="837"/>
      <c r="I100" s="837"/>
      <c r="J100" s="470"/>
      <c r="K100" s="837"/>
      <c r="L100" s="837"/>
      <c r="N100" s="834"/>
      <c r="O100" s="834"/>
    </row>
    <row r="101" spans="1:16" s="449" customFormat="1" ht="13.35" customHeight="1">
      <c r="B101" s="845"/>
      <c r="C101" s="830" t="s">
        <v>961</v>
      </c>
      <c r="D101" s="830"/>
      <c r="F101" s="830" t="s">
        <v>2392</v>
      </c>
      <c r="G101" s="837"/>
      <c r="H101" s="837"/>
      <c r="I101" s="837"/>
      <c r="J101" s="830" t="s">
        <v>961</v>
      </c>
      <c r="K101" s="830"/>
      <c r="M101" s="830" t="s">
        <v>2392</v>
      </c>
      <c r="N101" s="837"/>
      <c r="O101" s="837"/>
      <c r="P101" s="837"/>
    </row>
    <row r="102" spans="1:16" s="449" customFormat="1" ht="13.35" customHeight="1">
      <c r="A102" s="845"/>
      <c r="B102" s="845"/>
      <c r="C102" s="1340" t="s">
        <v>79</v>
      </c>
      <c r="D102" s="1341"/>
      <c r="E102" s="1341"/>
      <c r="F102" s="1341" t="s">
        <v>60</v>
      </c>
      <c r="G102" s="1341"/>
      <c r="H102" s="1341"/>
      <c r="I102" s="1342"/>
      <c r="J102" s="1340">
        <v>8</v>
      </c>
      <c r="K102" s="1341"/>
      <c r="L102" s="1341"/>
      <c r="M102" s="1341"/>
      <c r="N102" s="1341"/>
      <c r="O102" s="1341"/>
      <c r="P102" s="1342"/>
    </row>
    <row r="103" spans="1:16" s="449" customFormat="1" ht="13.35" customHeight="1">
      <c r="A103" s="845"/>
      <c r="B103" s="845"/>
      <c r="C103" s="1343" t="s">
        <v>80</v>
      </c>
      <c r="D103" s="1344"/>
      <c r="E103" s="1344"/>
      <c r="F103" s="1344" t="s">
        <v>60</v>
      </c>
      <c r="G103" s="1344"/>
      <c r="H103" s="1344"/>
      <c r="I103" s="1345"/>
      <c r="J103" s="1343">
        <v>9</v>
      </c>
      <c r="K103" s="1344"/>
      <c r="L103" s="1344"/>
      <c r="M103" s="1344"/>
      <c r="N103" s="1344"/>
      <c r="O103" s="1344"/>
      <c r="P103" s="1345"/>
    </row>
    <row r="104" spans="1:16" s="449" customFormat="1" ht="13.35" customHeight="1">
      <c r="A104" s="845"/>
      <c r="B104" s="845"/>
      <c r="C104" s="1343" t="s">
        <v>79</v>
      </c>
      <c r="D104" s="1344"/>
      <c r="E104" s="1344"/>
      <c r="F104" s="1344" t="s">
        <v>81</v>
      </c>
      <c r="G104" s="1344"/>
      <c r="H104" s="1344"/>
      <c r="I104" s="1345"/>
      <c r="J104" s="1343">
        <v>10</v>
      </c>
      <c r="K104" s="1344"/>
      <c r="L104" s="1344"/>
      <c r="M104" s="1344"/>
      <c r="N104" s="1344"/>
      <c r="O104" s="1344"/>
      <c r="P104" s="1345"/>
    </row>
    <row r="105" spans="1:16" s="449" customFormat="1" ht="13.35" customHeight="1">
      <c r="A105" s="845"/>
      <c r="B105" s="845"/>
      <c r="C105" s="1343" t="s">
        <v>80</v>
      </c>
      <c r="D105" s="1344"/>
      <c r="E105" s="1344"/>
      <c r="F105" s="1344" t="s">
        <v>81</v>
      </c>
      <c r="G105" s="1344"/>
      <c r="H105" s="1344"/>
      <c r="I105" s="1345"/>
      <c r="J105" s="1343">
        <v>11</v>
      </c>
      <c r="K105" s="1344"/>
      <c r="L105" s="1344"/>
      <c r="M105" s="1344"/>
      <c r="N105" s="1344"/>
      <c r="O105" s="1344"/>
      <c r="P105" s="1345"/>
    </row>
    <row r="106" spans="1:16" s="449" customFormat="1" ht="13.35" customHeight="1">
      <c r="A106" s="845"/>
      <c r="B106" s="845"/>
      <c r="C106" s="1343">
        <v>5</v>
      </c>
      <c r="D106" s="1344"/>
      <c r="E106" s="1344"/>
      <c r="F106" s="1344"/>
      <c r="G106" s="1344"/>
      <c r="H106" s="1344"/>
      <c r="I106" s="1345"/>
      <c r="J106" s="1343">
        <v>12</v>
      </c>
      <c r="K106" s="1344"/>
      <c r="L106" s="1344"/>
      <c r="M106" s="1344"/>
      <c r="N106" s="1344"/>
      <c r="O106" s="1344"/>
      <c r="P106" s="1345"/>
    </row>
    <row r="107" spans="1:16" s="449" customFormat="1" ht="13.35" customHeight="1">
      <c r="A107" s="845"/>
      <c r="B107" s="845"/>
      <c r="C107" s="1343">
        <v>6</v>
      </c>
      <c r="D107" s="1344"/>
      <c r="E107" s="1344"/>
      <c r="F107" s="1344"/>
      <c r="G107" s="1344"/>
      <c r="H107" s="1344"/>
      <c r="I107" s="1345"/>
      <c r="J107" s="1343">
        <v>13</v>
      </c>
      <c r="K107" s="1344"/>
      <c r="L107" s="1344"/>
      <c r="M107" s="1344"/>
      <c r="N107" s="1344"/>
      <c r="O107" s="1344"/>
      <c r="P107" s="1345"/>
    </row>
    <row r="108" spans="1:16" s="449" customFormat="1" ht="13.35" customHeight="1">
      <c r="A108" s="845"/>
      <c r="B108" s="845"/>
      <c r="C108" s="1346">
        <v>7</v>
      </c>
      <c r="D108" s="1347"/>
      <c r="E108" s="1347"/>
      <c r="F108" s="1347"/>
      <c r="G108" s="1347"/>
      <c r="H108" s="1347"/>
      <c r="I108" s="1348"/>
      <c r="J108" s="1346">
        <v>14</v>
      </c>
      <c r="K108" s="1347"/>
      <c r="L108" s="1347"/>
      <c r="M108" s="1347"/>
      <c r="N108" s="1347"/>
      <c r="O108" s="1347"/>
      <c r="P108" s="1348"/>
    </row>
    <row r="109" spans="1:16" s="449" customFormat="1" ht="5.0999999999999996" customHeight="1">
      <c r="A109" s="845"/>
      <c r="B109" s="845"/>
      <c r="C109" s="486"/>
      <c r="D109" s="486"/>
      <c r="E109" s="486"/>
      <c r="F109" s="486"/>
      <c r="G109" s="486"/>
      <c r="H109" s="486"/>
      <c r="I109" s="486"/>
      <c r="J109" s="486"/>
      <c r="K109" s="486"/>
      <c r="L109" s="486"/>
      <c r="M109" s="486"/>
      <c r="N109" s="486"/>
      <c r="O109" s="486"/>
      <c r="P109" s="486"/>
    </row>
    <row r="110" spans="1:16" s="449" customFormat="1" ht="13.35" customHeight="1">
      <c r="A110" s="845"/>
      <c r="B110" s="845" t="s">
        <v>1220</v>
      </c>
      <c r="C110" s="914" t="s">
        <v>1372</v>
      </c>
      <c r="D110" s="914"/>
      <c r="E110" s="914"/>
      <c r="F110" s="914"/>
      <c r="G110" s="914"/>
      <c r="H110" s="914"/>
      <c r="I110" s="914"/>
      <c r="J110" s="914"/>
      <c r="K110" s="914"/>
      <c r="L110" s="914"/>
      <c r="M110" s="914"/>
      <c r="N110" s="914"/>
      <c r="O110" s="914"/>
      <c r="P110" s="914"/>
    </row>
    <row r="111" spans="1:16" s="449" customFormat="1" ht="13.35" customHeight="1">
      <c r="A111" s="845"/>
      <c r="B111" s="845"/>
      <c r="C111" s="914"/>
      <c r="D111" s="914"/>
      <c r="E111" s="914"/>
      <c r="F111" s="914"/>
      <c r="G111" s="914"/>
      <c r="H111" s="914"/>
      <c r="I111" s="914"/>
      <c r="J111" s="914"/>
      <c r="K111" s="914"/>
      <c r="L111" s="914"/>
      <c r="M111" s="914"/>
      <c r="N111" s="914"/>
      <c r="O111" s="914"/>
      <c r="P111" s="914"/>
    </row>
    <row r="112" spans="1:16" s="449" customFormat="1" ht="13.35" customHeight="1">
      <c r="B112" s="845"/>
      <c r="C112" s="830" t="s">
        <v>961</v>
      </c>
      <c r="D112" s="830"/>
      <c r="F112" s="830" t="s">
        <v>2392</v>
      </c>
      <c r="G112" s="837"/>
      <c r="H112" s="837"/>
      <c r="I112" s="837"/>
      <c r="J112" s="830" t="s">
        <v>961</v>
      </c>
      <c r="K112" s="830"/>
      <c r="M112" s="830" t="s">
        <v>2392</v>
      </c>
      <c r="N112" s="837"/>
      <c r="O112" s="837"/>
      <c r="P112" s="837"/>
    </row>
    <row r="113" spans="1:16" s="449" customFormat="1" ht="13.35" customHeight="1">
      <c r="A113" s="845"/>
      <c r="B113" s="845"/>
      <c r="C113" s="1340">
        <v>1</v>
      </c>
      <c r="D113" s="1341"/>
      <c r="E113" s="1341"/>
      <c r="F113" s="1341"/>
      <c r="G113" s="1341"/>
      <c r="H113" s="1341"/>
      <c r="I113" s="1342"/>
      <c r="J113" s="1340">
        <v>8</v>
      </c>
      <c r="K113" s="1341"/>
      <c r="L113" s="1341"/>
      <c r="M113" s="1341"/>
      <c r="N113" s="1341"/>
      <c r="O113" s="1341"/>
      <c r="P113" s="1342"/>
    </row>
    <row r="114" spans="1:16" s="449" customFormat="1" ht="13.35" customHeight="1">
      <c r="A114" s="845"/>
      <c r="B114" s="845"/>
      <c r="C114" s="1343">
        <v>2</v>
      </c>
      <c r="D114" s="1344"/>
      <c r="E114" s="1344"/>
      <c r="F114" s="1344"/>
      <c r="G114" s="1344"/>
      <c r="H114" s="1344"/>
      <c r="I114" s="1345"/>
      <c r="J114" s="1343">
        <v>9</v>
      </c>
      <c r="K114" s="1344"/>
      <c r="L114" s="1344"/>
      <c r="M114" s="1344"/>
      <c r="N114" s="1344"/>
      <c r="O114" s="1344"/>
      <c r="P114" s="1345"/>
    </row>
    <row r="115" spans="1:16" s="449" customFormat="1" ht="13.35" customHeight="1">
      <c r="A115" s="845"/>
      <c r="B115" s="845"/>
      <c r="C115" s="1343">
        <v>3</v>
      </c>
      <c r="D115" s="1344"/>
      <c r="E115" s="1344"/>
      <c r="F115" s="1344"/>
      <c r="G115" s="1344"/>
      <c r="H115" s="1344"/>
      <c r="I115" s="1345"/>
      <c r="J115" s="1343">
        <v>10</v>
      </c>
      <c r="K115" s="1344"/>
      <c r="L115" s="1344"/>
      <c r="M115" s="1344"/>
      <c r="N115" s="1344"/>
      <c r="O115" s="1344"/>
      <c r="P115" s="1345"/>
    </row>
    <row r="116" spans="1:16" s="449" customFormat="1" ht="13.35" customHeight="1">
      <c r="A116" s="845"/>
      <c r="B116" s="845"/>
      <c r="C116" s="1343">
        <v>4</v>
      </c>
      <c r="D116" s="1344"/>
      <c r="E116" s="1344"/>
      <c r="F116" s="1344"/>
      <c r="G116" s="1344"/>
      <c r="H116" s="1344"/>
      <c r="I116" s="1345"/>
      <c r="J116" s="1343">
        <v>11</v>
      </c>
      <c r="K116" s="1344"/>
      <c r="L116" s="1344"/>
      <c r="M116" s="1344"/>
      <c r="N116" s="1344"/>
      <c r="O116" s="1344"/>
      <c r="P116" s="1345"/>
    </row>
    <row r="117" spans="1:16" s="449" customFormat="1" ht="13.35" customHeight="1">
      <c r="A117" s="845"/>
      <c r="B117" s="845"/>
      <c r="C117" s="1343">
        <v>5</v>
      </c>
      <c r="D117" s="1344"/>
      <c r="E117" s="1344"/>
      <c r="F117" s="1344"/>
      <c r="G117" s="1344"/>
      <c r="H117" s="1344"/>
      <c r="I117" s="1345"/>
      <c r="J117" s="1343">
        <v>12</v>
      </c>
      <c r="K117" s="1344"/>
      <c r="L117" s="1344"/>
      <c r="M117" s="1344"/>
      <c r="N117" s="1344"/>
      <c r="O117" s="1344"/>
      <c r="P117" s="1345"/>
    </row>
    <row r="118" spans="1:16" s="449" customFormat="1" ht="13.35" customHeight="1">
      <c r="A118" s="845"/>
      <c r="B118" s="845"/>
      <c r="C118" s="1343">
        <v>6</v>
      </c>
      <c r="D118" s="1344"/>
      <c r="E118" s="1344"/>
      <c r="F118" s="1344"/>
      <c r="G118" s="1344"/>
      <c r="H118" s="1344"/>
      <c r="I118" s="1345"/>
      <c r="J118" s="1343">
        <v>13</v>
      </c>
      <c r="K118" s="1344"/>
      <c r="L118" s="1344"/>
      <c r="M118" s="1344"/>
      <c r="N118" s="1344"/>
      <c r="O118" s="1344"/>
      <c r="P118" s="1345"/>
    </row>
    <row r="119" spans="1:16" s="449" customFormat="1" ht="13.35" customHeight="1">
      <c r="A119" s="845"/>
      <c r="B119" s="845"/>
      <c r="C119" s="1346">
        <v>7</v>
      </c>
      <c r="D119" s="1347"/>
      <c r="E119" s="1347"/>
      <c r="F119" s="1347"/>
      <c r="G119" s="1347"/>
      <c r="H119" s="1347"/>
      <c r="I119" s="1348"/>
      <c r="J119" s="1346">
        <v>14</v>
      </c>
      <c r="K119" s="1347"/>
      <c r="L119" s="1347"/>
      <c r="M119" s="1347"/>
      <c r="N119" s="1347"/>
      <c r="O119" s="1347"/>
      <c r="P119" s="1348"/>
    </row>
    <row r="120" spans="1:16" s="449" customFormat="1" ht="6.6" customHeight="1">
      <c r="A120" s="845"/>
      <c r="B120" s="845"/>
      <c r="C120" s="830"/>
      <c r="D120" s="830"/>
      <c r="E120" s="830"/>
      <c r="F120" s="837"/>
      <c r="G120" s="837"/>
      <c r="H120" s="837"/>
      <c r="I120" s="837"/>
      <c r="J120" s="470"/>
      <c r="K120" s="837"/>
      <c r="L120" s="837"/>
      <c r="N120" s="834"/>
      <c r="O120" s="834"/>
      <c r="P120" s="460"/>
    </row>
    <row r="121" spans="1:16" s="449" customFormat="1" ht="13.35" customHeight="1">
      <c r="A121" s="481" t="s">
        <v>3660</v>
      </c>
      <c r="B121" s="845"/>
      <c r="C121" s="478" t="s">
        <v>585</v>
      </c>
      <c r="D121" s="478"/>
      <c r="E121" s="478"/>
      <c r="F121" s="478"/>
      <c r="H121" s="1300" t="s">
        <v>61</v>
      </c>
      <c r="M121" s="837"/>
      <c r="N121" s="834"/>
      <c r="O121" s="834"/>
      <c r="P121" s="460"/>
    </row>
    <row r="122" spans="1:16" s="449" customFormat="1" ht="3" customHeight="1">
      <c r="A122" s="481"/>
      <c r="B122" s="845"/>
      <c r="C122" s="831"/>
      <c r="D122" s="831"/>
      <c r="E122" s="831"/>
      <c r="F122" s="831"/>
      <c r="G122" s="837"/>
      <c r="M122" s="837"/>
      <c r="N122" s="834"/>
      <c r="O122" s="834"/>
    </row>
    <row r="123" spans="1:16" s="449" customFormat="1" ht="13.35" customHeight="1">
      <c r="A123" s="845"/>
      <c r="B123" s="845" t="s">
        <v>1150</v>
      </c>
      <c r="C123" s="456" t="s">
        <v>1599</v>
      </c>
      <c r="H123" s="1300"/>
      <c r="M123" s="837"/>
      <c r="N123" s="834"/>
      <c r="O123" s="834"/>
      <c r="P123" s="460"/>
    </row>
    <row r="124" spans="1:16" s="449" customFormat="1" ht="13.35" customHeight="1">
      <c r="A124" s="845"/>
      <c r="B124" s="845"/>
      <c r="C124" s="830" t="s">
        <v>587</v>
      </c>
      <c r="D124" s="830"/>
      <c r="E124" s="830"/>
      <c r="F124" s="837"/>
      <c r="H124" s="1349"/>
      <c r="N124" s="834"/>
      <c r="O124" s="834"/>
      <c r="P124" s="460"/>
    </row>
    <row r="125" spans="1:16" s="449" customFormat="1" ht="13.35" customHeight="1">
      <c r="A125" s="845"/>
      <c r="B125" s="845"/>
      <c r="C125" s="487" t="s">
        <v>1468</v>
      </c>
      <c r="D125" s="455"/>
      <c r="H125" s="1286"/>
      <c r="I125" s="1288"/>
      <c r="P125" s="460"/>
    </row>
    <row r="126" spans="1:16" s="449" customFormat="1" ht="13.35" customHeight="1">
      <c r="A126" s="845"/>
      <c r="B126" s="845"/>
      <c r="C126" s="830" t="s">
        <v>588</v>
      </c>
      <c r="D126" s="830"/>
      <c r="E126" s="830"/>
      <c r="F126" s="837"/>
      <c r="H126" s="1349"/>
      <c r="K126" s="416" t="s">
        <v>1001</v>
      </c>
      <c r="O126" s="1286" t="s">
        <v>3435</v>
      </c>
      <c r="P126" s="1288"/>
    </row>
    <row r="127" spans="1:16" s="449" customFormat="1" ht="13.35" customHeight="1">
      <c r="A127" s="845"/>
      <c r="B127" s="845"/>
      <c r="C127" s="830" t="s">
        <v>586</v>
      </c>
      <c r="F127" s="837"/>
      <c r="H127" s="1338"/>
      <c r="K127" s="416" t="s">
        <v>1002</v>
      </c>
      <c r="O127" s="1286" t="s">
        <v>3435</v>
      </c>
      <c r="P127" s="1288"/>
    </row>
    <row r="128" spans="1:16" s="449" customFormat="1" ht="13.35" customHeight="1">
      <c r="A128" s="845"/>
      <c r="B128" s="845"/>
      <c r="C128" s="830" t="s">
        <v>1113</v>
      </c>
      <c r="D128" s="830"/>
      <c r="E128" s="830"/>
      <c r="F128" s="837"/>
      <c r="H128" s="1334"/>
      <c r="I128" s="1335"/>
      <c r="N128" s="834"/>
      <c r="O128" s="834"/>
      <c r="P128" s="460"/>
    </row>
    <row r="129" spans="1:16" s="449" customFormat="1" ht="3" customHeight="1">
      <c r="A129" s="845"/>
      <c r="B129" s="845"/>
      <c r="C129" s="830"/>
      <c r="D129" s="830"/>
      <c r="E129" s="830"/>
      <c r="F129" s="837"/>
      <c r="N129" s="834"/>
      <c r="O129" s="834"/>
      <c r="P129" s="460"/>
    </row>
    <row r="130" spans="1:16" s="449" customFormat="1" ht="13.35" customHeight="1">
      <c r="A130" s="845"/>
      <c r="B130" s="845" t="s">
        <v>1153</v>
      </c>
      <c r="C130" s="831" t="s">
        <v>567</v>
      </c>
      <c r="D130" s="830"/>
      <c r="E130" s="830"/>
      <c r="F130" s="837"/>
      <c r="H130" s="1338" t="s">
        <v>61</v>
      </c>
      <c r="N130" s="834"/>
      <c r="O130" s="834"/>
      <c r="P130" s="460"/>
    </row>
    <row r="131" spans="1:16" s="449" customFormat="1" ht="3" customHeight="1">
      <c r="A131" s="845"/>
      <c r="B131" s="845"/>
      <c r="C131" s="830"/>
      <c r="D131" s="830"/>
      <c r="E131" s="830"/>
      <c r="F131" s="837"/>
      <c r="G131" s="837"/>
      <c r="M131" s="837"/>
      <c r="N131" s="834"/>
      <c r="O131" s="834"/>
      <c r="P131" s="460"/>
    </row>
    <row r="132" spans="1:16" s="449" customFormat="1" ht="13.35" customHeight="1">
      <c r="A132" s="845"/>
      <c r="B132" s="845" t="s">
        <v>3012</v>
      </c>
      <c r="C132" s="831" t="s">
        <v>3156</v>
      </c>
      <c r="D132" s="830"/>
      <c r="E132" s="830"/>
      <c r="F132" s="837"/>
      <c r="G132" s="837"/>
      <c r="N132" s="834"/>
      <c r="O132" s="834"/>
      <c r="P132" s="460"/>
    </row>
    <row r="133" spans="1:16" s="449" customFormat="1" ht="13.35" customHeight="1">
      <c r="A133" s="845"/>
      <c r="B133" s="845"/>
      <c r="C133" s="830" t="s">
        <v>3031</v>
      </c>
      <c r="D133" s="830"/>
      <c r="E133" s="830"/>
      <c r="F133" s="837"/>
      <c r="G133" s="837"/>
      <c r="H133" s="1338" t="s">
        <v>61</v>
      </c>
      <c r="K133" s="830" t="s">
        <v>1935</v>
      </c>
      <c r="L133" s="830"/>
      <c r="M133" s="837"/>
      <c r="N133" s="837"/>
      <c r="O133" s="1338" t="s">
        <v>61</v>
      </c>
      <c r="P133" s="460"/>
    </row>
    <row r="134" spans="1:16" s="449" customFormat="1" ht="13.35" customHeight="1">
      <c r="A134" s="845"/>
      <c r="B134" s="845"/>
      <c r="C134" s="830" t="s">
        <v>3032</v>
      </c>
      <c r="D134" s="830"/>
      <c r="E134" s="830"/>
      <c r="F134" s="837"/>
      <c r="G134" s="837"/>
      <c r="H134" s="1338" t="s">
        <v>61</v>
      </c>
      <c r="J134" s="830"/>
      <c r="K134" s="830"/>
      <c r="L134" s="830"/>
      <c r="M134" s="837"/>
      <c r="N134" s="837"/>
      <c r="O134" s="837"/>
      <c r="P134" s="460"/>
    </row>
    <row r="135" spans="1:16" s="449" customFormat="1" ht="6" customHeight="1">
      <c r="A135" s="845"/>
      <c r="B135" s="845"/>
      <c r="C135" s="830"/>
      <c r="D135" s="830"/>
      <c r="E135" s="830"/>
      <c r="F135" s="837"/>
      <c r="G135" s="837"/>
      <c r="H135" s="837"/>
      <c r="I135" s="837"/>
      <c r="J135" s="470"/>
      <c r="K135" s="837"/>
      <c r="L135" s="837"/>
      <c r="N135" s="834"/>
      <c r="O135" s="834"/>
      <c r="P135" s="460"/>
    </row>
    <row r="136" spans="1:16" s="449" customFormat="1" ht="13.35" customHeight="1">
      <c r="A136" s="481" t="s">
        <v>3661</v>
      </c>
      <c r="B136" s="845"/>
      <c r="C136" s="478" t="s">
        <v>2350</v>
      </c>
      <c r="D136" s="478"/>
      <c r="E136" s="478"/>
      <c r="F136" s="478"/>
      <c r="G136" s="837"/>
      <c r="H136" s="837"/>
      <c r="I136" s="837"/>
      <c r="J136" s="470"/>
      <c r="K136" s="837"/>
      <c r="L136" s="837"/>
      <c r="N136" s="834"/>
      <c r="O136" s="834"/>
      <c r="P136" s="460"/>
    </row>
    <row r="137" spans="1:16" s="449" customFormat="1" ht="2.1" customHeight="1">
      <c r="A137" s="481"/>
      <c r="B137" s="845"/>
      <c r="C137" s="831"/>
      <c r="D137" s="831"/>
      <c r="E137" s="831"/>
      <c r="F137" s="831"/>
      <c r="G137" s="837"/>
      <c r="H137" s="837"/>
      <c r="I137" s="837"/>
      <c r="J137" s="470"/>
      <c r="K137" s="837"/>
      <c r="L137" s="837"/>
      <c r="N137" s="834"/>
      <c r="O137" s="834"/>
    </row>
    <row r="138" spans="1:16" s="449" customFormat="1" ht="13.35" customHeight="1">
      <c r="A138" s="845"/>
      <c r="B138" s="845" t="s">
        <v>1150</v>
      </c>
      <c r="C138" s="469" t="s">
        <v>1459</v>
      </c>
      <c r="F138" s="837"/>
      <c r="G138" s="837"/>
      <c r="H138" s="837"/>
      <c r="I138" s="837"/>
      <c r="J138" s="470"/>
      <c r="K138" s="837"/>
      <c r="L138" s="837"/>
      <c r="N138" s="834"/>
      <c r="O138" s="834"/>
      <c r="P138" s="460"/>
    </row>
    <row r="139" spans="1:16" s="449" customFormat="1" ht="12.6" customHeight="1">
      <c r="A139" s="845"/>
      <c r="B139" s="845"/>
      <c r="C139" s="477" t="s">
        <v>1927</v>
      </c>
      <c r="D139" s="470"/>
      <c r="E139" s="470"/>
      <c r="F139" s="837"/>
      <c r="G139" s="837"/>
      <c r="H139" s="837"/>
      <c r="I139" s="837"/>
      <c r="K139" s="1338" t="s">
        <v>61</v>
      </c>
      <c r="N139" s="834"/>
      <c r="O139" s="834"/>
      <c r="P139" s="460"/>
    </row>
    <row r="140" spans="1:16" s="449" customFormat="1" ht="12.6" customHeight="1">
      <c r="A140" s="845"/>
      <c r="B140" s="845"/>
      <c r="C140" s="449" t="s">
        <v>3132</v>
      </c>
      <c r="K140" s="1328"/>
      <c r="L140" s="455" t="s">
        <v>1421</v>
      </c>
      <c r="P140" s="488">
        <f>IF('Part VI-Revenues &amp; Expenses'!$M$60=0,0,$K140/'Part VI-Revenues &amp; Expenses'!$M$60)</f>
        <v>0</v>
      </c>
    </row>
    <row r="141" spans="1:16" s="449" customFormat="1" ht="12.6" customHeight="1">
      <c r="A141" s="845"/>
      <c r="B141" s="845"/>
      <c r="C141" s="449" t="s">
        <v>1007</v>
      </c>
      <c r="K141" s="1328"/>
      <c r="L141" s="455" t="s">
        <v>1421</v>
      </c>
      <c r="P141" s="488">
        <f>IF('Part VI-Revenues &amp; Expenses'!$M$60=0,0,$K141/'Part VI-Revenues &amp; Expenses'!$M$60)</f>
        <v>0</v>
      </c>
    </row>
    <row r="142" spans="1:16" s="449" customFormat="1" ht="12.6" customHeight="1">
      <c r="A142" s="845"/>
      <c r="B142" s="845"/>
      <c r="C142" s="449" t="s">
        <v>1422</v>
      </c>
      <c r="E142" s="1286"/>
      <c r="F142" s="1287"/>
      <c r="G142" s="1287"/>
      <c r="H142" s="1287"/>
      <c r="I142" s="1287"/>
      <c r="J142" s="1287"/>
      <c r="K142" s="1288"/>
      <c r="L142" s="489" t="s">
        <v>1423</v>
      </c>
      <c r="M142" s="1286"/>
      <c r="N142" s="1287"/>
      <c r="O142" s="1287"/>
      <c r="P142" s="1288"/>
    </row>
    <row r="143" spans="1:16" s="449" customFormat="1" ht="12.6" customHeight="1">
      <c r="A143" s="845"/>
      <c r="B143" s="845"/>
      <c r="C143" s="455" t="s">
        <v>1424</v>
      </c>
      <c r="D143" s="463"/>
      <c r="E143" s="1286"/>
      <c r="F143" s="1287"/>
      <c r="G143" s="1287"/>
      <c r="H143" s="1287"/>
      <c r="I143" s="1287"/>
      <c r="J143" s="1287"/>
      <c r="K143" s="1350"/>
      <c r="L143" s="828" t="s">
        <v>1426</v>
      </c>
      <c r="M143" s="1302"/>
      <c r="N143" s="1303"/>
      <c r="O143" s="1303"/>
      <c r="P143" s="1304"/>
    </row>
    <row r="144" spans="1:16" s="449" customFormat="1" ht="12.6" customHeight="1">
      <c r="A144" s="845"/>
      <c r="B144" s="845"/>
      <c r="C144" s="455" t="s">
        <v>3136</v>
      </c>
      <c r="E144" s="1286"/>
      <c r="F144" s="1287"/>
      <c r="G144" s="1287"/>
      <c r="H144" s="1288"/>
      <c r="I144" s="483" t="s">
        <v>982</v>
      </c>
      <c r="J144" s="1297"/>
      <c r="K144" s="1298"/>
      <c r="L144" s="489" t="s">
        <v>1429</v>
      </c>
      <c r="M144" s="1294"/>
      <c r="N144" s="1299"/>
      <c r="O144" s="1295"/>
    </row>
    <row r="145" spans="1:16" s="449" customFormat="1" ht="12.6" customHeight="1">
      <c r="A145" s="845"/>
      <c r="B145" s="845"/>
      <c r="C145" s="455" t="s">
        <v>1427</v>
      </c>
      <c r="E145" s="1294"/>
      <c r="F145" s="1299"/>
      <c r="G145" s="1295"/>
      <c r="H145" s="490" t="s">
        <v>1428</v>
      </c>
      <c r="I145" s="1294"/>
      <c r="J145" s="1299"/>
      <c r="K145" s="1295"/>
      <c r="L145" s="491" t="s">
        <v>1146</v>
      </c>
      <c r="M145" s="1294"/>
      <c r="N145" s="1299"/>
      <c r="O145" s="1295"/>
    </row>
    <row r="146" spans="1:16" s="449" customFormat="1" ht="2.1" customHeight="1">
      <c r="A146" s="845"/>
      <c r="B146" s="845"/>
      <c r="C146" s="455"/>
      <c r="E146" s="492"/>
      <c r="F146" s="492"/>
      <c r="G146" s="492"/>
      <c r="H146" s="837"/>
      <c r="I146" s="492"/>
      <c r="J146" s="492"/>
      <c r="K146" s="837"/>
      <c r="L146" s="492"/>
      <c r="M146" s="492"/>
      <c r="N146" s="837"/>
      <c r="O146" s="492"/>
      <c r="P146" s="492"/>
    </row>
    <row r="147" spans="1:16" s="449" customFormat="1" ht="12.6" customHeight="1">
      <c r="A147" s="845"/>
      <c r="B147" s="845" t="s">
        <v>1153</v>
      </c>
      <c r="C147" s="831" t="s">
        <v>1886</v>
      </c>
      <c r="D147" s="831"/>
      <c r="E147" s="831"/>
      <c r="F147" s="831"/>
      <c r="G147" s="831"/>
      <c r="I147" s="1338" t="s">
        <v>61</v>
      </c>
      <c r="J147" s="912" t="s">
        <v>3024</v>
      </c>
      <c r="K147" s="913"/>
      <c r="L147" s="1338"/>
      <c r="M147" s="909" t="s">
        <v>765</v>
      </c>
      <c r="N147" s="910"/>
      <c r="O147" s="911"/>
      <c r="P147" s="1349"/>
    </row>
    <row r="148" spans="1:16" s="449" customFormat="1" ht="2.1" customHeight="1">
      <c r="A148" s="845"/>
      <c r="B148" s="845"/>
      <c r="C148" s="831"/>
      <c r="D148" s="831"/>
      <c r="E148" s="452"/>
      <c r="F148" s="831"/>
      <c r="G148" s="831"/>
      <c r="J148" s="459"/>
      <c r="K148" s="493"/>
      <c r="M148" s="834"/>
      <c r="O148" s="837"/>
      <c r="P148" s="460"/>
    </row>
    <row r="149" spans="1:16" s="449" customFormat="1" ht="12.6" customHeight="1">
      <c r="A149" s="845"/>
      <c r="B149" s="845" t="s">
        <v>3012</v>
      </c>
      <c r="C149" s="831" t="s">
        <v>1384</v>
      </c>
      <c r="D149" s="831"/>
      <c r="E149" s="831"/>
      <c r="F149" s="831"/>
      <c r="G149" s="831"/>
      <c r="H149" s="1338" t="s">
        <v>61</v>
      </c>
      <c r="L149" s="416"/>
      <c r="M149" s="416"/>
      <c r="P149" s="460"/>
    </row>
    <row r="150" spans="1:16" s="449" customFormat="1" ht="2.1" customHeight="1">
      <c r="A150" s="845"/>
      <c r="B150" s="845"/>
      <c r="C150" s="455"/>
      <c r="E150" s="492"/>
      <c r="F150" s="492"/>
      <c r="G150" s="492"/>
      <c r="H150" s="492"/>
      <c r="J150" s="492"/>
      <c r="K150" s="837"/>
      <c r="L150" s="492"/>
      <c r="M150" s="492"/>
      <c r="N150" s="837"/>
      <c r="O150" s="492"/>
      <c r="P150" s="492"/>
    </row>
    <row r="151" spans="1:16" s="449" customFormat="1" ht="12.6" customHeight="1">
      <c r="A151" s="845"/>
      <c r="B151" s="845" t="s">
        <v>1220</v>
      </c>
      <c r="C151" s="892" t="s">
        <v>1145</v>
      </c>
      <c r="D151" s="892"/>
      <c r="E151" s="892"/>
      <c r="F151" s="892"/>
      <c r="G151" s="831"/>
      <c r="H151" s="1338" t="s">
        <v>61</v>
      </c>
    </row>
    <row r="152" spans="1:16" s="449" customFormat="1" ht="12.6" customHeight="1">
      <c r="B152" s="845"/>
      <c r="C152" s="891" t="s">
        <v>1983</v>
      </c>
      <c r="D152" s="891"/>
      <c r="E152" s="831"/>
      <c r="F152" s="831"/>
      <c r="G152" s="831"/>
      <c r="H152" s="1351"/>
    </row>
    <row r="153" spans="1:16" s="449" customFormat="1" ht="12.6" customHeight="1">
      <c r="A153" s="845"/>
      <c r="B153" s="845"/>
      <c r="C153" s="887" t="s">
        <v>2818</v>
      </c>
      <c r="D153" s="887"/>
      <c r="E153" s="452"/>
      <c r="F153" s="831"/>
      <c r="G153" s="831"/>
      <c r="H153" s="1351"/>
      <c r="K153" s="459"/>
      <c r="P153" s="460"/>
    </row>
    <row r="154" spans="1:16" s="449" customFormat="1" ht="12.6" customHeight="1">
      <c r="B154" s="845"/>
      <c r="C154" s="887" t="s">
        <v>1417</v>
      </c>
      <c r="D154" s="887"/>
      <c r="E154" s="452"/>
      <c r="F154" s="831"/>
      <c r="G154" s="831"/>
      <c r="H154" s="494" t="str">
        <f>IF(H152="","",H153/H152)</f>
        <v/>
      </c>
      <c r="K154" s="459"/>
      <c r="M154" s="834"/>
      <c r="P154" s="460"/>
    </row>
    <row r="155" spans="1:16" s="449" customFormat="1" ht="2.1" customHeight="1">
      <c r="A155" s="845"/>
      <c r="B155" s="845"/>
      <c r="C155" s="831"/>
      <c r="D155" s="831"/>
      <c r="E155" s="452"/>
      <c r="F155" s="831"/>
      <c r="G155" s="831"/>
      <c r="H155" s="493"/>
      <c r="J155" s="459"/>
      <c r="K155" s="470"/>
      <c r="M155" s="834"/>
      <c r="O155" s="837"/>
      <c r="P155" s="460"/>
    </row>
    <row r="156" spans="1:16" s="449" customFormat="1" ht="13.35" customHeight="1">
      <c r="A156" s="845"/>
      <c r="B156" s="845" t="s">
        <v>1496</v>
      </c>
      <c r="C156" s="394" t="s">
        <v>1887</v>
      </c>
      <c r="D156" s="830"/>
      <c r="E156" s="830"/>
      <c r="F156" s="830"/>
      <c r="G156" s="830"/>
      <c r="H156" s="837"/>
      <c r="J156" s="459"/>
      <c r="K156" s="470"/>
      <c r="M156" s="834"/>
      <c r="O156" s="837"/>
      <c r="P156" s="460"/>
    </row>
    <row r="157" spans="1:16" s="449" customFormat="1" ht="12.6" customHeight="1">
      <c r="A157" s="845"/>
      <c r="B157" s="845"/>
      <c r="C157" s="834" t="s">
        <v>941</v>
      </c>
      <c r="D157" s="461"/>
      <c r="E157" s="834"/>
      <c r="F157" s="834"/>
      <c r="H157" s="1338" t="s">
        <v>61</v>
      </c>
      <c r="L157" s="834" t="s">
        <v>175</v>
      </c>
      <c r="P157" s="1338" t="s">
        <v>61</v>
      </c>
    </row>
    <row r="158" spans="1:16" s="449" customFormat="1" ht="12.6" customHeight="1">
      <c r="A158" s="845"/>
      <c r="B158" s="845"/>
      <c r="C158" s="834" t="s">
        <v>943</v>
      </c>
      <c r="H158" s="1338" t="s">
        <v>61</v>
      </c>
      <c r="L158" s="834" t="s">
        <v>1722</v>
      </c>
      <c r="P158" s="1338" t="s">
        <v>61</v>
      </c>
    </row>
    <row r="159" spans="1:16" s="449" customFormat="1" ht="12.6" customHeight="1">
      <c r="A159" s="845"/>
      <c r="C159" s="834" t="s">
        <v>2262</v>
      </c>
      <c r="D159" s="496"/>
      <c r="H159" s="1338" t="s">
        <v>61</v>
      </c>
      <c r="L159" s="834" t="s">
        <v>1709</v>
      </c>
      <c r="P159" s="1338" t="s">
        <v>61</v>
      </c>
    </row>
    <row r="160" spans="1:16" s="449" customFormat="1" ht="12.6" customHeight="1">
      <c r="A160" s="845"/>
      <c r="B160" s="845"/>
      <c r="C160" s="834" t="s">
        <v>1888</v>
      </c>
      <c r="D160" s="461"/>
      <c r="E160" s="834"/>
      <c r="F160" s="834"/>
      <c r="H160" s="1338" t="s">
        <v>63</v>
      </c>
      <c r="K160" s="461"/>
      <c r="L160" s="449" t="s">
        <v>176</v>
      </c>
      <c r="M160" s="834"/>
      <c r="P160" s="1338" t="s">
        <v>61</v>
      </c>
    </row>
    <row r="161" spans="1:21" s="449" customFormat="1" ht="12.6" customHeight="1">
      <c r="A161" s="845"/>
      <c r="B161" s="452"/>
      <c r="C161" s="834" t="s">
        <v>1938</v>
      </c>
      <c r="D161" s="461"/>
      <c r="H161" s="1338" t="s">
        <v>61</v>
      </c>
      <c r="L161" s="834" t="s">
        <v>135</v>
      </c>
      <c r="M161" s="834"/>
      <c r="P161" s="1338" t="s">
        <v>61</v>
      </c>
    </row>
    <row r="162" spans="1:21" s="449" customFormat="1" ht="12.6" customHeight="1">
      <c r="A162" s="845"/>
      <c r="B162" s="845"/>
      <c r="C162" s="834" t="s">
        <v>1438</v>
      </c>
      <c r="D162" s="461"/>
      <c r="E162" s="834"/>
      <c r="F162" s="834"/>
      <c r="H162" s="1338" t="s">
        <v>61</v>
      </c>
      <c r="I162" s="495" t="s">
        <v>388</v>
      </c>
      <c r="O162" s="1352"/>
      <c r="P162" s="1353"/>
    </row>
    <row r="163" spans="1:21" s="449" customFormat="1" ht="12.6" customHeight="1">
      <c r="A163" s="845"/>
      <c r="B163" s="845"/>
      <c r="C163" s="834" t="s">
        <v>137</v>
      </c>
      <c r="E163" s="1329" t="s">
        <v>145</v>
      </c>
      <c r="F163" s="1354"/>
      <c r="G163" s="1330"/>
      <c r="H163" s="1338" t="s">
        <v>63</v>
      </c>
    </row>
    <row r="164" spans="1:21" s="449" customFormat="1" ht="2.1" customHeight="1">
      <c r="A164" s="845"/>
      <c r="B164" s="845"/>
      <c r="P164" s="459"/>
    </row>
    <row r="165" spans="1:21" s="449" customFormat="1" ht="13.35" customHeight="1">
      <c r="B165" s="845" t="s">
        <v>1497</v>
      </c>
      <c r="C165" s="456" t="s">
        <v>2831</v>
      </c>
    </row>
    <row r="166" spans="1:21" s="449" customFormat="1" ht="12.6" customHeight="1">
      <c r="A166" s="845"/>
      <c r="B166" s="845"/>
      <c r="C166" s="455" t="s">
        <v>3236</v>
      </c>
      <c r="D166" s="830"/>
      <c r="E166" s="830"/>
      <c r="F166" s="837"/>
      <c r="G166" s="837"/>
      <c r="H166" s="1334"/>
      <c r="I166" s="1335"/>
      <c r="N166" s="834"/>
      <c r="O166" s="834"/>
      <c r="P166" s="460"/>
    </row>
    <row r="167" spans="1:21" s="449" customFormat="1" ht="12.6" customHeight="1">
      <c r="A167" s="845"/>
      <c r="B167" s="845"/>
      <c r="C167" s="455" t="s">
        <v>3707</v>
      </c>
      <c r="D167" s="830"/>
      <c r="E167" s="830"/>
      <c r="F167" s="837"/>
      <c r="G167" s="837"/>
      <c r="H167" s="1334"/>
      <c r="I167" s="1335"/>
      <c r="N167" s="834"/>
      <c r="O167" s="834"/>
      <c r="P167" s="460"/>
    </row>
    <row r="168" spans="1:21" s="449" customFormat="1" ht="12.6" customHeight="1">
      <c r="A168" s="845"/>
      <c r="B168" s="845"/>
      <c r="C168" s="455" t="s">
        <v>936</v>
      </c>
      <c r="D168" s="830"/>
      <c r="E168" s="830"/>
      <c r="F168" s="837"/>
      <c r="G168" s="837"/>
      <c r="H168" s="1334" t="s">
        <v>11</v>
      </c>
      <c r="I168" s="1335"/>
      <c r="N168" s="834"/>
      <c r="O168" s="834"/>
      <c r="P168" s="460"/>
    </row>
    <row r="169" spans="1:21" s="449" customFormat="1" ht="2.1" customHeight="1">
      <c r="B169" s="452"/>
      <c r="C169" s="834"/>
      <c r="H169" s="834"/>
      <c r="L169" s="472"/>
      <c r="M169" s="472"/>
      <c r="N169" s="472"/>
      <c r="O169" s="472"/>
      <c r="P169" s="457"/>
    </row>
    <row r="170" spans="1:21" ht="12" customHeight="1">
      <c r="A170" s="481" t="s">
        <v>1486</v>
      </c>
      <c r="C170" s="481" t="s">
        <v>3248</v>
      </c>
      <c r="K170" s="481" t="s">
        <v>1111</v>
      </c>
      <c r="L170" s="481" t="s">
        <v>4046</v>
      </c>
    </row>
    <row r="171" spans="1:21" ht="51" customHeight="1">
      <c r="A171" s="1355"/>
      <c r="B171" s="1356"/>
      <c r="C171" s="1356"/>
      <c r="D171" s="1356"/>
      <c r="E171" s="1356"/>
      <c r="F171" s="1356"/>
      <c r="G171" s="1356"/>
      <c r="H171" s="1356"/>
      <c r="I171" s="1356"/>
      <c r="J171" s="1357"/>
      <c r="K171" s="1358"/>
      <c r="L171" s="1359"/>
      <c r="M171" s="1359"/>
      <c r="N171" s="1359"/>
      <c r="O171" s="1359"/>
      <c r="P171" s="1360"/>
      <c r="Q171" s="886" t="s">
        <v>121</v>
      </c>
      <c r="R171" s="886"/>
      <c r="S171" s="886"/>
      <c r="T171" s="886"/>
      <c r="U171" s="886"/>
    </row>
    <row r="172" spans="1:21" ht="12" customHeight="1">
      <c r="Q172" s="886"/>
      <c r="R172" s="886"/>
      <c r="S172" s="886"/>
      <c r="T172" s="886"/>
      <c r="U172" s="886"/>
    </row>
    <row r="179" spans="2:27" ht="12" customHeight="1">
      <c r="J179" s="597"/>
      <c r="K179" s="597"/>
      <c r="L179" s="597"/>
      <c r="M179" s="597"/>
      <c r="N179" s="597"/>
      <c r="O179" s="597"/>
      <c r="P179" s="597"/>
      <c r="Q179" s="597"/>
      <c r="S179" s="597"/>
      <c r="T179" s="597"/>
      <c r="U179" s="597"/>
      <c r="V179" s="597"/>
      <c r="W179" s="597"/>
      <c r="X179" s="597"/>
      <c r="Y179" s="597"/>
      <c r="Z179" s="597"/>
      <c r="AA179" s="597"/>
    </row>
    <row r="180" spans="2:27" ht="23.1" customHeight="1">
      <c r="B180" s="760" t="s">
        <v>1425</v>
      </c>
      <c r="C180" s="760" t="s">
        <v>2380</v>
      </c>
      <c r="D180" s="760" t="s">
        <v>2381</v>
      </c>
      <c r="E180" s="760" t="s">
        <v>2382</v>
      </c>
      <c r="F180" s="760" t="s">
        <v>2411</v>
      </c>
      <c r="G180" s="760" t="s">
        <v>3475</v>
      </c>
      <c r="H180" s="761" t="s">
        <v>2419</v>
      </c>
      <c r="I180" s="680"/>
      <c r="J180" s="609" t="s">
        <v>797</v>
      </c>
      <c r="K180" s="609"/>
      <c r="L180" s="610"/>
      <c r="M180" s="611"/>
      <c r="N180" s="611" t="s">
        <v>3136</v>
      </c>
      <c r="O180" s="612" t="s">
        <v>3137</v>
      </c>
      <c r="P180" s="611" t="s">
        <v>968</v>
      </c>
      <c r="Q180" s="597"/>
      <c r="S180" s="597"/>
      <c r="T180" s="613" t="s">
        <v>3520</v>
      </c>
      <c r="U180" s="612" t="s">
        <v>3137</v>
      </c>
      <c r="V180" s="597"/>
      <c r="W180" s="597"/>
      <c r="X180" s="597"/>
      <c r="Y180" s="597"/>
      <c r="Z180" s="597"/>
      <c r="AA180" s="597"/>
    </row>
    <row r="181" spans="2:27" ht="12" customHeight="1">
      <c r="B181" s="762" t="s">
        <v>2713</v>
      </c>
      <c r="C181" s="762" t="s">
        <v>2383</v>
      </c>
      <c r="D181" s="762" t="s">
        <v>2384</v>
      </c>
      <c r="E181" s="763" t="s">
        <v>2385</v>
      </c>
      <c r="F181" s="763" t="s">
        <v>439</v>
      </c>
      <c r="G181" s="764" t="s">
        <v>2420</v>
      </c>
      <c r="H181" s="765" t="s">
        <v>3473</v>
      </c>
      <c r="I181" s="681"/>
      <c r="J181" s="614" t="s">
        <v>1922</v>
      </c>
      <c r="K181" s="615"/>
      <c r="L181" s="610"/>
      <c r="M181" s="611"/>
      <c r="N181" s="616" t="s">
        <v>798</v>
      </c>
      <c r="O181" s="616" t="s">
        <v>1245</v>
      </c>
      <c r="P181" s="498" t="s">
        <v>1892</v>
      </c>
      <c r="Q181" s="597"/>
      <c r="S181" s="597"/>
      <c r="T181" s="616" t="s">
        <v>2293</v>
      </c>
      <c r="U181" s="616" t="s">
        <v>2463</v>
      </c>
      <c r="V181" s="597"/>
      <c r="W181" s="597"/>
      <c r="X181" s="597"/>
      <c r="Y181" s="597"/>
      <c r="Z181" s="597"/>
      <c r="AA181" s="597"/>
    </row>
    <row r="182" spans="2:27" ht="12" customHeight="1">
      <c r="B182" s="762" t="s">
        <v>2714</v>
      </c>
      <c r="C182" s="762" t="s">
        <v>1402</v>
      </c>
      <c r="D182" s="762" t="s">
        <v>2384</v>
      </c>
      <c r="E182" s="763" t="s">
        <v>1403</v>
      </c>
      <c r="F182" s="763" t="s">
        <v>439</v>
      </c>
      <c r="G182" s="764" t="s">
        <v>2421</v>
      </c>
      <c r="H182" s="765" t="s">
        <v>3473</v>
      </c>
      <c r="I182" s="681"/>
      <c r="J182" s="614" t="s">
        <v>1924</v>
      </c>
      <c r="K182" s="615"/>
      <c r="L182" s="610"/>
      <c r="M182" s="611"/>
      <c r="N182" s="616" t="s">
        <v>1923</v>
      </c>
      <c r="O182" s="616" t="s">
        <v>667</v>
      </c>
      <c r="P182" s="498" t="s">
        <v>1893</v>
      </c>
      <c r="Q182" s="597"/>
      <c r="S182" s="597"/>
      <c r="T182" s="616" t="s">
        <v>3317</v>
      </c>
      <c r="U182" s="616" t="s">
        <v>3895</v>
      </c>
      <c r="V182" s="597"/>
      <c r="W182" s="597"/>
      <c r="X182" s="597"/>
      <c r="Y182" s="597"/>
      <c r="Z182" s="597"/>
      <c r="AA182" s="597"/>
    </row>
    <row r="183" spans="2:27" ht="12" customHeight="1">
      <c r="B183" s="762" t="s">
        <v>2715</v>
      </c>
      <c r="C183" s="762" t="s">
        <v>1404</v>
      </c>
      <c r="D183" s="762" t="s">
        <v>2384</v>
      </c>
      <c r="E183" s="763" t="s">
        <v>1405</v>
      </c>
      <c r="F183" s="763" t="s">
        <v>439</v>
      </c>
      <c r="G183" s="764" t="s">
        <v>2422</v>
      </c>
      <c r="H183" s="765" t="s">
        <v>3473</v>
      </c>
      <c r="I183" s="681"/>
      <c r="J183" s="614" t="s">
        <v>3485</v>
      </c>
      <c r="K183" s="615"/>
      <c r="L183" s="610"/>
      <c r="M183" s="611"/>
      <c r="N183" s="616" t="s">
        <v>2634</v>
      </c>
      <c r="O183" s="616" t="s">
        <v>2145</v>
      </c>
      <c r="P183" s="498" t="s">
        <v>1894</v>
      </c>
      <c r="Q183" s="597"/>
      <c r="S183" s="597"/>
      <c r="T183" s="616" t="s">
        <v>2668</v>
      </c>
      <c r="U183" s="616" t="s">
        <v>2459</v>
      </c>
      <c r="V183" s="597"/>
      <c r="W183" s="597"/>
      <c r="X183" s="597"/>
      <c r="Y183" s="597"/>
      <c r="Z183" s="597"/>
      <c r="AA183" s="597"/>
    </row>
    <row r="184" spans="2:27" ht="12" customHeight="1">
      <c r="B184" s="762" t="s">
        <v>2716</v>
      </c>
      <c r="C184" s="762" t="s">
        <v>1406</v>
      </c>
      <c r="D184" s="762" t="s">
        <v>2384</v>
      </c>
      <c r="E184" s="766" t="s">
        <v>1407</v>
      </c>
      <c r="F184" s="766" t="s">
        <v>440</v>
      </c>
      <c r="G184" s="764" t="s">
        <v>2423</v>
      </c>
      <c r="H184" s="765" t="s">
        <v>3474</v>
      </c>
      <c r="I184" s="682"/>
      <c r="J184" s="614" t="s">
        <v>1042</v>
      </c>
      <c r="K184" s="615"/>
      <c r="L184" s="610"/>
      <c r="M184" s="611"/>
      <c r="N184" s="616" t="s">
        <v>3486</v>
      </c>
      <c r="O184" s="616" t="s">
        <v>522</v>
      </c>
      <c r="P184" s="498" t="s">
        <v>1895</v>
      </c>
      <c r="Q184" s="597"/>
      <c r="S184" s="597"/>
      <c r="T184" s="616" t="s">
        <v>1883</v>
      </c>
      <c r="U184" s="616" t="s">
        <v>521</v>
      </c>
      <c r="V184" s="597"/>
      <c r="W184" s="597"/>
      <c r="X184" s="597"/>
      <c r="Y184" s="597"/>
      <c r="Z184" s="597"/>
      <c r="AA184" s="597"/>
    </row>
    <row r="185" spans="2:27" ht="12" customHeight="1">
      <c r="B185" s="762" t="s">
        <v>2717</v>
      </c>
      <c r="C185" s="762" t="s">
        <v>1408</v>
      </c>
      <c r="D185" s="762" t="s">
        <v>2166</v>
      </c>
      <c r="E185" s="766" t="s">
        <v>3891</v>
      </c>
      <c r="F185" s="766" t="s">
        <v>439</v>
      </c>
      <c r="G185" s="764" t="s">
        <v>2424</v>
      </c>
      <c r="H185" s="765" t="s">
        <v>3473</v>
      </c>
      <c r="I185" s="682"/>
      <c r="J185" s="614" t="s">
        <v>1044</v>
      </c>
      <c r="K185" s="615"/>
      <c r="L185" s="610"/>
      <c r="M185" s="611"/>
      <c r="N185" s="616" t="s">
        <v>1043</v>
      </c>
      <c r="O185" s="616" t="s">
        <v>3755</v>
      </c>
      <c r="P185" s="498" t="s">
        <v>1896</v>
      </c>
      <c r="Q185" s="597"/>
      <c r="S185" s="597"/>
      <c r="T185" s="616" t="s">
        <v>1446</v>
      </c>
      <c r="U185" s="616" t="s">
        <v>3983</v>
      </c>
      <c r="V185" s="597"/>
      <c r="W185" s="597"/>
      <c r="X185" s="597"/>
      <c r="Y185" s="597"/>
      <c r="Z185" s="597"/>
      <c r="AA185" s="597"/>
    </row>
    <row r="186" spans="2:27" ht="12" customHeight="1">
      <c r="B186" s="762" t="s">
        <v>2718</v>
      </c>
      <c r="C186" s="762" t="s">
        <v>2141</v>
      </c>
      <c r="D186" s="762" t="s">
        <v>2142</v>
      </c>
      <c r="E186" s="763" t="s">
        <v>2143</v>
      </c>
      <c r="F186" s="763" t="s">
        <v>439</v>
      </c>
      <c r="G186" s="764" t="s">
        <v>1460</v>
      </c>
      <c r="H186" s="765" t="s">
        <v>3473</v>
      </c>
      <c r="I186" s="681"/>
      <c r="J186" s="614" t="s">
        <v>1046</v>
      </c>
      <c r="K186" s="615"/>
      <c r="L186" s="610"/>
      <c r="M186" s="611"/>
      <c r="N186" s="616" t="s">
        <v>1045</v>
      </c>
      <c r="O186" s="616" t="s">
        <v>3820</v>
      </c>
      <c r="P186" s="498" t="s">
        <v>1897</v>
      </c>
      <c r="Q186" s="597"/>
      <c r="S186" s="597"/>
      <c r="T186" s="616" t="s">
        <v>1095</v>
      </c>
      <c r="U186" s="616" t="s">
        <v>3979</v>
      </c>
      <c r="V186" s="597"/>
      <c r="W186" s="597"/>
      <c r="X186" s="597"/>
      <c r="Y186" s="597"/>
      <c r="Z186" s="597"/>
      <c r="AA186" s="597"/>
    </row>
    <row r="187" spans="2:27" ht="12" customHeight="1">
      <c r="B187" s="762" t="s">
        <v>2719</v>
      </c>
      <c r="C187" s="762" t="s">
        <v>2144</v>
      </c>
      <c r="D187" s="762" t="s">
        <v>2166</v>
      </c>
      <c r="E187" s="766" t="s">
        <v>2941</v>
      </c>
      <c r="F187" s="766" t="s">
        <v>440</v>
      </c>
      <c r="G187" s="764" t="s">
        <v>408</v>
      </c>
      <c r="H187" s="765" t="s">
        <v>3474</v>
      </c>
      <c r="I187" s="682"/>
      <c r="J187" s="614" t="s">
        <v>1048</v>
      </c>
      <c r="K187" s="615"/>
      <c r="L187" s="610"/>
      <c r="M187" s="611"/>
      <c r="N187" s="616" t="s">
        <v>1047</v>
      </c>
      <c r="O187" s="616" t="s">
        <v>3985</v>
      </c>
      <c r="P187" s="498" t="s">
        <v>1898</v>
      </c>
      <c r="Q187" s="597"/>
      <c r="S187" s="597"/>
      <c r="T187" s="616" t="s">
        <v>3580</v>
      </c>
      <c r="U187" s="616" t="s">
        <v>3983</v>
      </c>
      <c r="V187" s="597"/>
      <c r="W187" s="597"/>
      <c r="X187" s="597"/>
      <c r="Y187" s="597"/>
      <c r="Z187" s="597"/>
      <c r="AA187" s="597"/>
    </row>
    <row r="188" spans="2:27" ht="12" customHeight="1">
      <c r="B188" s="762" t="s">
        <v>2720</v>
      </c>
      <c r="C188" s="762" t="s">
        <v>2145</v>
      </c>
      <c r="D188" s="762" t="s">
        <v>2142</v>
      </c>
      <c r="E188" s="766" t="s">
        <v>2941</v>
      </c>
      <c r="F188" s="766" t="s">
        <v>440</v>
      </c>
      <c r="G188" s="764" t="s">
        <v>408</v>
      </c>
      <c r="H188" s="765" t="s">
        <v>3474</v>
      </c>
      <c r="I188" s="682"/>
      <c r="J188" s="614" t="s">
        <v>1050</v>
      </c>
      <c r="K188" s="615"/>
      <c r="L188" s="610"/>
      <c r="M188" s="611"/>
      <c r="N188" s="616" t="s">
        <v>1049</v>
      </c>
      <c r="O188" s="616" t="s">
        <v>2148</v>
      </c>
      <c r="P188" s="498" t="s">
        <v>1899</v>
      </c>
      <c r="Q188" s="1361"/>
      <c r="S188" s="597"/>
      <c r="T188" s="597"/>
      <c r="U188" s="597"/>
      <c r="V188" s="597"/>
      <c r="W188" s="597"/>
      <c r="X188" s="597"/>
      <c r="Y188" s="597"/>
      <c r="Z188" s="597"/>
      <c r="AA188" s="597"/>
    </row>
    <row r="189" spans="2:27" ht="12" customHeight="1">
      <c r="B189" s="762" t="s">
        <v>2721</v>
      </c>
      <c r="C189" s="762" t="s">
        <v>2146</v>
      </c>
      <c r="D189" s="762" t="s">
        <v>2384</v>
      </c>
      <c r="E189" s="763" t="s">
        <v>2147</v>
      </c>
      <c r="F189" s="763" t="s">
        <v>439</v>
      </c>
      <c r="G189" s="764" t="s">
        <v>409</v>
      </c>
      <c r="H189" s="765" t="s">
        <v>3473</v>
      </c>
      <c r="I189" s="681"/>
      <c r="J189" s="614" t="s">
        <v>1257</v>
      </c>
      <c r="K189" s="617"/>
      <c r="L189" s="610"/>
      <c r="M189" s="611"/>
      <c r="N189" s="616" t="s">
        <v>1407</v>
      </c>
      <c r="O189" s="616" t="s">
        <v>2645</v>
      </c>
      <c r="P189" s="498" t="s">
        <v>1900</v>
      </c>
      <c r="Q189" s="1361"/>
      <c r="S189" s="597"/>
      <c r="T189" s="597"/>
      <c r="U189" s="597"/>
      <c r="V189" s="597"/>
      <c r="W189" s="597"/>
      <c r="X189" s="597"/>
      <c r="Y189" s="597"/>
      <c r="Z189" s="597"/>
      <c r="AA189" s="597"/>
    </row>
    <row r="190" spans="2:27" ht="12" customHeight="1">
      <c r="B190" s="762" t="s">
        <v>2722</v>
      </c>
      <c r="C190" s="762" t="s">
        <v>2148</v>
      </c>
      <c r="D190" s="762" t="s">
        <v>2384</v>
      </c>
      <c r="E190" s="763" t="s">
        <v>2149</v>
      </c>
      <c r="F190" s="763" t="s">
        <v>439</v>
      </c>
      <c r="G190" s="764" t="s">
        <v>410</v>
      </c>
      <c r="H190" s="765" t="s">
        <v>3473</v>
      </c>
      <c r="I190" s="681"/>
      <c r="J190" s="614" t="s">
        <v>3816</v>
      </c>
      <c r="K190" s="617"/>
      <c r="L190" s="498"/>
      <c r="M190" s="611"/>
      <c r="N190" s="616" t="s">
        <v>1258</v>
      </c>
      <c r="O190" s="616" t="s">
        <v>3531</v>
      </c>
      <c r="P190" s="498" t="s">
        <v>1733</v>
      </c>
      <c r="Q190" s="1361"/>
      <c r="S190" s="597"/>
      <c r="T190" s="597"/>
      <c r="U190" s="597"/>
      <c r="V190" s="597"/>
      <c r="W190" s="597"/>
      <c r="X190" s="597"/>
      <c r="Y190" s="597"/>
      <c r="Z190" s="597"/>
      <c r="AA190" s="597"/>
    </row>
    <row r="191" spans="2:27" ht="12" customHeight="1">
      <c r="B191" s="762" t="s">
        <v>2723</v>
      </c>
      <c r="C191" s="762" t="s">
        <v>2150</v>
      </c>
      <c r="D191" s="762" t="s">
        <v>2166</v>
      </c>
      <c r="E191" s="766" t="s">
        <v>2151</v>
      </c>
      <c r="F191" s="766" t="s">
        <v>440</v>
      </c>
      <c r="G191" s="764" t="s">
        <v>411</v>
      </c>
      <c r="H191" s="765" t="s">
        <v>3474</v>
      </c>
      <c r="I191" s="682"/>
      <c r="J191" s="614" t="s">
        <v>3818</v>
      </c>
      <c r="K191" s="617"/>
      <c r="L191" s="610"/>
      <c r="M191" s="611"/>
      <c r="N191" s="616" t="s">
        <v>3817</v>
      </c>
      <c r="O191" s="616" t="s">
        <v>2059</v>
      </c>
      <c r="P191" s="498" t="s">
        <v>1734</v>
      </c>
      <c r="Q191" s="1361"/>
      <c r="S191" s="597"/>
      <c r="T191" s="597"/>
      <c r="U191" s="597"/>
      <c r="V191" s="597"/>
      <c r="W191" s="597"/>
      <c r="X191" s="597"/>
      <c r="Y191" s="597"/>
      <c r="Z191" s="597"/>
      <c r="AA191" s="597"/>
    </row>
    <row r="192" spans="2:27" ht="12" customHeight="1">
      <c r="B192" s="762" t="s">
        <v>2724</v>
      </c>
      <c r="C192" s="762" t="s">
        <v>2152</v>
      </c>
      <c r="D192" s="762" t="s">
        <v>2384</v>
      </c>
      <c r="E192" s="766" t="s">
        <v>2153</v>
      </c>
      <c r="F192" s="766" t="s">
        <v>439</v>
      </c>
      <c r="G192" s="764" t="s">
        <v>412</v>
      </c>
      <c r="H192" s="765" t="s">
        <v>3473</v>
      </c>
      <c r="I192" s="682"/>
      <c r="J192" s="614" t="s">
        <v>3383</v>
      </c>
      <c r="K192" s="615"/>
      <c r="L192" s="610"/>
      <c r="M192" s="611"/>
      <c r="N192" s="616" t="s">
        <v>3819</v>
      </c>
      <c r="O192" s="616" t="s">
        <v>679</v>
      </c>
      <c r="P192" s="498" t="s">
        <v>1735</v>
      </c>
      <c r="Q192" s="1361"/>
      <c r="S192" s="597"/>
      <c r="T192" s="597"/>
      <c r="U192" s="597"/>
      <c r="V192" s="597"/>
      <c r="W192" s="597"/>
      <c r="X192" s="597"/>
      <c r="Y192" s="597"/>
      <c r="Z192" s="597"/>
      <c r="AA192" s="597"/>
    </row>
    <row r="193" spans="2:27" ht="12" customHeight="1">
      <c r="B193" s="762" t="s">
        <v>2725</v>
      </c>
      <c r="C193" s="762" t="s">
        <v>2154</v>
      </c>
      <c r="D193" s="762" t="s">
        <v>2384</v>
      </c>
      <c r="E193" s="763" t="s">
        <v>3965</v>
      </c>
      <c r="F193" s="763" t="s">
        <v>440</v>
      </c>
      <c r="G193" s="764" t="s">
        <v>413</v>
      </c>
      <c r="H193" s="765" t="s">
        <v>3474</v>
      </c>
      <c r="I193" s="681"/>
      <c r="J193" s="614" t="s">
        <v>3457</v>
      </c>
      <c r="K193" s="615"/>
      <c r="L193" s="610"/>
      <c r="M193" s="611"/>
      <c r="N193" s="616" t="s">
        <v>3384</v>
      </c>
      <c r="O193" s="616" t="s">
        <v>1404</v>
      </c>
      <c r="P193" s="498" t="s">
        <v>1736</v>
      </c>
      <c r="Q193" s="1361"/>
      <c r="S193" s="597"/>
      <c r="T193" s="597"/>
      <c r="U193" s="597"/>
      <c r="V193" s="597"/>
      <c r="W193" s="597"/>
      <c r="X193" s="597"/>
      <c r="Y193" s="597"/>
      <c r="Z193" s="597"/>
      <c r="AA193" s="597"/>
    </row>
    <row r="194" spans="2:27" ht="12" customHeight="1">
      <c r="B194" s="762" t="s">
        <v>2726</v>
      </c>
      <c r="C194" s="762" t="s">
        <v>2155</v>
      </c>
      <c r="D194" s="762" t="s">
        <v>2384</v>
      </c>
      <c r="E194" s="763" t="s">
        <v>1582</v>
      </c>
      <c r="F194" s="763" t="s">
        <v>440</v>
      </c>
      <c r="G194" s="764" t="s">
        <v>414</v>
      </c>
      <c r="H194" s="765" t="s">
        <v>3474</v>
      </c>
      <c r="I194" s="681"/>
      <c r="J194" s="614" t="s">
        <v>3462</v>
      </c>
      <c r="K194" s="615"/>
      <c r="L194" s="610"/>
      <c r="M194" s="611"/>
      <c r="N194" s="616" t="s">
        <v>3458</v>
      </c>
      <c r="O194" s="616" t="s">
        <v>2379</v>
      </c>
      <c r="P194" s="498" t="s">
        <v>1737</v>
      </c>
      <c r="Q194" s="1361"/>
      <c r="S194" s="597"/>
      <c r="T194" s="597"/>
      <c r="U194" s="597"/>
      <c r="V194" s="597"/>
      <c r="W194" s="597"/>
      <c r="X194" s="597"/>
      <c r="Y194" s="597"/>
      <c r="Z194" s="597"/>
      <c r="AA194" s="597"/>
    </row>
    <row r="195" spans="2:27" ht="12" customHeight="1">
      <c r="B195" s="762" t="s">
        <v>2727</v>
      </c>
      <c r="C195" s="762" t="s">
        <v>2156</v>
      </c>
      <c r="D195" s="762" t="s">
        <v>2384</v>
      </c>
      <c r="E195" s="766" t="s">
        <v>2157</v>
      </c>
      <c r="F195" s="766" t="s">
        <v>440</v>
      </c>
      <c r="G195" s="764" t="s">
        <v>2066</v>
      </c>
      <c r="H195" s="765" t="s">
        <v>3474</v>
      </c>
      <c r="I195" s="682"/>
      <c r="J195" s="614" t="s">
        <v>3464</v>
      </c>
      <c r="K195" s="615"/>
      <c r="L195" s="610"/>
      <c r="M195" s="611"/>
      <c r="N195" s="616" t="s">
        <v>3463</v>
      </c>
      <c r="O195" s="616" t="s">
        <v>3820</v>
      </c>
      <c r="P195" s="498" t="s">
        <v>1738</v>
      </c>
      <c r="Q195" s="1361"/>
      <c r="S195" s="597"/>
      <c r="T195" s="597"/>
      <c r="U195" s="597"/>
      <c r="V195" s="597"/>
      <c r="W195" s="597"/>
      <c r="X195" s="597"/>
      <c r="Y195" s="597"/>
      <c r="Z195" s="597"/>
      <c r="AA195" s="597"/>
    </row>
    <row r="196" spans="2:27" ht="12" customHeight="1">
      <c r="B196" s="762" t="s">
        <v>2728</v>
      </c>
      <c r="C196" s="762" t="s">
        <v>2158</v>
      </c>
      <c r="D196" s="762" t="s">
        <v>2384</v>
      </c>
      <c r="E196" s="766" t="s">
        <v>2159</v>
      </c>
      <c r="F196" s="766" t="s">
        <v>439</v>
      </c>
      <c r="G196" s="764" t="s">
        <v>499</v>
      </c>
      <c r="H196" s="765" t="s">
        <v>3473</v>
      </c>
      <c r="I196" s="682"/>
      <c r="J196" s="614" t="s">
        <v>802</v>
      </c>
      <c r="K196" s="615"/>
      <c r="L196" s="610"/>
      <c r="M196" s="611"/>
      <c r="N196" s="616" t="s">
        <v>3465</v>
      </c>
      <c r="O196" s="616" t="s">
        <v>3995</v>
      </c>
      <c r="P196" s="498" t="s">
        <v>1903</v>
      </c>
      <c r="Q196" s="1361"/>
      <c r="S196" s="597"/>
      <c r="T196" s="597"/>
      <c r="U196" s="597"/>
      <c r="V196" s="597"/>
      <c r="W196" s="597"/>
      <c r="X196" s="597"/>
      <c r="Y196" s="597"/>
      <c r="Z196" s="597"/>
      <c r="AA196" s="597"/>
    </row>
    <row r="197" spans="2:27" ht="12" customHeight="1">
      <c r="B197" s="762" t="s">
        <v>2729</v>
      </c>
      <c r="C197" s="762" t="s">
        <v>2160</v>
      </c>
      <c r="D197" s="762" t="s">
        <v>2166</v>
      </c>
      <c r="E197" s="766" t="s">
        <v>2942</v>
      </c>
      <c r="F197" s="766" t="s">
        <v>440</v>
      </c>
      <c r="G197" s="764" t="s">
        <v>500</v>
      </c>
      <c r="H197" s="765" t="s">
        <v>3474</v>
      </c>
      <c r="I197" s="682"/>
      <c r="J197" s="614" t="s">
        <v>804</v>
      </c>
      <c r="K197" s="615"/>
      <c r="L197" s="610"/>
      <c r="M197" s="611"/>
      <c r="N197" s="616" t="s">
        <v>803</v>
      </c>
      <c r="O197" s="616" t="s">
        <v>668</v>
      </c>
      <c r="P197" s="498" t="s">
        <v>1904</v>
      </c>
      <c r="Q197" s="1361"/>
      <c r="S197" s="597"/>
      <c r="T197" s="597"/>
      <c r="U197" s="597"/>
      <c r="V197" s="597"/>
      <c r="W197" s="597"/>
      <c r="X197" s="597"/>
      <c r="Y197" s="597"/>
      <c r="Z197" s="597"/>
      <c r="AA197" s="597"/>
    </row>
    <row r="198" spans="2:27" ht="12" customHeight="1">
      <c r="B198" s="762" t="s">
        <v>2730</v>
      </c>
      <c r="C198" s="762" t="s">
        <v>2162</v>
      </c>
      <c r="D198" s="762" t="s">
        <v>2166</v>
      </c>
      <c r="E198" s="766" t="s">
        <v>2524</v>
      </c>
      <c r="F198" s="766" t="s">
        <v>440</v>
      </c>
      <c r="G198" s="764" t="s">
        <v>2225</v>
      </c>
      <c r="H198" s="765" t="s">
        <v>3474</v>
      </c>
      <c r="I198" s="682"/>
      <c r="J198" s="614" t="s">
        <v>3666</v>
      </c>
      <c r="K198" s="615"/>
      <c r="L198" s="610"/>
      <c r="M198" s="611"/>
      <c r="N198" s="616" t="s">
        <v>1373</v>
      </c>
      <c r="O198" s="616" t="s">
        <v>1018</v>
      </c>
      <c r="P198" s="498" t="s">
        <v>1905</v>
      </c>
      <c r="Q198" s="1361"/>
      <c r="S198" s="597"/>
      <c r="T198" s="597"/>
      <c r="U198" s="597"/>
      <c r="V198" s="597"/>
      <c r="W198" s="597"/>
      <c r="X198" s="597"/>
      <c r="Y198" s="597"/>
      <c r="Z198" s="597"/>
      <c r="AA198" s="597"/>
    </row>
    <row r="199" spans="2:27" ht="12" customHeight="1">
      <c r="B199" s="762" t="s">
        <v>2731</v>
      </c>
      <c r="C199" s="762" t="s">
        <v>2163</v>
      </c>
      <c r="D199" s="762" t="s">
        <v>2384</v>
      </c>
      <c r="E199" s="763" t="s">
        <v>2164</v>
      </c>
      <c r="F199" s="763" t="s">
        <v>439</v>
      </c>
      <c r="G199" s="764" t="s">
        <v>2226</v>
      </c>
      <c r="H199" s="765" t="s">
        <v>3473</v>
      </c>
      <c r="I199" s="681"/>
      <c r="J199" s="614" t="s">
        <v>3668</v>
      </c>
      <c r="K199" s="615"/>
      <c r="L199" s="610"/>
      <c r="M199" s="611"/>
      <c r="N199" s="616" t="s">
        <v>3667</v>
      </c>
      <c r="O199" s="616" t="s">
        <v>1018</v>
      </c>
      <c r="P199" s="498" t="s">
        <v>1906</v>
      </c>
      <c r="Q199" s="1361"/>
      <c r="S199" s="597"/>
      <c r="T199" s="597"/>
      <c r="U199" s="597"/>
      <c r="V199" s="597"/>
      <c r="W199" s="597"/>
      <c r="X199" s="597"/>
      <c r="Y199" s="597"/>
      <c r="Z199" s="597"/>
      <c r="AA199" s="597"/>
    </row>
    <row r="200" spans="2:27" ht="12" customHeight="1">
      <c r="B200" s="762" t="s">
        <v>2732</v>
      </c>
      <c r="C200" s="762" t="s">
        <v>2165</v>
      </c>
      <c r="D200" s="762" t="s">
        <v>2384</v>
      </c>
      <c r="E200" s="766" t="s">
        <v>2822</v>
      </c>
      <c r="F200" s="766" t="s">
        <v>439</v>
      </c>
      <c r="G200" s="764" t="s">
        <v>2227</v>
      </c>
      <c r="H200" s="765" t="s">
        <v>3473</v>
      </c>
      <c r="I200" s="682"/>
      <c r="J200" s="614" t="s">
        <v>549</v>
      </c>
      <c r="K200" s="615"/>
      <c r="L200" s="610"/>
      <c r="M200" s="611"/>
      <c r="N200" s="616" t="s">
        <v>550</v>
      </c>
      <c r="O200" s="616" t="s">
        <v>526</v>
      </c>
      <c r="P200" s="498" t="s">
        <v>1907</v>
      </c>
      <c r="Q200" s="1361"/>
      <c r="S200" s="597"/>
      <c r="T200" s="597"/>
      <c r="U200" s="597"/>
      <c r="V200" s="597"/>
      <c r="W200" s="597"/>
      <c r="X200" s="597"/>
      <c r="Y200" s="597"/>
      <c r="Z200" s="597"/>
      <c r="AA200" s="597"/>
    </row>
    <row r="201" spans="2:27" ht="12" customHeight="1">
      <c r="B201" s="762" t="s">
        <v>2733</v>
      </c>
      <c r="C201" s="762" t="s">
        <v>2823</v>
      </c>
      <c r="D201" s="762" t="s">
        <v>2384</v>
      </c>
      <c r="E201" s="763" t="s">
        <v>2824</v>
      </c>
      <c r="F201" s="763" t="s">
        <v>439</v>
      </c>
      <c r="G201" s="764" t="s">
        <v>1467</v>
      </c>
      <c r="H201" s="765" t="s">
        <v>3473</v>
      </c>
      <c r="I201" s="681"/>
      <c r="J201" s="614" t="s">
        <v>551</v>
      </c>
      <c r="K201" s="615"/>
      <c r="L201" s="610"/>
      <c r="M201" s="611"/>
      <c r="N201" s="616" t="s">
        <v>552</v>
      </c>
      <c r="O201" s="616" t="s">
        <v>2453</v>
      </c>
      <c r="P201" s="498" t="s">
        <v>1744</v>
      </c>
      <c r="Q201" s="1361"/>
      <c r="S201" s="597"/>
      <c r="T201" s="597"/>
      <c r="U201" s="597"/>
      <c r="V201" s="597"/>
      <c r="W201" s="597"/>
      <c r="X201" s="597"/>
      <c r="Y201" s="597"/>
      <c r="Z201" s="597"/>
      <c r="AA201" s="597"/>
    </row>
    <row r="202" spans="2:27" ht="12" customHeight="1">
      <c r="B202" s="762" t="s">
        <v>2734</v>
      </c>
      <c r="C202" s="762" t="s">
        <v>2825</v>
      </c>
      <c r="D202" s="762" t="s">
        <v>2166</v>
      </c>
      <c r="E202" s="766" t="s">
        <v>2941</v>
      </c>
      <c r="F202" s="766" t="s">
        <v>440</v>
      </c>
      <c r="G202" s="764" t="s">
        <v>408</v>
      </c>
      <c r="H202" s="765" t="s">
        <v>3474</v>
      </c>
      <c r="I202" s="682"/>
      <c r="J202" s="614" t="s">
        <v>553</v>
      </c>
      <c r="K202" s="615"/>
      <c r="L202" s="610"/>
      <c r="M202" s="611"/>
      <c r="N202" s="616" t="s">
        <v>554</v>
      </c>
      <c r="O202" s="616" t="s">
        <v>3746</v>
      </c>
      <c r="P202" s="498" t="s">
        <v>1745</v>
      </c>
      <c r="Q202" s="1361"/>
      <c r="S202" s="597"/>
      <c r="T202" s="597"/>
      <c r="U202" s="597"/>
      <c r="V202" s="597"/>
      <c r="W202" s="597"/>
      <c r="X202" s="597"/>
      <c r="Y202" s="597"/>
      <c r="Z202" s="597"/>
      <c r="AA202" s="597"/>
    </row>
    <row r="203" spans="2:27" ht="12" customHeight="1">
      <c r="B203" s="762" t="s">
        <v>2735</v>
      </c>
      <c r="C203" s="762" t="s">
        <v>1920</v>
      </c>
      <c r="D203" s="762" t="s">
        <v>2142</v>
      </c>
      <c r="E203" s="766" t="s">
        <v>1921</v>
      </c>
      <c r="F203" s="766" t="s">
        <v>440</v>
      </c>
      <c r="G203" s="764" t="s">
        <v>1569</v>
      </c>
      <c r="H203" s="765" t="s">
        <v>3474</v>
      </c>
      <c r="I203" s="682"/>
      <c r="J203" s="614" t="s">
        <v>555</v>
      </c>
      <c r="K203" s="615"/>
      <c r="L203" s="610"/>
      <c r="M203" s="611"/>
      <c r="N203" s="616" t="s">
        <v>556</v>
      </c>
      <c r="O203" s="616" t="s">
        <v>791</v>
      </c>
      <c r="P203" s="498" t="s">
        <v>1746</v>
      </c>
      <c r="Q203" s="1361"/>
      <c r="S203" s="597"/>
      <c r="T203" s="597"/>
      <c r="U203" s="597"/>
      <c r="V203" s="597"/>
      <c r="W203" s="597"/>
      <c r="X203" s="597"/>
      <c r="Y203" s="597"/>
      <c r="Z203" s="597"/>
      <c r="AA203" s="597"/>
    </row>
    <row r="204" spans="2:27" ht="12" customHeight="1">
      <c r="B204" s="762" t="s">
        <v>2736</v>
      </c>
      <c r="C204" s="762" t="s">
        <v>3892</v>
      </c>
      <c r="D204" s="762" t="s">
        <v>2384</v>
      </c>
      <c r="E204" s="763" t="s">
        <v>3893</v>
      </c>
      <c r="F204" s="763" t="s">
        <v>439</v>
      </c>
      <c r="G204" s="764" t="s">
        <v>1570</v>
      </c>
      <c r="H204" s="765" t="s">
        <v>3473</v>
      </c>
      <c r="I204" s="681"/>
      <c r="J204" s="614" t="s">
        <v>557</v>
      </c>
      <c r="K204" s="615"/>
      <c r="L204" s="610"/>
      <c r="M204" s="611"/>
      <c r="N204" s="616" t="s">
        <v>558</v>
      </c>
      <c r="O204" s="616" t="s">
        <v>2163</v>
      </c>
      <c r="P204" s="498" t="s">
        <v>1909</v>
      </c>
      <c r="Q204" s="1361"/>
      <c r="S204" s="597"/>
      <c r="T204" s="597"/>
      <c r="U204" s="597"/>
      <c r="V204" s="597"/>
      <c r="W204" s="597"/>
      <c r="X204" s="597"/>
      <c r="Y204" s="597"/>
      <c r="Z204" s="597"/>
      <c r="AA204" s="597"/>
    </row>
    <row r="205" spans="2:27" ht="12" customHeight="1">
      <c r="B205" s="762" t="s">
        <v>2737</v>
      </c>
      <c r="C205" s="762" t="s">
        <v>3894</v>
      </c>
      <c r="D205" s="762" t="s">
        <v>2384</v>
      </c>
      <c r="E205" s="766" t="s">
        <v>2157</v>
      </c>
      <c r="F205" s="766" t="s">
        <v>440</v>
      </c>
      <c r="G205" s="764" t="s">
        <v>2066</v>
      </c>
      <c r="H205" s="765" t="s">
        <v>3474</v>
      </c>
      <c r="I205" s="682"/>
      <c r="J205" s="614" t="s">
        <v>559</v>
      </c>
      <c r="K205" s="615"/>
      <c r="L205" s="610"/>
      <c r="M205" s="611"/>
      <c r="N205" s="616" t="s">
        <v>561</v>
      </c>
      <c r="O205" s="616" t="s">
        <v>492</v>
      </c>
      <c r="P205" s="498" t="s">
        <v>1910</v>
      </c>
      <c r="Q205" s="1361"/>
      <c r="S205" s="597"/>
      <c r="T205" s="597"/>
      <c r="U205" s="597"/>
      <c r="V205" s="597"/>
      <c r="W205" s="597"/>
      <c r="X205" s="597"/>
      <c r="Y205" s="597"/>
      <c r="Z205" s="597"/>
      <c r="AA205" s="597"/>
    </row>
    <row r="206" spans="2:27" ht="12" customHeight="1">
      <c r="B206" s="762" t="s">
        <v>2173</v>
      </c>
      <c r="C206" s="762" t="s">
        <v>3895</v>
      </c>
      <c r="D206" s="762" t="s">
        <v>2166</v>
      </c>
      <c r="E206" s="766" t="s">
        <v>3896</v>
      </c>
      <c r="F206" s="766" t="s">
        <v>440</v>
      </c>
      <c r="G206" s="764" t="s">
        <v>1571</v>
      </c>
      <c r="H206" s="765" t="s">
        <v>3474</v>
      </c>
      <c r="I206" s="682"/>
      <c r="J206" s="614" t="s">
        <v>560</v>
      </c>
      <c r="K206" s="615"/>
      <c r="L206" s="610"/>
      <c r="M206" s="611"/>
      <c r="N206" s="616" t="s">
        <v>563</v>
      </c>
      <c r="O206" s="616" t="s">
        <v>1207</v>
      </c>
      <c r="P206" s="498" t="s">
        <v>1911</v>
      </c>
      <c r="Q206" s="1361"/>
      <c r="S206" s="597"/>
      <c r="T206" s="597"/>
      <c r="U206" s="597"/>
      <c r="V206" s="597"/>
      <c r="W206" s="597"/>
      <c r="X206" s="597"/>
      <c r="Y206" s="597"/>
      <c r="Z206" s="597"/>
      <c r="AA206" s="597"/>
    </row>
    <row r="207" spans="2:27" ht="12" customHeight="1">
      <c r="B207" s="762" t="s">
        <v>2174</v>
      </c>
      <c r="C207" s="762" t="s">
        <v>3897</v>
      </c>
      <c r="D207" s="762" t="s">
        <v>2142</v>
      </c>
      <c r="E207" s="763" t="s">
        <v>3898</v>
      </c>
      <c r="F207" s="763" t="s">
        <v>439</v>
      </c>
      <c r="G207" s="764" t="s">
        <v>1572</v>
      </c>
      <c r="H207" s="765" t="s">
        <v>3473</v>
      </c>
      <c r="I207" s="681"/>
      <c r="J207" s="614" t="s">
        <v>562</v>
      </c>
      <c r="K207" s="615"/>
      <c r="L207" s="610"/>
      <c r="M207" s="611"/>
      <c r="N207" s="616" t="s">
        <v>3901</v>
      </c>
      <c r="O207" s="616" t="s">
        <v>3900</v>
      </c>
      <c r="P207" s="1362" t="s">
        <v>2846</v>
      </c>
      <c r="Q207" s="597"/>
      <c r="S207" s="597"/>
      <c r="T207" s="597"/>
      <c r="U207" s="597"/>
      <c r="V207" s="597"/>
      <c r="W207" s="597"/>
      <c r="X207" s="597"/>
      <c r="Y207" s="597"/>
      <c r="Z207" s="597"/>
      <c r="AA207" s="597"/>
    </row>
    <row r="208" spans="2:27" ht="12" customHeight="1">
      <c r="B208" s="762" t="s">
        <v>2175</v>
      </c>
      <c r="C208" s="762" t="s">
        <v>3899</v>
      </c>
      <c r="D208" s="762" t="s">
        <v>2142</v>
      </c>
      <c r="E208" s="766" t="s">
        <v>2941</v>
      </c>
      <c r="F208" s="766" t="s">
        <v>440</v>
      </c>
      <c r="G208" s="764" t="s">
        <v>408</v>
      </c>
      <c r="H208" s="765" t="s">
        <v>3474</v>
      </c>
      <c r="I208" s="682"/>
      <c r="J208" s="614" t="s">
        <v>3568</v>
      </c>
      <c r="K208" s="615"/>
      <c r="L208" s="610"/>
      <c r="M208" s="611"/>
      <c r="N208" s="616" t="s">
        <v>2378</v>
      </c>
      <c r="O208" s="616" t="s">
        <v>2379</v>
      </c>
      <c r="P208" s="498" t="s">
        <v>1750</v>
      </c>
      <c r="Q208" s="1361"/>
      <c r="S208" s="597"/>
      <c r="T208" s="597"/>
      <c r="U208" s="597"/>
      <c r="V208" s="597"/>
      <c r="W208" s="597"/>
      <c r="X208" s="597"/>
      <c r="Y208" s="597"/>
      <c r="Z208" s="597"/>
      <c r="AA208" s="597"/>
    </row>
    <row r="209" spans="2:27" ht="12" customHeight="1">
      <c r="B209" s="762" t="s">
        <v>2176</v>
      </c>
      <c r="C209" s="762" t="s">
        <v>3900</v>
      </c>
      <c r="D209" s="762" t="s">
        <v>2166</v>
      </c>
      <c r="E209" s="763" t="s">
        <v>1125</v>
      </c>
      <c r="F209" s="763" t="s">
        <v>440</v>
      </c>
      <c r="G209" s="764" t="s">
        <v>3139</v>
      </c>
      <c r="H209" s="765" t="s">
        <v>3474</v>
      </c>
      <c r="I209" s="681"/>
      <c r="J209" s="614" t="s">
        <v>3569</v>
      </c>
      <c r="K209" s="615"/>
      <c r="L209" s="498"/>
      <c r="M209" s="611"/>
      <c r="N209" s="616" t="s">
        <v>2797</v>
      </c>
      <c r="O209" s="616" t="s">
        <v>3833</v>
      </c>
      <c r="P209" s="498" t="s">
        <v>1751</v>
      </c>
      <c r="Q209" s="1361"/>
      <c r="S209" s="597"/>
      <c r="T209" s="597"/>
      <c r="U209" s="597"/>
      <c r="V209" s="597"/>
      <c r="W209" s="597"/>
      <c r="X209" s="597"/>
      <c r="Y209" s="597"/>
      <c r="Z209" s="597"/>
      <c r="AA209" s="597"/>
    </row>
    <row r="210" spans="2:27" ht="12" customHeight="1">
      <c r="B210" s="762" t="s">
        <v>2177</v>
      </c>
      <c r="C210" s="762" t="s">
        <v>788</v>
      </c>
      <c r="D210" s="762" t="s">
        <v>2384</v>
      </c>
      <c r="E210" s="763" t="s">
        <v>789</v>
      </c>
      <c r="F210" s="763" t="s">
        <v>439</v>
      </c>
      <c r="G210" s="764" t="s">
        <v>3140</v>
      </c>
      <c r="H210" s="765" t="s">
        <v>3473</v>
      </c>
      <c r="I210" s="681"/>
      <c r="J210" s="614" t="s">
        <v>2796</v>
      </c>
      <c r="K210" s="617"/>
      <c r="L210" s="610"/>
      <c r="M210" s="611"/>
      <c r="N210" s="616" t="s">
        <v>1033</v>
      </c>
      <c r="O210" s="616" t="s">
        <v>2144</v>
      </c>
      <c r="P210" s="498" t="s">
        <v>1752</v>
      </c>
      <c r="Q210" s="1361"/>
      <c r="S210" s="597"/>
      <c r="T210" s="597"/>
      <c r="U210" s="597"/>
      <c r="V210" s="597"/>
      <c r="W210" s="597"/>
      <c r="X210" s="597"/>
      <c r="Y210" s="597"/>
      <c r="Z210" s="597"/>
      <c r="AA210" s="597"/>
    </row>
    <row r="211" spans="2:27" ht="12" customHeight="1">
      <c r="B211" s="762" t="s">
        <v>2178</v>
      </c>
      <c r="C211" s="762" t="s">
        <v>790</v>
      </c>
      <c r="D211" s="762" t="s">
        <v>2166</v>
      </c>
      <c r="E211" s="766" t="s">
        <v>2941</v>
      </c>
      <c r="F211" s="766" t="s">
        <v>440</v>
      </c>
      <c r="G211" s="764" t="s">
        <v>408</v>
      </c>
      <c r="H211" s="765" t="s">
        <v>3474</v>
      </c>
      <c r="I211" s="682"/>
      <c r="J211" s="614" t="s">
        <v>2798</v>
      </c>
      <c r="K211" s="617"/>
      <c r="L211" s="610"/>
      <c r="M211" s="611"/>
      <c r="N211" s="616" t="s">
        <v>2161</v>
      </c>
      <c r="O211" s="616" t="s">
        <v>2465</v>
      </c>
      <c r="P211" s="1362" t="s">
        <v>2846</v>
      </c>
      <c r="Q211" s="597"/>
      <c r="S211" s="597"/>
      <c r="T211" s="597"/>
      <c r="U211" s="597"/>
      <c r="V211" s="597"/>
      <c r="W211" s="597"/>
      <c r="X211" s="597"/>
      <c r="Y211" s="597"/>
      <c r="Z211" s="597"/>
      <c r="AA211" s="597"/>
    </row>
    <row r="212" spans="2:27" ht="12" customHeight="1">
      <c r="B212" s="762" t="s">
        <v>2179</v>
      </c>
      <c r="C212" s="762" t="s">
        <v>791</v>
      </c>
      <c r="D212" s="762" t="s">
        <v>2384</v>
      </c>
      <c r="E212" s="763" t="s">
        <v>671</v>
      </c>
      <c r="F212" s="763" t="s">
        <v>439</v>
      </c>
      <c r="G212" s="764" t="s">
        <v>3141</v>
      </c>
      <c r="H212" s="765" t="s">
        <v>3473</v>
      </c>
      <c r="I212" s="681"/>
      <c r="J212" s="614" t="s">
        <v>1034</v>
      </c>
      <c r="K212" s="617"/>
      <c r="L212" s="610"/>
      <c r="M212" s="611"/>
      <c r="N212" s="616" t="s">
        <v>1036</v>
      </c>
      <c r="O212" s="616" t="s">
        <v>667</v>
      </c>
      <c r="P212" s="498" t="s">
        <v>1753</v>
      </c>
      <c r="Q212" s="1361"/>
      <c r="S212" s="597"/>
      <c r="T212" s="597"/>
      <c r="U212" s="597"/>
      <c r="V212" s="597"/>
      <c r="W212" s="597"/>
      <c r="X212" s="597"/>
      <c r="Y212" s="597"/>
      <c r="Z212" s="597"/>
      <c r="AA212" s="597"/>
    </row>
    <row r="213" spans="2:27" ht="12" customHeight="1">
      <c r="B213" s="762" t="s">
        <v>2180</v>
      </c>
      <c r="C213" s="762" t="s">
        <v>667</v>
      </c>
      <c r="D213" s="762" t="s">
        <v>2142</v>
      </c>
      <c r="E213" s="766" t="s">
        <v>2941</v>
      </c>
      <c r="F213" s="766" t="s">
        <v>440</v>
      </c>
      <c r="G213" s="764" t="s">
        <v>408</v>
      </c>
      <c r="H213" s="765" t="s">
        <v>3474</v>
      </c>
      <c r="I213" s="682"/>
      <c r="J213" s="614" t="s">
        <v>1035</v>
      </c>
      <c r="K213" s="617"/>
      <c r="L213" s="610"/>
      <c r="M213" s="611"/>
      <c r="N213" s="616" t="s">
        <v>1167</v>
      </c>
      <c r="O213" s="616" t="s">
        <v>1014</v>
      </c>
      <c r="P213" s="498" t="s">
        <v>1754</v>
      </c>
      <c r="Q213" s="1361"/>
      <c r="S213" s="597"/>
      <c r="T213" s="597"/>
      <c r="U213" s="597"/>
      <c r="V213" s="597"/>
      <c r="W213" s="597"/>
      <c r="X213" s="597"/>
      <c r="Y213" s="597"/>
      <c r="Z213" s="597"/>
      <c r="AA213" s="597"/>
    </row>
    <row r="214" spans="2:27" ht="12" customHeight="1">
      <c r="B214" s="762" t="s">
        <v>2181</v>
      </c>
      <c r="C214" s="762" t="s">
        <v>668</v>
      </c>
      <c r="D214" s="762" t="s">
        <v>2384</v>
      </c>
      <c r="E214" s="763" t="s">
        <v>669</v>
      </c>
      <c r="F214" s="763" t="s">
        <v>439</v>
      </c>
      <c r="G214" s="764" t="s">
        <v>3221</v>
      </c>
      <c r="H214" s="765" t="s">
        <v>3473</v>
      </c>
      <c r="I214" s="681"/>
      <c r="J214" s="614" t="s">
        <v>1037</v>
      </c>
      <c r="K214" s="617"/>
      <c r="L214" s="610"/>
      <c r="M214" s="611"/>
      <c r="N214" s="616" t="s">
        <v>1038</v>
      </c>
      <c r="O214" s="616" t="s">
        <v>3751</v>
      </c>
      <c r="P214" s="498" t="s">
        <v>1755</v>
      </c>
      <c r="Q214" s="1361"/>
      <c r="S214" s="597"/>
      <c r="T214" s="597"/>
      <c r="U214" s="597"/>
      <c r="V214" s="597"/>
      <c r="W214" s="597"/>
      <c r="X214" s="597"/>
      <c r="Y214" s="597"/>
      <c r="Z214" s="597"/>
      <c r="AA214" s="597"/>
    </row>
    <row r="215" spans="2:27" ht="12" customHeight="1">
      <c r="B215" s="762" t="s">
        <v>2182</v>
      </c>
      <c r="C215" s="762" t="s">
        <v>670</v>
      </c>
      <c r="D215" s="762" t="s">
        <v>2384</v>
      </c>
      <c r="E215" s="763" t="s">
        <v>520</v>
      </c>
      <c r="F215" s="763" t="s">
        <v>439</v>
      </c>
      <c r="G215" s="764" t="s">
        <v>3222</v>
      </c>
      <c r="H215" s="765" t="s">
        <v>3473</v>
      </c>
      <c r="I215" s="681"/>
      <c r="J215" s="614" t="s">
        <v>1082</v>
      </c>
      <c r="K215" s="617"/>
      <c r="L215" s="610"/>
      <c r="M215" s="611"/>
      <c r="N215" s="616" t="s">
        <v>1083</v>
      </c>
      <c r="O215" s="616" t="s">
        <v>3225</v>
      </c>
      <c r="P215" s="498" t="s">
        <v>1756</v>
      </c>
      <c r="Q215" s="1361"/>
      <c r="S215" s="597"/>
      <c r="T215" s="597"/>
      <c r="U215" s="597"/>
      <c r="V215" s="597"/>
      <c r="W215" s="597"/>
      <c r="X215" s="597"/>
      <c r="Y215" s="597"/>
      <c r="Z215" s="597"/>
      <c r="AA215" s="597"/>
    </row>
    <row r="216" spans="2:27" ht="12" customHeight="1">
      <c r="B216" s="762" t="s">
        <v>2183</v>
      </c>
      <c r="C216" s="762" t="s">
        <v>521</v>
      </c>
      <c r="D216" s="762" t="s">
        <v>2166</v>
      </c>
      <c r="E216" s="766" t="s">
        <v>2942</v>
      </c>
      <c r="F216" s="766" t="s">
        <v>440</v>
      </c>
      <c r="G216" s="764" t="s">
        <v>500</v>
      </c>
      <c r="H216" s="765" t="s">
        <v>3474</v>
      </c>
      <c r="I216" s="682"/>
      <c r="J216" s="614" t="s">
        <v>1213</v>
      </c>
      <c r="K216" s="617"/>
      <c r="L216" s="610"/>
      <c r="M216" s="611"/>
      <c r="N216" s="616" t="s">
        <v>1214</v>
      </c>
      <c r="O216" s="616" t="s">
        <v>1706</v>
      </c>
      <c r="P216" s="498" t="s">
        <v>1757</v>
      </c>
      <c r="Q216" s="1361"/>
      <c r="S216" s="597"/>
      <c r="T216" s="597"/>
      <c r="U216" s="597"/>
      <c r="V216" s="597"/>
      <c r="W216" s="597"/>
      <c r="X216" s="597"/>
      <c r="Y216" s="597"/>
      <c r="Z216" s="597"/>
      <c r="AA216" s="597"/>
    </row>
    <row r="217" spans="2:27" ht="12" customHeight="1">
      <c r="B217" s="762" t="s">
        <v>2184</v>
      </c>
      <c r="C217" s="762" t="s">
        <v>522</v>
      </c>
      <c r="D217" s="762" t="s">
        <v>2384</v>
      </c>
      <c r="E217" s="763" t="s">
        <v>523</v>
      </c>
      <c r="F217" s="763" t="s">
        <v>439</v>
      </c>
      <c r="G217" s="764" t="s">
        <v>3223</v>
      </c>
      <c r="H217" s="765" t="s">
        <v>3473</v>
      </c>
      <c r="I217" s="681"/>
      <c r="J217" s="614" t="s">
        <v>1215</v>
      </c>
      <c r="K217" s="617"/>
      <c r="L217" s="610"/>
      <c r="M217" s="611"/>
      <c r="N217" s="616" t="s">
        <v>1216</v>
      </c>
      <c r="O217" s="616" t="s">
        <v>3833</v>
      </c>
      <c r="P217" s="498" t="s">
        <v>1758</v>
      </c>
      <c r="Q217" s="1361"/>
      <c r="S217" s="597"/>
      <c r="T217" s="597"/>
      <c r="U217" s="597"/>
      <c r="V217" s="597"/>
      <c r="W217" s="597"/>
      <c r="X217" s="597"/>
      <c r="Y217" s="597"/>
      <c r="Z217" s="597"/>
      <c r="AA217" s="597"/>
    </row>
    <row r="218" spans="2:27" ht="12" customHeight="1">
      <c r="B218" s="762" t="s">
        <v>2185</v>
      </c>
      <c r="C218" s="762" t="s">
        <v>524</v>
      </c>
      <c r="D218" s="762" t="s">
        <v>2166</v>
      </c>
      <c r="E218" s="766" t="s">
        <v>2941</v>
      </c>
      <c r="F218" s="766" t="s">
        <v>440</v>
      </c>
      <c r="G218" s="764" t="s">
        <v>408</v>
      </c>
      <c r="H218" s="765" t="s">
        <v>3474</v>
      </c>
      <c r="I218" s="682"/>
      <c r="J218" s="614" t="s">
        <v>1217</v>
      </c>
      <c r="K218" s="617"/>
      <c r="L218" s="610"/>
      <c r="M218" s="611"/>
      <c r="N218" s="616" t="s">
        <v>1408</v>
      </c>
      <c r="O218" s="616" t="s">
        <v>3995</v>
      </c>
      <c r="P218" s="498" t="s">
        <v>1759</v>
      </c>
      <c r="Q218" s="1361"/>
      <c r="S218" s="597"/>
      <c r="T218" s="597"/>
      <c r="U218" s="597"/>
      <c r="V218" s="597"/>
      <c r="W218" s="597"/>
      <c r="X218" s="597"/>
      <c r="Y218" s="597"/>
      <c r="Z218" s="597"/>
      <c r="AA218" s="597"/>
    </row>
    <row r="219" spans="2:27" ht="12" customHeight="1">
      <c r="B219" s="762" t="s">
        <v>2186</v>
      </c>
      <c r="C219" s="762" t="s">
        <v>525</v>
      </c>
      <c r="D219" s="762" t="s">
        <v>2166</v>
      </c>
      <c r="E219" s="766" t="s">
        <v>2151</v>
      </c>
      <c r="F219" s="766" t="s">
        <v>440</v>
      </c>
      <c r="G219" s="764" t="s">
        <v>411</v>
      </c>
      <c r="H219" s="765" t="s">
        <v>3474</v>
      </c>
      <c r="I219" s="682"/>
      <c r="J219" s="614" t="s">
        <v>543</v>
      </c>
      <c r="K219" s="617"/>
      <c r="L219" s="610"/>
      <c r="M219" s="611"/>
      <c r="N219" s="616" t="s">
        <v>544</v>
      </c>
      <c r="O219" s="616" t="s">
        <v>3899</v>
      </c>
      <c r="P219" s="498" t="s">
        <v>1760</v>
      </c>
      <c r="Q219" s="1361"/>
      <c r="S219" s="597"/>
      <c r="T219" s="597"/>
      <c r="U219" s="597"/>
      <c r="V219" s="597"/>
      <c r="W219" s="597"/>
      <c r="X219" s="597"/>
      <c r="Y219" s="597"/>
      <c r="Z219" s="597"/>
      <c r="AA219" s="597"/>
    </row>
    <row r="220" spans="2:27" ht="12" customHeight="1">
      <c r="B220" s="762" t="s">
        <v>2187</v>
      </c>
      <c r="C220" s="762" t="s">
        <v>526</v>
      </c>
      <c r="D220" s="762" t="s">
        <v>2384</v>
      </c>
      <c r="E220" s="763" t="s">
        <v>3830</v>
      </c>
      <c r="F220" s="763" t="s">
        <v>439</v>
      </c>
      <c r="G220" s="764" t="s">
        <v>3145</v>
      </c>
      <c r="H220" s="765" t="s">
        <v>3473</v>
      </c>
      <c r="I220" s="681"/>
      <c r="J220" s="614" t="s">
        <v>2610</v>
      </c>
      <c r="K220" s="617"/>
      <c r="L220" s="610"/>
      <c r="M220" s="611"/>
      <c r="N220" s="616" t="s">
        <v>2611</v>
      </c>
      <c r="O220" s="616" t="s">
        <v>3531</v>
      </c>
      <c r="P220" s="498" t="s">
        <v>1761</v>
      </c>
      <c r="Q220" s="1361"/>
      <c r="S220" s="597"/>
      <c r="T220" s="597"/>
      <c r="U220" s="597"/>
      <c r="V220" s="597"/>
      <c r="W220" s="597"/>
      <c r="X220" s="597"/>
      <c r="Y220" s="597"/>
      <c r="Z220" s="597"/>
      <c r="AA220" s="597"/>
    </row>
    <row r="221" spans="2:27" ht="12" customHeight="1">
      <c r="B221" s="762" t="s">
        <v>2188</v>
      </c>
      <c r="C221" s="762" t="s">
        <v>3831</v>
      </c>
      <c r="D221" s="762" t="s">
        <v>2142</v>
      </c>
      <c r="E221" s="766" t="s">
        <v>1921</v>
      </c>
      <c r="F221" s="766" t="s">
        <v>440</v>
      </c>
      <c r="G221" s="764" t="s">
        <v>1569</v>
      </c>
      <c r="H221" s="765" t="s">
        <v>3474</v>
      </c>
      <c r="I221" s="682"/>
      <c r="J221" s="614" t="s">
        <v>1171</v>
      </c>
      <c r="K221" s="617"/>
      <c r="L221" s="610"/>
      <c r="M221" s="611"/>
      <c r="N221" s="616" t="s">
        <v>2145</v>
      </c>
      <c r="O221" s="616" t="s">
        <v>3751</v>
      </c>
      <c r="P221" s="498" t="s">
        <v>1762</v>
      </c>
      <c r="Q221" s="1361"/>
      <c r="S221" s="597"/>
      <c r="T221" s="597"/>
      <c r="U221" s="597"/>
      <c r="V221" s="597"/>
      <c r="W221" s="597"/>
      <c r="X221" s="597"/>
      <c r="Y221" s="597"/>
      <c r="Z221" s="597"/>
      <c r="AA221" s="597"/>
    </row>
    <row r="222" spans="2:27" ht="12" customHeight="1">
      <c r="B222" s="762" t="s">
        <v>2189</v>
      </c>
      <c r="C222" s="762" t="s">
        <v>3832</v>
      </c>
      <c r="D222" s="762" t="s">
        <v>2142</v>
      </c>
      <c r="E222" s="766" t="s">
        <v>2941</v>
      </c>
      <c r="F222" s="766" t="s">
        <v>440</v>
      </c>
      <c r="G222" s="764" t="s">
        <v>408</v>
      </c>
      <c r="H222" s="765" t="s">
        <v>3474</v>
      </c>
      <c r="I222" s="682"/>
      <c r="J222" s="614" t="s">
        <v>4088</v>
      </c>
      <c r="K222" s="617"/>
      <c r="L222" s="610"/>
      <c r="M222" s="611"/>
      <c r="N222" s="616" t="s">
        <v>4089</v>
      </c>
      <c r="O222" s="616" t="s">
        <v>1542</v>
      </c>
      <c r="P222" s="498" t="s">
        <v>1763</v>
      </c>
      <c r="Q222" s="1361"/>
      <c r="S222" s="597"/>
      <c r="T222" s="597"/>
      <c r="U222" s="597"/>
      <c r="V222" s="597"/>
      <c r="W222" s="597"/>
      <c r="X222" s="597"/>
      <c r="Y222" s="597"/>
      <c r="Z222" s="597"/>
      <c r="AA222" s="597"/>
    </row>
    <row r="223" spans="2:27" ht="12" customHeight="1">
      <c r="B223" s="762" t="s">
        <v>2190</v>
      </c>
      <c r="C223" s="762" t="s">
        <v>3833</v>
      </c>
      <c r="D223" s="762" t="s">
        <v>2384</v>
      </c>
      <c r="E223" s="763" t="s">
        <v>3834</v>
      </c>
      <c r="F223" s="763" t="s">
        <v>439</v>
      </c>
      <c r="G223" s="764" t="s">
        <v>3224</v>
      </c>
      <c r="H223" s="765" t="s">
        <v>3473</v>
      </c>
      <c r="I223" s="681"/>
      <c r="J223" s="614" t="s">
        <v>991</v>
      </c>
      <c r="K223" s="617"/>
      <c r="L223" s="610"/>
      <c r="M223" s="611"/>
      <c r="N223" s="616" t="s">
        <v>992</v>
      </c>
      <c r="O223" s="616" t="s">
        <v>2383</v>
      </c>
      <c r="P223" s="498" t="s">
        <v>1764</v>
      </c>
      <c r="Q223" s="1361"/>
      <c r="S223" s="597"/>
      <c r="T223" s="597"/>
      <c r="U223" s="597"/>
      <c r="V223" s="597"/>
      <c r="W223" s="597"/>
      <c r="X223" s="597"/>
      <c r="Y223" s="597"/>
      <c r="Z223" s="597"/>
      <c r="AA223" s="597"/>
    </row>
    <row r="224" spans="2:27" ht="12" customHeight="1">
      <c r="B224" s="762" t="s">
        <v>2191</v>
      </c>
      <c r="C224" s="762" t="s">
        <v>3835</v>
      </c>
      <c r="D224" s="762" t="s">
        <v>2166</v>
      </c>
      <c r="E224" s="766" t="s">
        <v>2941</v>
      </c>
      <c r="F224" s="766" t="s">
        <v>440</v>
      </c>
      <c r="G224" s="764" t="s">
        <v>408</v>
      </c>
      <c r="H224" s="765" t="s">
        <v>3474</v>
      </c>
      <c r="I224" s="682"/>
      <c r="J224" s="614" t="s">
        <v>993</v>
      </c>
      <c r="K224" s="617"/>
      <c r="L224" s="610"/>
      <c r="M224" s="611"/>
      <c r="N224" s="616" t="s">
        <v>994</v>
      </c>
      <c r="O224" s="616" t="s">
        <v>1000</v>
      </c>
      <c r="P224" s="498" t="s">
        <v>1765</v>
      </c>
      <c r="Q224" s="1361"/>
      <c r="S224" s="597"/>
      <c r="T224" s="597"/>
      <c r="U224" s="597"/>
      <c r="V224" s="597"/>
      <c r="W224" s="597"/>
      <c r="X224" s="597"/>
      <c r="Y224" s="597"/>
      <c r="Z224" s="597"/>
      <c r="AA224" s="597"/>
    </row>
    <row r="225" spans="2:27" ht="12" customHeight="1">
      <c r="B225" s="762" t="s">
        <v>2192</v>
      </c>
      <c r="C225" s="762" t="s">
        <v>3836</v>
      </c>
      <c r="D225" s="762" t="s">
        <v>2384</v>
      </c>
      <c r="E225" s="763" t="s">
        <v>2642</v>
      </c>
      <c r="F225" s="763" t="s">
        <v>439</v>
      </c>
      <c r="G225" s="764" t="s">
        <v>1253</v>
      </c>
      <c r="H225" s="765" t="s">
        <v>3473</v>
      </c>
      <c r="I225" s="681"/>
      <c r="J225" s="614" t="s">
        <v>995</v>
      </c>
      <c r="K225" s="617"/>
      <c r="L225" s="610"/>
      <c r="M225" s="611"/>
      <c r="N225" s="498" t="s">
        <v>665</v>
      </c>
      <c r="O225" s="498" t="s">
        <v>3225</v>
      </c>
      <c r="P225" s="1363" t="s">
        <v>967</v>
      </c>
      <c r="Q225" s="1361"/>
      <c r="R225" s="432"/>
      <c r="S225" s="498"/>
      <c r="T225" s="597"/>
      <c r="U225" s="597"/>
      <c r="V225" s="597"/>
      <c r="W225" s="597"/>
      <c r="X225" s="597"/>
      <c r="Y225" s="597"/>
      <c r="Z225" s="597"/>
      <c r="AA225" s="597"/>
    </row>
    <row r="226" spans="2:27" ht="12" customHeight="1">
      <c r="B226" s="762" t="s">
        <v>2193</v>
      </c>
      <c r="C226" s="762" t="s">
        <v>2643</v>
      </c>
      <c r="D226" s="762" t="s">
        <v>2384</v>
      </c>
      <c r="E226" s="763" t="s">
        <v>2644</v>
      </c>
      <c r="F226" s="763" t="s">
        <v>439</v>
      </c>
      <c r="G226" s="764" t="s">
        <v>1254</v>
      </c>
      <c r="H226" s="765" t="s">
        <v>3473</v>
      </c>
      <c r="I226" s="681"/>
      <c r="J226" s="614" t="s">
        <v>810</v>
      </c>
      <c r="K226" s="617"/>
      <c r="L226" s="610"/>
      <c r="M226" s="611"/>
      <c r="N226" s="616" t="s">
        <v>996</v>
      </c>
      <c r="O226" s="616" t="s">
        <v>3994</v>
      </c>
      <c r="P226" s="498" t="s">
        <v>1766</v>
      </c>
      <c r="Q226" s="1361"/>
      <c r="R226" s="432"/>
      <c r="S226" s="498"/>
      <c r="T226" s="597"/>
      <c r="U226" s="597"/>
      <c r="V226" s="597"/>
      <c r="W226" s="597"/>
      <c r="X226" s="597"/>
      <c r="Y226" s="597"/>
      <c r="Z226" s="597"/>
      <c r="AA226" s="597"/>
    </row>
    <row r="227" spans="2:27" ht="12" customHeight="1">
      <c r="B227" s="762" t="s">
        <v>2194</v>
      </c>
      <c r="C227" s="762" t="s">
        <v>2645</v>
      </c>
      <c r="D227" s="762" t="s">
        <v>2384</v>
      </c>
      <c r="E227" s="766" t="s">
        <v>1407</v>
      </c>
      <c r="F227" s="766" t="s">
        <v>440</v>
      </c>
      <c r="G227" s="764" t="s">
        <v>2423</v>
      </c>
      <c r="H227" s="765" t="s">
        <v>3474</v>
      </c>
      <c r="I227" s="682"/>
      <c r="J227" s="614" t="s">
        <v>1398</v>
      </c>
      <c r="K227" s="617"/>
      <c r="L227" s="610"/>
      <c r="M227" s="611"/>
      <c r="N227" s="616" t="s">
        <v>1511</v>
      </c>
      <c r="O227" s="616" t="s">
        <v>670</v>
      </c>
      <c r="P227" s="498" t="s">
        <v>1767</v>
      </c>
      <c r="Q227" s="1361"/>
      <c r="R227" s="432"/>
      <c r="S227" s="498"/>
      <c r="T227" s="597"/>
      <c r="U227" s="597"/>
      <c r="V227" s="597"/>
      <c r="W227" s="597"/>
      <c r="X227" s="597"/>
      <c r="Y227" s="597"/>
      <c r="Z227" s="597"/>
      <c r="AA227" s="597"/>
    </row>
    <row r="228" spans="2:27" ht="12" customHeight="1">
      <c r="B228" s="762" t="s">
        <v>2195</v>
      </c>
      <c r="C228" s="762" t="s">
        <v>2749</v>
      </c>
      <c r="D228" s="762" t="s">
        <v>2166</v>
      </c>
      <c r="E228" s="766" t="s">
        <v>2941</v>
      </c>
      <c r="F228" s="766" t="s">
        <v>440</v>
      </c>
      <c r="G228" s="764" t="s">
        <v>408</v>
      </c>
      <c r="H228" s="765" t="s">
        <v>3474</v>
      </c>
      <c r="I228" s="682"/>
      <c r="J228" s="614" t="s">
        <v>1400</v>
      </c>
      <c r="K228" s="617"/>
      <c r="L228" s="610"/>
      <c r="M228" s="611"/>
      <c r="N228" s="616" t="s">
        <v>1399</v>
      </c>
      <c r="O228" s="616" t="s">
        <v>2144</v>
      </c>
      <c r="P228" s="498" t="s">
        <v>1768</v>
      </c>
      <c r="Q228" s="1361"/>
      <c r="R228" s="432"/>
      <c r="S228" s="498"/>
      <c r="T228" s="597"/>
      <c r="U228" s="597"/>
      <c r="V228" s="597"/>
      <c r="W228" s="597"/>
      <c r="X228" s="597"/>
      <c r="Y228" s="597"/>
      <c r="Z228" s="597"/>
      <c r="AA228" s="597"/>
    </row>
    <row r="229" spans="2:27" ht="12" customHeight="1">
      <c r="B229" s="762" t="s">
        <v>2196</v>
      </c>
      <c r="C229" s="762" t="s">
        <v>2750</v>
      </c>
      <c r="D229" s="762" t="s">
        <v>2384</v>
      </c>
      <c r="E229" s="763" t="s">
        <v>2751</v>
      </c>
      <c r="F229" s="763" t="s">
        <v>439</v>
      </c>
      <c r="G229" s="764" t="s">
        <v>1255</v>
      </c>
      <c r="H229" s="765" t="s">
        <v>3473</v>
      </c>
      <c r="I229" s="681"/>
      <c r="J229" s="614" t="s">
        <v>1106</v>
      </c>
      <c r="K229" s="617"/>
      <c r="L229" s="610"/>
      <c r="M229" s="611"/>
      <c r="N229" s="616" t="s">
        <v>1401</v>
      </c>
      <c r="O229" s="616" t="s">
        <v>1177</v>
      </c>
      <c r="P229" s="498" t="s">
        <v>1769</v>
      </c>
      <c r="Q229" s="597"/>
      <c r="S229" s="597"/>
      <c r="T229" s="597"/>
      <c r="U229" s="597"/>
      <c r="V229" s="597"/>
      <c r="W229" s="597"/>
      <c r="X229" s="597"/>
      <c r="Y229" s="597"/>
      <c r="Z229" s="597"/>
      <c r="AA229" s="597"/>
    </row>
    <row r="230" spans="2:27" ht="12" customHeight="1">
      <c r="B230" s="762" t="s">
        <v>2197</v>
      </c>
      <c r="C230" s="762" t="s">
        <v>2752</v>
      </c>
      <c r="D230" s="762" t="s">
        <v>2384</v>
      </c>
      <c r="E230" s="763" t="s">
        <v>1582</v>
      </c>
      <c r="F230" s="763" t="s">
        <v>440</v>
      </c>
      <c r="G230" s="764" t="s">
        <v>414</v>
      </c>
      <c r="H230" s="765" t="s">
        <v>3474</v>
      </c>
      <c r="I230" s="681"/>
      <c r="J230" s="614" t="s">
        <v>1135</v>
      </c>
      <c r="K230" s="617"/>
      <c r="L230" s="610"/>
      <c r="M230" s="611"/>
      <c r="N230" s="616" t="s">
        <v>2847</v>
      </c>
      <c r="O230" s="616" t="s">
        <v>422</v>
      </c>
      <c r="P230" s="1362" t="s">
        <v>2846</v>
      </c>
      <c r="Q230" s="597"/>
      <c r="S230" s="597"/>
      <c r="T230" s="597"/>
      <c r="U230" s="597"/>
      <c r="V230" s="597"/>
      <c r="W230" s="597"/>
      <c r="X230" s="597"/>
      <c r="Y230" s="597"/>
      <c r="Z230" s="597"/>
      <c r="AA230" s="597"/>
    </row>
    <row r="231" spans="2:27" ht="12" customHeight="1">
      <c r="B231" s="762" t="s">
        <v>2198</v>
      </c>
      <c r="C231" s="762" t="s">
        <v>2753</v>
      </c>
      <c r="D231" s="762" t="s">
        <v>2384</v>
      </c>
      <c r="E231" s="766" t="s">
        <v>2157</v>
      </c>
      <c r="F231" s="766" t="s">
        <v>440</v>
      </c>
      <c r="G231" s="764" t="s">
        <v>2066</v>
      </c>
      <c r="H231" s="765" t="s">
        <v>3474</v>
      </c>
      <c r="I231" s="682"/>
      <c r="J231" s="614" t="s">
        <v>728</v>
      </c>
      <c r="K231" s="615"/>
      <c r="L231" s="610"/>
      <c r="M231" s="611"/>
      <c r="N231" s="616" t="s">
        <v>1136</v>
      </c>
      <c r="O231" s="616" t="s">
        <v>424</v>
      </c>
      <c r="P231" s="498" t="s">
        <v>1770</v>
      </c>
      <c r="Q231" s="1361"/>
      <c r="S231" s="597"/>
      <c r="T231" s="597"/>
      <c r="U231" s="597"/>
      <c r="V231" s="597"/>
      <c r="W231" s="597"/>
      <c r="X231" s="597"/>
      <c r="Y231" s="597"/>
      <c r="Z231" s="597"/>
      <c r="AA231" s="597"/>
    </row>
    <row r="232" spans="2:27" ht="12" customHeight="1">
      <c r="B232" s="767"/>
      <c r="C232" s="762" t="s">
        <v>2754</v>
      </c>
      <c r="D232" s="762" t="s">
        <v>2166</v>
      </c>
      <c r="E232" s="763" t="s">
        <v>2755</v>
      </c>
      <c r="F232" s="763" t="s">
        <v>439</v>
      </c>
      <c r="G232" s="764" t="s">
        <v>2167</v>
      </c>
      <c r="H232" s="765" t="s">
        <v>3473</v>
      </c>
      <c r="I232" s="681"/>
      <c r="J232" s="614" t="s">
        <v>730</v>
      </c>
      <c r="K232" s="615"/>
      <c r="L232" s="610"/>
      <c r="M232" s="611"/>
      <c r="N232" s="616" t="s">
        <v>729</v>
      </c>
      <c r="O232" s="616" t="s">
        <v>2450</v>
      </c>
      <c r="P232" s="498" t="s">
        <v>1771</v>
      </c>
      <c r="Q232" s="1361"/>
      <c r="S232" s="597"/>
      <c r="T232" s="597"/>
      <c r="U232" s="597"/>
      <c r="V232" s="597"/>
      <c r="W232" s="597"/>
      <c r="X232" s="597"/>
      <c r="Y232" s="597"/>
      <c r="Z232" s="597"/>
      <c r="AA232" s="597"/>
    </row>
    <row r="233" spans="2:27" ht="12" customHeight="1">
      <c r="B233" s="767"/>
      <c r="C233" s="762" t="s">
        <v>998</v>
      </c>
      <c r="D233" s="762" t="s">
        <v>2384</v>
      </c>
      <c r="E233" s="763" t="s">
        <v>999</v>
      </c>
      <c r="F233" s="763" t="s">
        <v>439</v>
      </c>
      <c r="G233" s="764" t="s">
        <v>2168</v>
      </c>
      <c r="H233" s="765" t="s">
        <v>3473</v>
      </c>
      <c r="I233" s="681"/>
      <c r="J233" s="614" t="s">
        <v>732</v>
      </c>
      <c r="K233" s="615"/>
      <c r="L233" s="610"/>
      <c r="M233" s="611"/>
      <c r="N233" s="498" t="s">
        <v>666</v>
      </c>
      <c r="O233" s="498" t="s">
        <v>3742</v>
      </c>
      <c r="P233" s="1363" t="s">
        <v>967</v>
      </c>
      <c r="Q233" s="1361"/>
      <c r="S233" s="597"/>
      <c r="T233" s="597"/>
      <c r="U233" s="597"/>
      <c r="V233" s="597"/>
      <c r="W233" s="597"/>
      <c r="X233" s="597"/>
      <c r="Y233" s="597"/>
      <c r="Z233" s="597"/>
      <c r="AA233" s="597"/>
    </row>
    <row r="234" spans="2:27" ht="12" customHeight="1">
      <c r="B234" s="767"/>
      <c r="C234" s="762" t="s">
        <v>1000</v>
      </c>
      <c r="D234" s="762" t="s">
        <v>2384</v>
      </c>
      <c r="E234" s="763" t="s">
        <v>3072</v>
      </c>
      <c r="F234" s="763" t="s">
        <v>439</v>
      </c>
      <c r="G234" s="764" t="s">
        <v>2169</v>
      </c>
      <c r="H234" s="765" t="s">
        <v>3473</v>
      </c>
      <c r="I234" s="681"/>
      <c r="J234" s="614" t="s">
        <v>734</v>
      </c>
      <c r="K234" s="615"/>
      <c r="L234" s="610"/>
      <c r="M234" s="611"/>
      <c r="N234" s="616" t="s">
        <v>731</v>
      </c>
      <c r="O234" s="616" t="s">
        <v>1210</v>
      </c>
      <c r="P234" s="498" t="s">
        <v>1772</v>
      </c>
      <c r="Q234" s="1361"/>
      <c r="S234" s="597"/>
      <c r="T234" s="597"/>
      <c r="U234" s="597"/>
      <c r="V234" s="597"/>
      <c r="W234" s="597"/>
      <c r="X234" s="597"/>
      <c r="Y234" s="597"/>
      <c r="Z234" s="597"/>
      <c r="AA234" s="597"/>
    </row>
    <row r="235" spans="2:27" ht="12" customHeight="1">
      <c r="B235" s="767"/>
      <c r="C235" s="762" t="s">
        <v>3073</v>
      </c>
      <c r="D235" s="762" t="s">
        <v>2142</v>
      </c>
      <c r="E235" s="763" t="s">
        <v>3074</v>
      </c>
      <c r="F235" s="763" t="s">
        <v>439</v>
      </c>
      <c r="G235" s="764" t="s">
        <v>2170</v>
      </c>
      <c r="H235" s="765" t="s">
        <v>3473</v>
      </c>
      <c r="I235" s="681"/>
      <c r="J235" s="614" t="s">
        <v>742</v>
      </c>
      <c r="K235" s="615"/>
      <c r="L235" s="610"/>
      <c r="M235" s="611"/>
      <c r="N235" s="616" t="s">
        <v>733</v>
      </c>
      <c r="O235" s="616" t="s">
        <v>2750</v>
      </c>
      <c r="P235" s="498" t="s">
        <v>1773</v>
      </c>
      <c r="Q235" s="1361"/>
      <c r="S235" s="597"/>
      <c r="T235" s="597"/>
      <c r="U235" s="597"/>
      <c r="V235" s="597"/>
      <c r="W235" s="597"/>
      <c r="X235" s="597"/>
      <c r="Y235" s="597"/>
      <c r="Z235" s="597"/>
      <c r="AA235" s="597"/>
    </row>
    <row r="236" spans="2:27" ht="12" customHeight="1">
      <c r="B236" s="767"/>
      <c r="C236" s="762" t="s">
        <v>3075</v>
      </c>
      <c r="D236" s="762" t="s">
        <v>2166</v>
      </c>
      <c r="E236" s="766" t="s">
        <v>2941</v>
      </c>
      <c r="F236" s="766" t="s">
        <v>440</v>
      </c>
      <c r="G236" s="764" t="s">
        <v>408</v>
      </c>
      <c r="H236" s="765" t="s">
        <v>3474</v>
      </c>
      <c r="I236" s="682"/>
      <c r="J236" s="614" t="s">
        <v>983</v>
      </c>
      <c r="K236" s="615"/>
      <c r="L236" s="610"/>
      <c r="M236" s="611"/>
      <c r="N236" s="616" t="s">
        <v>743</v>
      </c>
      <c r="O236" s="616" t="s">
        <v>3894</v>
      </c>
      <c r="P236" s="498" t="s">
        <v>1774</v>
      </c>
      <c r="Q236" s="1361"/>
      <c r="S236" s="597"/>
      <c r="T236" s="597"/>
      <c r="U236" s="597"/>
      <c r="V236" s="597"/>
      <c r="W236" s="597"/>
      <c r="X236" s="597"/>
      <c r="Y236" s="597"/>
      <c r="Z236" s="597"/>
      <c r="AA236" s="597"/>
    </row>
    <row r="237" spans="2:27" ht="12" customHeight="1">
      <c r="B237" s="767"/>
      <c r="C237" s="762" t="s">
        <v>3076</v>
      </c>
      <c r="D237" s="762" t="s">
        <v>2142</v>
      </c>
      <c r="E237" s="766" t="s">
        <v>809</v>
      </c>
      <c r="F237" s="766" t="s">
        <v>440</v>
      </c>
      <c r="G237" s="764" t="s">
        <v>2171</v>
      </c>
      <c r="H237" s="765" t="s">
        <v>3474</v>
      </c>
      <c r="I237" s="682"/>
      <c r="J237" s="614" t="s">
        <v>3143</v>
      </c>
      <c r="K237" s="615"/>
      <c r="L237" s="610"/>
      <c r="M237" s="611"/>
      <c r="N237" s="616" t="s">
        <v>984</v>
      </c>
      <c r="O237" s="616" t="s">
        <v>3073</v>
      </c>
      <c r="P237" s="498" t="s">
        <v>1775</v>
      </c>
      <c r="Q237" s="1361"/>
      <c r="S237" s="597"/>
      <c r="T237" s="597"/>
      <c r="U237" s="597"/>
      <c r="V237" s="597"/>
      <c r="W237" s="597"/>
      <c r="X237" s="597"/>
      <c r="Y237" s="597"/>
      <c r="Z237" s="597"/>
      <c r="AA237" s="597"/>
    </row>
    <row r="238" spans="2:27" ht="12" customHeight="1">
      <c r="B238" s="767"/>
      <c r="C238" s="762" t="s">
        <v>3077</v>
      </c>
      <c r="D238" s="762" t="s">
        <v>2142</v>
      </c>
      <c r="E238" s="766" t="s">
        <v>2941</v>
      </c>
      <c r="F238" s="766" t="s">
        <v>440</v>
      </c>
      <c r="G238" s="764" t="s">
        <v>408</v>
      </c>
      <c r="H238" s="765" t="s">
        <v>3474</v>
      </c>
      <c r="I238" s="682"/>
      <c r="J238" s="614" t="s">
        <v>3146</v>
      </c>
      <c r="K238" s="615"/>
      <c r="L238" s="610"/>
      <c r="M238" s="611"/>
      <c r="N238" s="616" t="s">
        <v>3144</v>
      </c>
      <c r="O238" s="616" t="s">
        <v>788</v>
      </c>
      <c r="P238" s="498" t="s">
        <v>1776</v>
      </c>
      <c r="Q238" s="1361"/>
      <c r="S238" s="597"/>
      <c r="T238" s="597"/>
      <c r="U238" s="597"/>
      <c r="V238" s="597"/>
      <c r="W238" s="597"/>
      <c r="X238" s="597"/>
      <c r="Y238" s="597"/>
      <c r="Z238" s="597"/>
      <c r="AA238" s="597"/>
    </row>
    <row r="239" spans="2:27" ht="12" customHeight="1">
      <c r="B239" s="767"/>
      <c r="C239" s="762" t="s">
        <v>3078</v>
      </c>
      <c r="D239" s="762" t="s">
        <v>2142</v>
      </c>
      <c r="E239" s="766" t="s">
        <v>3170</v>
      </c>
      <c r="F239" s="766" t="s">
        <v>439</v>
      </c>
      <c r="G239" s="764" t="s">
        <v>2172</v>
      </c>
      <c r="H239" s="765" t="s">
        <v>3473</v>
      </c>
      <c r="I239" s="682"/>
      <c r="J239" s="614" t="s">
        <v>3148</v>
      </c>
      <c r="K239" s="615"/>
      <c r="L239" s="610"/>
      <c r="M239" s="611"/>
      <c r="N239" s="616" t="s">
        <v>3147</v>
      </c>
      <c r="O239" s="616" t="s">
        <v>2465</v>
      </c>
      <c r="P239" s="498" t="s">
        <v>1777</v>
      </c>
      <c r="Q239" s="1361"/>
      <c r="S239" s="597"/>
      <c r="T239" s="597"/>
      <c r="U239" s="597"/>
      <c r="V239" s="597"/>
      <c r="W239" s="597"/>
      <c r="X239" s="597"/>
      <c r="Y239" s="597"/>
      <c r="Z239" s="597"/>
      <c r="AA239" s="597"/>
    </row>
    <row r="240" spans="2:27" ht="12" customHeight="1">
      <c r="B240" s="767"/>
      <c r="C240" s="762" t="s">
        <v>2379</v>
      </c>
      <c r="D240" s="762" t="s">
        <v>2166</v>
      </c>
      <c r="E240" s="766" t="s">
        <v>2941</v>
      </c>
      <c r="F240" s="766" t="s">
        <v>440</v>
      </c>
      <c r="G240" s="764" t="s">
        <v>408</v>
      </c>
      <c r="H240" s="765" t="s">
        <v>3474</v>
      </c>
      <c r="I240" s="682"/>
      <c r="J240" s="614" t="s">
        <v>3150</v>
      </c>
      <c r="K240" s="615"/>
      <c r="L240" s="610"/>
      <c r="M240" s="611"/>
      <c r="N240" s="616" t="s">
        <v>3149</v>
      </c>
      <c r="O240" s="616" t="s">
        <v>424</v>
      </c>
      <c r="P240" s="498" t="s">
        <v>1778</v>
      </c>
      <c r="Q240" s="1361"/>
      <c r="S240" s="597"/>
      <c r="T240" s="597"/>
      <c r="U240" s="597"/>
      <c r="V240" s="597"/>
      <c r="W240" s="597"/>
      <c r="X240" s="597"/>
      <c r="Y240" s="597"/>
      <c r="Z240" s="597"/>
      <c r="AA240" s="597"/>
    </row>
    <row r="241" spans="2:27" ht="12" customHeight="1">
      <c r="B241" s="767"/>
      <c r="C241" s="762" t="s">
        <v>3171</v>
      </c>
      <c r="D241" s="762" t="s">
        <v>2142</v>
      </c>
      <c r="E241" s="763" t="s">
        <v>3172</v>
      </c>
      <c r="F241" s="763" t="s">
        <v>439</v>
      </c>
      <c r="G241" s="764" t="s">
        <v>3768</v>
      </c>
      <c r="H241" s="765" t="s">
        <v>3473</v>
      </c>
      <c r="I241" s="681"/>
      <c r="J241" s="614" t="s">
        <v>855</v>
      </c>
      <c r="K241" s="615"/>
      <c r="L241" s="610"/>
      <c r="M241" s="611"/>
      <c r="N241" s="498" t="s">
        <v>467</v>
      </c>
      <c r="O241" s="498" t="s">
        <v>790</v>
      </c>
      <c r="P241" s="1363" t="s">
        <v>967</v>
      </c>
      <c r="Q241" s="1361"/>
      <c r="S241" s="597"/>
      <c r="T241" s="597"/>
      <c r="U241" s="597"/>
      <c r="V241" s="597"/>
      <c r="W241" s="597"/>
      <c r="X241" s="597"/>
      <c r="Y241" s="597"/>
      <c r="Z241" s="597"/>
      <c r="AA241" s="597"/>
    </row>
    <row r="242" spans="2:27" ht="12" customHeight="1">
      <c r="B242" s="767"/>
      <c r="C242" s="762" t="s">
        <v>3173</v>
      </c>
      <c r="D242" s="762" t="s">
        <v>2166</v>
      </c>
      <c r="E242" s="766" t="s">
        <v>3174</v>
      </c>
      <c r="F242" s="766" t="s">
        <v>439</v>
      </c>
      <c r="G242" s="764" t="s">
        <v>3769</v>
      </c>
      <c r="H242" s="765" t="s">
        <v>3473</v>
      </c>
      <c r="I242" s="682"/>
      <c r="J242" s="614" t="s">
        <v>856</v>
      </c>
      <c r="K242" s="615"/>
      <c r="L242" s="610"/>
      <c r="M242" s="611"/>
      <c r="N242" s="616" t="s">
        <v>857</v>
      </c>
      <c r="O242" s="616" t="s">
        <v>1542</v>
      </c>
      <c r="P242" s="498" t="s">
        <v>1779</v>
      </c>
      <c r="Q242" s="1361"/>
      <c r="S242" s="597"/>
      <c r="T242" s="597"/>
      <c r="U242" s="597"/>
      <c r="V242" s="597"/>
      <c r="W242" s="597"/>
      <c r="X242" s="597"/>
      <c r="Y242" s="597"/>
      <c r="Z242" s="597"/>
      <c r="AA242" s="597"/>
    </row>
    <row r="243" spans="2:27" ht="12" customHeight="1">
      <c r="B243" s="767"/>
      <c r="C243" s="762" t="s">
        <v>3175</v>
      </c>
      <c r="D243" s="762" t="s">
        <v>2384</v>
      </c>
      <c r="E243" s="763" t="s">
        <v>3965</v>
      </c>
      <c r="F243" s="763" t="s">
        <v>440</v>
      </c>
      <c r="G243" s="764" t="s">
        <v>413</v>
      </c>
      <c r="H243" s="765" t="s">
        <v>3474</v>
      </c>
      <c r="I243" s="681"/>
      <c r="J243" s="614" t="s">
        <v>858</v>
      </c>
      <c r="K243" s="615"/>
      <c r="L243" s="610"/>
      <c r="M243" s="611"/>
      <c r="N243" s="616" t="s">
        <v>859</v>
      </c>
      <c r="O243" s="616" t="s">
        <v>418</v>
      </c>
      <c r="P243" s="498" t="s">
        <v>1780</v>
      </c>
      <c r="Q243" s="1361"/>
      <c r="S243" s="597"/>
      <c r="T243" s="597"/>
      <c r="U243" s="597"/>
      <c r="V243" s="597"/>
      <c r="W243" s="597"/>
      <c r="X243" s="597"/>
      <c r="Y243" s="597"/>
      <c r="Z243" s="597"/>
      <c r="AA243" s="597"/>
    </row>
    <row r="244" spans="2:27" ht="12" customHeight="1">
      <c r="B244" s="767"/>
      <c r="C244" s="762" t="s">
        <v>3176</v>
      </c>
      <c r="D244" s="762" t="s">
        <v>2142</v>
      </c>
      <c r="E244" s="763" t="s">
        <v>3177</v>
      </c>
      <c r="F244" s="763" t="s">
        <v>439</v>
      </c>
      <c r="G244" s="764" t="s">
        <v>3770</v>
      </c>
      <c r="H244" s="765" t="s">
        <v>3473</v>
      </c>
      <c r="I244" s="681"/>
      <c r="J244" s="614" t="s">
        <v>3112</v>
      </c>
      <c r="K244" s="615"/>
      <c r="L244" s="610"/>
      <c r="M244" s="611"/>
      <c r="N244" s="616" t="s">
        <v>3113</v>
      </c>
      <c r="O244" s="616" t="s">
        <v>2825</v>
      </c>
      <c r="P244" s="498" t="s">
        <v>1781</v>
      </c>
      <c r="Q244" s="1361"/>
      <c r="S244" s="597"/>
      <c r="T244" s="597"/>
      <c r="U244" s="597"/>
      <c r="V244" s="597"/>
      <c r="W244" s="597"/>
      <c r="X244" s="597"/>
      <c r="Y244" s="597"/>
      <c r="Z244" s="597"/>
      <c r="AA244" s="597"/>
    </row>
    <row r="245" spans="2:27" ht="12" customHeight="1">
      <c r="B245" s="767"/>
      <c r="C245" s="762" t="s">
        <v>3178</v>
      </c>
      <c r="D245" s="762" t="s">
        <v>2384</v>
      </c>
      <c r="E245" s="763" t="s">
        <v>3179</v>
      </c>
      <c r="F245" s="763" t="s">
        <v>439</v>
      </c>
      <c r="G245" s="764" t="s">
        <v>3554</v>
      </c>
      <c r="H245" s="765" t="s">
        <v>3473</v>
      </c>
      <c r="I245" s="681"/>
      <c r="J245" s="614" t="s">
        <v>2810</v>
      </c>
      <c r="K245" s="615"/>
      <c r="L245" s="610"/>
      <c r="M245" s="611"/>
      <c r="N245" s="616" t="s">
        <v>811</v>
      </c>
      <c r="O245" s="616" t="s">
        <v>3739</v>
      </c>
      <c r="P245" s="498" t="s">
        <v>1782</v>
      </c>
      <c r="Q245" s="1361"/>
      <c r="S245" s="597"/>
      <c r="T245" s="597"/>
      <c r="U245" s="597"/>
      <c r="V245" s="597"/>
      <c r="W245" s="597"/>
      <c r="X245" s="597"/>
      <c r="Y245" s="597"/>
      <c r="Z245" s="597"/>
      <c r="AA245" s="597"/>
    </row>
    <row r="246" spans="2:27" ht="12" customHeight="1">
      <c r="B246" s="767"/>
      <c r="C246" s="762" t="s">
        <v>3180</v>
      </c>
      <c r="D246" s="762" t="s">
        <v>2166</v>
      </c>
      <c r="E246" s="763" t="s">
        <v>3181</v>
      </c>
      <c r="F246" s="763" t="s">
        <v>439</v>
      </c>
      <c r="G246" s="764" t="s">
        <v>3452</v>
      </c>
      <c r="H246" s="765" t="s">
        <v>3473</v>
      </c>
      <c r="I246" s="681"/>
      <c r="J246" s="614" t="s">
        <v>812</v>
      </c>
      <c r="K246" s="615"/>
      <c r="L246" s="610"/>
      <c r="M246" s="611"/>
      <c r="N246" s="616" t="s">
        <v>864</v>
      </c>
      <c r="O246" s="616" t="s">
        <v>2754</v>
      </c>
      <c r="P246" s="498" t="s">
        <v>1783</v>
      </c>
      <c r="Q246" s="1361"/>
      <c r="S246" s="597"/>
      <c r="T246" s="597"/>
      <c r="U246" s="597"/>
      <c r="V246" s="597"/>
      <c r="W246" s="597"/>
      <c r="X246" s="597"/>
      <c r="Y246" s="597"/>
      <c r="Z246" s="597"/>
      <c r="AA246" s="597"/>
    </row>
    <row r="247" spans="2:27" ht="12" customHeight="1">
      <c r="B247" s="767"/>
      <c r="C247" s="762" t="s">
        <v>3994</v>
      </c>
      <c r="D247" s="762" t="s">
        <v>2166</v>
      </c>
      <c r="E247" s="766" t="s">
        <v>2941</v>
      </c>
      <c r="F247" s="766" t="s">
        <v>440</v>
      </c>
      <c r="G247" s="764" t="s">
        <v>408</v>
      </c>
      <c r="H247" s="765" t="s">
        <v>3474</v>
      </c>
      <c r="I247" s="682"/>
      <c r="J247" s="614" t="s">
        <v>829</v>
      </c>
      <c r="K247" s="615"/>
      <c r="L247" s="610"/>
      <c r="M247" s="611"/>
      <c r="N247" s="616" t="s">
        <v>4008</v>
      </c>
      <c r="O247" s="616" t="s">
        <v>3746</v>
      </c>
      <c r="P247" s="498" t="s">
        <v>1784</v>
      </c>
      <c r="Q247" s="1361"/>
      <c r="S247" s="597"/>
      <c r="T247" s="597"/>
      <c r="U247" s="597"/>
      <c r="V247" s="597"/>
      <c r="W247" s="597"/>
      <c r="X247" s="597"/>
      <c r="Y247" s="597"/>
      <c r="Z247" s="597"/>
      <c r="AA247" s="597"/>
    </row>
    <row r="248" spans="2:27" ht="12" customHeight="1">
      <c r="B248" s="767"/>
      <c r="C248" s="762" t="s">
        <v>3995</v>
      </c>
      <c r="D248" s="762" t="s">
        <v>2142</v>
      </c>
      <c r="E248" s="763" t="s">
        <v>3996</v>
      </c>
      <c r="F248" s="763" t="s">
        <v>439</v>
      </c>
      <c r="G248" s="764" t="s">
        <v>3453</v>
      </c>
      <c r="H248" s="765" t="s">
        <v>3473</v>
      </c>
      <c r="I248" s="681"/>
      <c r="J248" s="614" t="s">
        <v>4007</v>
      </c>
      <c r="K248" s="615"/>
      <c r="L248" s="610"/>
      <c r="M248" s="611"/>
      <c r="N248" s="616" t="s">
        <v>3231</v>
      </c>
      <c r="O248" s="616" t="s">
        <v>493</v>
      </c>
      <c r="P248" s="498" t="s">
        <v>1785</v>
      </c>
      <c r="Q248" s="1361"/>
      <c r="S248" s="597"/>
      <c r="T248" s="597"/>
      <c r="U248" s="597"/>
      <c r="V248" s="597"/>
      <c r="W248" s="597"/>
      <c r="X248" s="597"/>
      <c r="Y248" s="597"/>
      <c r="Z248" s="597"/>
      <c r="AA248" s="597"/>
    </row>
    <row r="249" spans="2:27" ht="12" customHeight="1">
      <c r="B249" s="767"/>
      <c r="C249" s="762" t="s">
        <v>3734</v>
      </c>
      <c r="D249" s="762" t="s">
        <v>2142</v>
      </c>
      <c r="E249" s="763" t="s">
        <v>2282</v>
      </c>
      <c r="F249" s="763" t="s">
        <v>440</v>
      </c>
      <c r="G249" s="764" t="s">
        <v>3454</v>
      </c>
      <c r="H249" s="765" t="s">
        <v>3474</v>
      </c>
      <c r="I249" s="681"/>
      <c r="J249" s="614" t="s">
        <v>3230</v>
      </c>
      <c r="K249" s="615"/>
      <c r="L249" s="610"/>
      <c r="M249" s="611"/>
      <c r="N249" s="616" t="s">
        <v>3726</v>
      </c>
      <c r="O249" s="616" t="s">
        <v>3737</v>
      </c>
      <c r="P249" s="498" t="s">
        <v>1786</v>
      </c>
      <c r="Q249" s="1361"/>
      <c r="S249" s="597"/>
      <c r="T249" s="597"/>
      <c r="U249" s="597"/>
      <c r="V249" s="597"/>
      <c r="W249" s="597"/>
      <c r="X249" s="597"/>
      <c r="Y249" s="597"/>
      <c r="Z249" s="597"/>
      <c r="AA249" s="597"/>
    </row>
    <row r="250" spans="2:27" ht="12" customHeight="1">
      <c r="B250" s="767"/>
      <c r="C250" s="768" t="s">
        <v>3735</v>
      </c>
      <c r="D250" s="762" t="s">
        <v>2166</v>
      </c>
      <c r="E250" s="763" t="s">
        <v>3736</v>
      </c>
      <c r="F250" s="763" t="s">
        <v>439</v>
      </c>
      <c r="G250" s="764" t="s">
        <v>3455</v>
      </c>
      <c r="H250" s="765" t="s">
        <v>3473</v>
      </c>
      <c r="I250" s="681"/>
      <c r="J250" s="614" t="s">
        <v>3725</v>
      </c>
      <c r="K250" s="615"/>
      <c r="L250" s="610"/>
      <c r="M250" s="611"/>
      <c r="N250" s="616" t="s">
        <v>625</v>
      </c>
      <c r="O250" s="616" t="s">
        <v>3833</v>
      </c>
      <c r="P250" s="498" t="s">
        <v>1787</v>
      </c>
      <c r="Q250" s="1361"/>
      <c r="S250" s="597"/>
      <c r="T250" s="597"/>
      <c r="U250" s="597"/>
      <c r="V250" s="597"/>
      <c r="W250" s="597"/>
      <c r="X250" s="597"/>
      <c r="Y250" s="597"/>
      <c r="Z250" s="597"/>
      <c r="AA250" s="597"/>
    </row>
    <row r="251" spans="2:27" ht="12" customHeight="1">
      <c r="B251" s="767"/>
      <c r="C251" s="762" t="s">
        <v>3737</v>
      </c>
      <c r="D251" s="762" t="s">
        <v>2142</v>
      </c>
      <c r="E251" s="766" t="s">
        <v>2943</v>
      </c>
      <c r="F251" s="766" t="s">
        <v>440</v>
      </c>
      <c r="G251" s="764" t="s">
        <v>3456</v>
      </c>
      <c r="H251" s="765" t="s">
        <v>3474</v>
      </c>
      <c r="I251" s="682"/>
      <c r="J251" s="614" t="s">
        <v>624</v>
      </c>
      <c r="K251" s="615"/>
      <c r="L251" s="610"/>
      <c r="M251" s="611"/>
      <c r="N251" s="616" t="s">
        <v>673</v>
      </c>
      <c r="O251" s="616" t="s">
        <v>1541</v>
      </c>
      <c r="P251" s="498" t="s">
        <v>1788</v>
      </c>
      <c r="Q251" s="1361"/>
      <c r="S251" s="597"/>
      <c r="T251" s="597"/>
      <c r="U251" s="597"/>
      <c r="V251" s="597"/>
      <c r="W251" s="597"/>
      <c r="X251" s="597"/>
      <c r="Y251" s="597"/>
      <c r="Z251" s="597"/>
      <c r="AA251" s="597"/>
    </row>
    <row r="252" spans="2:27" ht="12" customHeight="1">
      <c r="B252" s="767"/>
      <c r="C252" s="762" t="s">
        <v>3738</v>
      </c>
      <c r="D252" s="762" t="s">
        <v>2166</v>
      </c>
      <c r="E252" s="766" t="s">
        <v>3896</v>
      </c>
      <c r="F252" s="766" t="s">
        <v>440</v>
      </c>
      <c r="G252" s="764" t="s">
        <v>1571</v>
      </c>
      <c r="H252" s="765" t="s">
        <v>3474</v>
      </c>
      <c r="I252" s="682"/>
      <c r="J252" s="614" t="s">
        <v>672</v>
      </c>
      <c r="K252" s="615"/>
      <c r="L252" s="610"/>
      <c r="M252" s="611"/>
      <c r="N252" s="616" t="s">
        <v>3226</v>
      </c>
      <c r="O252" s="616" t="s">
        <v>2158</v>
      </c>
      <c r="P252" s="498" t="s">
        <v>1789</v>
      </c>
      <c r="Q252" s="1361"/>
      <c r="S252" s="597"/>
      <c r="T252" s="597"/>
      <c r="U252" s="597"/>
      <c r="V252" s="597"/>
      <c r="W252" s="597"/>
      <c r="X252" s="597"/>
      <c r="Y252" s="597"/>
      <c r="Z252" s="597"/>
      <c r="AA252" s="597"/>
    </row>
    <row r="253" spans="2:27" ht="12" customHeight="1">
      <c r="B253" s="767"/>
      <c r="C253" s="762" t="s">
        <v>3739</v>
      </c>
      <c r="D253" s="762" t="s">
        <v>2166</v>
      </c>
      <c r="E253" s="763" t="s">
        <v>3740</v>
      </c>
      <c r="F253" s="763" t="s">
        <v>439</v>
      </c>
      <c r="G253" s="764" t="s">
        <v>3557</v>
      </c>
      <c r="H253" s="765" t="s">
        <v>3473</v>
      </c>
      <c r="I253" s="681"/>
      <c r="J253" s="614" t="s">
        <v>674</v>
      </c>
      <c r="K253" s="615"/>
      <c r="L253" s="610"/>
      <c r="M253" s="611"/>
      <c r="N253" s="616" t="s">
        <v>2155</v>
      </c>
      <c r="O253" s="616" t="s">
        <v>3075</v>
      </c>
      <c r="P253" s="498" t="s">
        <v>1790</v>
      </c>
      <c r="Q253" s="1361"/>
      <c r="S253" s="597"/>
      <c r="T253" s="597"/>
      <c r="U253" s="597"/>
      <c r="V253" s="597"/>
      <c r="W253" s="597"/>
      <c r="X253" s="597"/>
      <c r="Y253" s="597"/>
      <c r="Z253" s="597"/>
      <c r="AA253" s="597"/>
    </row>
    <row r="254" spans="2:27" ht="12" customHeight="1">
      <c r="B254" s="767"/>
      <c r="C254" s="762" t="s">
        <v>3741</v>
      </c>
      <c r="D254" s="762" t="s">
        <v>2166</v>
      </c>
      <c r="E254" s="766" t="s">
        <v>2941</v>
      </c>
      <c r="F254" s="766" t="s">
        <v>440</v>
      </c>
      <c r="G254" s="764" t="s">
        <v>408</v>
      </c>
      <c r="H254" s="765" t="s">
        <v>3474</v>
      </c>
      <c r="I254" s="682"/>
      <c r="J254" s="614" t="s">
        <v>675</v>
      </c>
      <c r="K254" s="615"/>
      <c r="L254" s="610"/>
      <c r="M254" s="611"/>
      <c r="N254" s="616" t="s">
        <v>754</v>
      </c>
      <c r="O254" s="616" t="s">
        <v>668</v>
      </c>
      <c r="P254" s="498" t="s">
        <v>1791</v>
      </c>
      <c r="Q254" s="1361"/>
      <c r="S254" s="597"/>
      <c r="T254" s="597"/>
      <c r="U254" s="597"/>
      <c r="V254" s="597"/>
      <c r="W254" s="597"/>
      <c r="X254" s="597"/>
      <c r="Y254" s="597"/>
      <c r="Z254" s="597"/>
      <c r="AA254" s="597"/>
    </row>
    <row r="255" spans="2:27" ht="12" customHeight="1">
      <c r="B255" s="767"/>
      <c r="C255" s="762" t="s">
        <v>3742</v>
      </c>
      <c r="D255" s="762" t="s">
        <v>2166</v>
      </c>
      <c r="E255" s="766" t="s">
        <v>2941</v>
      </c>
      <c r="F255" s="766" t="s">
        <v>440</v>
      </c>
      <c r="G255" s="764" t="s">
        <v>408</v>
      </c>
      <c r="H255" s="765" t="s">
        <v>3474</v>
      </c>
      <c r="I255" s="682"/>
      <c r="J255" s="614" t="s">
        <v>753</v>
      </c>
      <c r="K255" s="615"/>
      <c r="L255" s="610"/>
      <c r="M255" s="611"/>
      <c r="N255" s="616" t="s">
        <v>3965</v>
      </c>
      <c r="O255" s="616" t="s">
        <v>3175</v>
      </c>
      <c r="P255" s="498" t="s">
        <v>1792</v>
      </c>
      <c r="Q255" s="1361"/>
      <c r="S255" s="597"/>
      <c r="T255" s="597"/>
      <c r="U255" s="597"/>
      <c r="V255" s="597"/>
      <c r="W255" s="597"/>
      <c r="X255" s="597"/>
      <c r="Y255" s="597"/>
      <c r="Z255" s="597"/>
      <c r="AA255" s="597"/>
    </row>
    <row r="256" spans="2:27" ht="12" customHeight="1">
      <c r="B256" s="767"/>
      <c r="C256" s="762" t="s">
        <v>3743</v>
      </c>
      <c r="D256" s="762" t="s">
        <v>2166</v>
      </c>
      <c r="E256" s="766" t="s">
        <v>1465</v>
      </c>
      <c r="F256" s="766" t="s">
        <v>440</v>
      </c>
      <c r="G256" s="764" t="s">
        <v>3558</v>
      </c>
      <c r="H256" s="765" t="s">
        <v>3474</v>
      </c>
      <c r="I256" s="682"/>
      <c r="J256" s="614" t="s">
        <v>3964</v>
      </c>
      <c r="K256" s="615"/>
      <c r="L256" s="610"/>
      <c r="M256" s="611"/>
      <c r="N256" s="616" t="s">
        <v>3967</v>
      </c>
      <c r="O256" s="616" t="s">
        <v>3737</v>
      </c>
      <c r="P256" s="617" t="s">
        <v>1793</v>
      </c>
      <c r="Q256" s="1361"/>
      <c r="S256" s="597"/>
      <c r="T256" s="597"/>
      <c r="U256" s="597"/>
      <c r="V256" s="597"/>
      <c r="W256" s="597"/>
      <c r="X256" s="597"/>
      <c r="Y256" s="597"/>
      <c r="Z256" s="597"/>
      <c r="AA256" s="597"/>
    </row>
    <row r="257" spans="2:27" ht="12" customHeight="1">
      <c r="B257" s="767"/>
      <c r="C257" s="762" t="s">
        <v>3744</v>
      </c>
      <c r="D257" s="762" t="s">
        <v>2384</v>
      </c>
      <c r="E257" s="763" t="s">
        <v>3745</v>
      </c>
      <c r="F257" s="763" t="s">
        <v>439</v>
      </c>
      <c r="G257" s="764" t="s">
        <v>3165</v>
      </c>
      <c r="H257" s="765" t="s">
        <v>3473</v>
      </c>
      <c r="I257" s="681"/>
      <c r="J257" s="614" t="s">
        <v>3966</v>
      </c>
      <c r="K257" s="615"/>
      <c r="L257" s="610"/>
      <c r="M257" s="611"/>
      <c r="N257" s="616" t="s">
        <v>4017</v>
      </c>
      <c r="O257" s="616" t="s">
        <v>418</v>
      </c>
      <c r="P257" s="498" t="s">
        <v>1794</v>
      </c>
      <c r="Q257" s="1361"/>
      <c r="S257" s="597"/>
      <c r="T257" s="597"/>
      <c r="U257" s="597"/>
      <c r="V257" s="597"/>
      <c r="W257" s="597"/>
      <c r="X257" s="597"/>
      <c r="Y257" s="597"/>
      <c r="Z257" s="597"/>
      <c r="AA257" s="597"/>
    </row>
    <row r="258" spans="2:27" ht="12" customHeight="1">
      <c r="B258" s="767"/>
      <c r="C258" s="762" t="s">
        <v>3746</v>
      </c>
      <c r="D258" s="762" t="s">
        <v>2166</v>
      </c>
      <c r="E258" s="763" t="s">
        <v>3747</v>
      </c>
      <c r="F258" s="763" t="s">
        <v>439</v>
      </c>
      <c r="G258" s="764" t="s">
        <v>3166</v>
      </c>
      <c r="H258" s="765" t="s">
        <v>3473</v>
      </c>
      <c r="I258" s="681"/>
      <c r="J258" s="614" t="s">
        <v>4016</v>
      </c>
      <c r="K258" s="615"/>
      <c r="L258" s="610"/>
      <c r="M258" s="611"/>
      <c r="N258" s="616" t="s">
        <v>4019</v>
      </c>
      <c r="O258" s="616" t="s">
        <v>3522</v>
      </c>
      <c r="P258" s="498" t="s">
        <v>1795</v>
      </c>
      <c r="Q258" s="1361"/>
      <c r="S258" s="597"/>
      <c r="T258" s="597"/>
      <c r="U258" s="597"/>
      <c r="V258" s="597"/>
      <c r="W258" s="597"/>
      <c r="X258" s="597"/>
      <c r="Y258" s="597"/>
      <c r="Z258" s="597"/>
      <c r="AA258" s="597"/>
    </row>
    <row r="259" spans="2:27" ht="12" customHeight="1">
      <c r="B259" s="767"/>
      <c r="C259" s="762" t="s">
        <v>3748</v>
      </c>
      <c r="D259" s="762" t="s">
        <v>2166</v>
      </c>
      <c r="E259" s="766" t="s">
        <v>2941</v>
      </c>
      <c r="F259" s="766" t="s">
        <v>440</v>
      </c>
      <c r="G259" s="764" t="s">
        <v>408</v>
      </c>
      <c r="H259" s="765" t="s">
        <v>3474</v>
      </c>
      <c r="I259" s="682"/>
      <c r="J259" s="614" t="s">
        <v>4018</v>
      </c>
      <c r="K259" s="615"/>
      <c r="L259" s="610"/>
      <c r="M259" s="611"/>
      <c r="N259" s="616" t="s">
        <v>4026</v>
      </c>
      <c r="O259" s="616" t="s">
        <v>3994</v>
      </c>
      <c r="P259" s="498" t="s">
        <v>1796</v>
      </c>
      <c r="Q259" s="1361"/>
      <c r="S259" s="597"/>
      <c r="T259" s="597"/>
      <c r="U259" s="597"/>
      <c r="V259" s="597"/>
      <c r="W259" s="597"/>
      <c r="X259" s="597"/>
      <c r="Y259" s="597"/>
      <c r="Z259" s="597"/>
      <c r="AA259" s="597"/>
    </row>
    <row r="260" spans="2:27" ht="12" customHeight="1">
      <c r="B260" s="767"/>
      <c r="C260" s="762" t="s">
        <v>3749</v>
      </c>
      <c r="D260" s="762" t="s">
        <v>2384</v>
      </c>
      <c r="E260" s="763" t="s">
        <v>3750</v>
      </c>
      <c r="F260" s="763" t="s">
        <v>439</v>
      </c>
      <c r="G260" s="764" t="s">
        <v>3067</v>
      </c>
      <c r="H260" s="765" t="s">
        <v>3473</v>
      </c>
      <c r="I260" s="681"/>
      <c r="J260" s="614" t="s">
        <v>4025</v>
      </c>
      <c r="K260" s="615"/>
      <c r="L260" s="610"/>
      <c r="M260" s="611"/>
      <c r="N260" s="616" t="s">
        <v>3653</v>
      </c>
      <c r="O260" s="616" t="s">
        <v>898</v>
      </c>
      <c r="P260" s="498" t="s">
        <v>1797</v>
      </c>
      <c r="Q260" s="1361"/>
      <c r="S260" s="597"/>
      <c r="T260" s="597"/>
      <c r="U260" s="597"/>
      <c r="V260" s="597"/>
      <c r="W260" s="597"/>
      <c r="X260" s="597"/>
      <c r="Y260" s="597"/>
      <c r="Z260" s="597"/>
      <c r="AA260" s="597"/>
    </row>
    <row r="261" spans="2:27" ht="12" customHeight="1">
      <c r="B261" s="767"/>
      <c r="C261" s="762" t="s">
        <v>3751</v>
      </c>
      <c r="D261" s="762" t="s">
        <v>2166</v>
      </c>
      <c r="E261" s="763" t="s">
        <v>3752</v>
      </c>
      <c r="F261" s="763" t="s">
        <v>439</v>
      </c>
      <c r="G261" s="764" t="s">
        <v>3803</v>
      </c>
      <c r="H261" s="765" t="s">
        <v>3473</v>
      </c>
      <c r="I261" s="681"/>
      <c r="J261" s="614" t="s">
        <v>3652</v>
      </c>
      <c r="K261" s="615"/>
      <c r="L261" s="610"/>
      <c r="M261" s="611"/>
      <c r="N261" s="616" t="s">
        <v>3655</v>
      </c>
      <c r="O261" s="616" t="s">
        <v>2643</v>
      </c>
      <c r="P261" s="498" t="s">
        <v>1798</v>
      </c>
      <c r="Q261" s="1361"/>
      <c r="S261" s="597"/>
      <c r="T261" s="597"/>
      <c r="U261" s="597"/>
      <c r="V261" s="597"/>
      <c r="W261" s="597"/>
      <c r="X261" s="597"/>
      <c r="Y261" s="597"/>
      <c r="Z261" s="597"/>
      <c r="AA261" s="597"/>
    </row>
    <row r="262" spans="2:27" ht="12" customHeight="1">
      <c r="B262" s="767"/>
      <c r="C262" s="762" t="s">
        <v>3753</v>
      </c>
      <c r="D262" s="762" t="s">
        <v>2384</v>
      </c>
      <c r="E262" s="763" t="s">
        <v>3754</v>
      </c>
      <c r="F262" s="763" t="s">
        <v>439</v>
      </c>
      <c r="G262" s="764" t="s">
        <v>3804</v>
      </c>
      <c r="H262" s="765" t="s">
        <v>3473</v>
      </c>
      <c r="I262" s="681"/>
      <c r="J262" s="614" t="s">
        <v>3654</v>
      </c>
      <c r="K262" s="615"/>
      <c r="L262" s="610"/>
      <c r="M262" s="611"/>
      <c r="N262" s="616" t="s">
        <v>3657</v>
      </c>
      <c r="O262" s="616" t="s">
        <v>2447</v>
      </c>
      <c r="P262" s="498" t="s">
        <v>1799</v>
      </c>
      <c r="Q262" s="1361"/>
      <c r="S262" s="597"/>
      <c r="T262" s="597"/>
      <c r="U262" s="597"/>
      <c r="V262" s="597"/>
      <c r="W262" s="597"/>
      <c r="X262" s="597"/>
      <c r="Y262" s="597"/>
      <c r="Z262" s="597"/>
      <c r="AA262" s="597"/>
    </row>
    <row r="263" spans="2:27" ht="12" customHeight="1">
      <c r="B263" s="767"/>
      <c r="C263" s="762" t="s">
        <v>3755</v>
      </c>
      <c r="D263" s="762" t="s">
        <v>2384</v>
      </c>
      <c r="E263" s="763" t="s">
        <v>3756</v>
      </c>
      <c r="F263" s="763" t="s">
        <v>439</v>
      </c>
      <c r="G263" s="764" t="s">
        <v>3805</v>
      </c>
      <c r="H263" s="765" t="s">
        <v>3473</v>
      </c>
      <c r="I263" s="681"/>
      <c r="J263" s="614" t="s">
        <v>3656</v>
      </c>
      <c r="K263" s="615"/>
      <c r="L263" s="610"/>
      <c r="M263" s="611"/>
      <c r="N263" s="616" t="s">
        <v>3227</v>
      </c>
      <c r="O263" s="616" t="s">
        <v>2056</v>
      </c>
      <c r="P263" s="498" t="s">
        <v>1800</v>
      </c>
      <c r="Q263" s="1361"/>
      <c r="S263" s="597"/>
      <c r="T263" s="597"/>
      <c r="U263" s="597"/>
      <c r="V263" s="597"/>
      <c r="W263" s="597"/>
      <c r="X263" s="597"/>
      <c r="Y263" s="597"/>
      <c r="Z263" s="597"/>
      <c r="AA263" s="597"/>
    </row>
    <row r="264" spans="2:27" ht="12" customHeight="1">
      <c r="B264" s="767"/>
      <c r="C264" s="762" t="s">
        <v>3530</v>
      </c>
      <c r="D264" s="762" t="s">
        <v>2166</v>
      </c>
      <c r="E264" s="766" t="s">
        <v>2151</v>
      </c>
      <c r="F264" s="766" t="s">
        <v>440</v>
      </c>
      <c r="G264" s="764" t="s">
        <v>411</v>
      </c>
      <c r="H264" s="765" t="s">
        <v>3474</v>
      </c>
      <c r="I264" s="682"/>
      <c r="J264" s="614" t="s">
        <v>929</v>
      </c>
      <c r="K264" s="615"/>
      <c r="L264" s="610"/>
      <c r="M264" s="611"/>
      <c r="N264" s="616" t="s">
        <v>930</v>
      </c>
      <c r="O264" s="616" t="s">
        <v>3178</v>
      </c>
      <c r="P264" s="498" t="s">
        <v>1801</v>
      </c>
      <c r="Q264" s="1361"/>
      <c r="S264" s="597"/>
      <c r="T264" s="597"/>
      <c r="U264" s="597"/>
      <c r="V264" s="597"/>
      <c r="W264" s="597"/>
      <c r="X264" s="597"/>
      <c r="Y264" s="597"/>
      <c r="Z264" s="597"/>
      <c r="AA264" s="597"/>
    </row>
    <row r="265" spans="2:27" ht="12" customHeight="1">
      <c r="B265" s="767"/>
      <c r="C265" s="762" t="s">
        <v>3531</v>
      </c>
      <c r="D265" s="762" t="s">
        <v>2166</v>
      </c>
      <c r="E265" s="766" t="s">
        <v>2944</v>
      </c>
      <c r="F265" s="766" t="s">
        <v>440</v>
      </c>
      <c r="G265" s="764" t="s">
        <v>3806</v>
      </c>
      <c r="H265" s="765" t="s">
        <v>3474</v>
      </c>
      <c r="I265" s="682"/>
      <c r="J265" s="614" t="s">
        <v>931</v>
      </c>
      <c r="K265" s="615"/>
      <c r="L265" s="610"/>
      <c r="M265" s="611"/>
      <c r="N265" s="616" t="s">
        <v>2163</v>
      </c>
      <c r="O265" s="616" t="s">
        <v>3176</v>
      </c>
      <c r="P265" s="498" t="s">
        <v>1802</v>
      </c>
      <c r="Q265" s="1361"/>
      <c r="S265" s="597"/>
      <c r="T265" s="597"/>
      <c r="U265" s="597"/>
      <c r="V265" s="597"/>
      <c r="W265" s="597"/>
      <c r="X265" s="597"/>
      <c r="Y265" s="597"/>
      <c r="Z265" s="597"/>
      <c r="AA265" s="597"/>
    </row>
    <row r="266" spans="2:27" ht="12" customHeight="1">
      <c r="B266" s="767"/>
      <c r="C266" s="762" t="s">
        <v>2055</v>
      </c>
      <c r="D266" s="762" t="s">
        <v>2384</v>
      </c>
      <c r="E266" s="763" t="s">
        <v>1582</v>
      </c>
      <c r="F266" s="763" t="s">
        <v>440</v>
      </c>
      <c r="G266" s="764" t="s">
        <v>414</v>
      </c>
      <c r="H266" s="765" t="s">
        <v>3474</v>
      </c>
      <c r="I266" s="681"/>
      <c r="J266" s="614" t="s">
        <v>932</v>
      </c>
      <c r="K266" s="615"/>
      <c r="L266" s="610"/>
      <c r="M266" s="611"/>
      <c r="N266" s="616" t="s">
        <v>934</v>
      </c>
      <c r="O266" s="616" t="s">
        <v>3977</v>
      </c>
      <c r="P266" s="498" t="s">
        <v>1803</v>
      </c>
      <c r="Q266" s="1361"/>
      <c r="S266" s="597"/>
      <c r="T266" s="597"/>
      <c r="U266" s="597"/>
      <c r="V266" s="597"/>
      <c r="W266" s="597"/>
      <c r="X266" s="597"/>
      <c r="Y266" s="597"/>
      <c r="Z266" s="597"/>
      <c r="AA266" s="597"/>
    </row>
    <row r="267" spans="2:27" ht="12" customHeight="1">
      <c r="B267" s="767"/>
      <c r="C267" s="762" t="s">
        <v>2056</v>
      </c>
      <c r="D267" s="762" t="s">
        <v>2384</v>
      </c>
      <c r="E267" s="763" t="s">
        <v>2057</v>
      </c>
      <c r="F267" s="763" t="s">
        <v>439</v>
      </c>
      <c r="G267" s="764" t="s">
        <v>3807</v>
      </c>
      <c r="H267" s="765" t="s">
        <v>3473</v>
      </c>
      <c r="I267" s="681"/>
      <c r="J267" s="614" t="s">
        <v>933</v>
      </c>
      <c r="K267" s="615"/>
      <c r="L267" s="610"/>
      <c r="M267" s="611"/>
      <c r="N267" s="616" t="s">
        <v>1964</v>
      </c>
      <c r="O267" s="616" t="s">
        <v>1706</v>
      </c>
      <c r="P267" s="498" t="s">
        <v>1804</v>
      </c>
      <c r="Q267" s="1361"/>
      <c r="S267" s="597"/>
      <c r="T267" s="597"/>
      <c r="U267" s="597"/>
      <c r="V267" s="597"/>
      <c r="W267" s="597"/>
      <c r="X267" s="597"/>
      <c r="Y267" s="597"/>
      <c r="Z267" s="597"/>
      <c r="AA267" s="597"/>
    </row>
    <row r="268" spans="2:27" ht="12" customHeight="1">
      <c r="B268" s="767"/>
      <c r="C268" s="762" t="s">
        <v>2058</v>
      </c>
      <c r="D268" s="762" t="s">
        <v>2384</v>
      </c>
      <c r="E268" s="766" t="s">
        <v>1407</v>
      </c>
      <c r="F268" s="766" t="s">
        <v>440</v>
      </c>
      <c r="G268" s="764" t="s">
        <v>2423</v>
      </c>
      <c r="H268" s="765" t="s">
        <v>3474</v>
      </c>
      <c r="I268" s="682"/>
      <c r="J268" s="614" t="s">
        <v>1822</v>
      </c>
      <c r="K268" s="615"/>
      <c r="L268" s="610"/>
      <c r="M268" s="611"/>
      <c r="N268" s="616" t="s">
        <v>1966</v>
      </c>
      <c r="O268" s="616" t="s">
        <v>3078</v>
      </c>
      <c r="P268" s="498" t="s">
        <v>1805</v>
      </c>
      <c r="Q268" s="1361"/>
      <c r="S268" s="597"/>
      <c r="T268" s="597"/>
      <c r="U268" s="597"/>
      <c r="V268" s="597"/>
      <c r="W268" s="597"/>
      <c r="X268" s="597"/>
      <c r="Y268" s="597"/>
      <c r="Z268" s="597"/>
      <c r="AA268" s="597"/>
    </row>
    <row r="269" spans="2:27" ht="12" customHeight="1">
      <c r="B269" s="767"/>
      <c r="C269" s="762" t="s">
        <v>2059</v>
      </c>
      <c r="D269" s="762" t="s">
        <v>2384</v>
      </c>
      <c r="E269" s="763" t="s">
        <v>2945</v>
      </c>
      <c r="F269" s="763" t="s">
        <v>440</v>
      </c>
      <c r="G269" s="764" t="s">
        <v>3808</v>
      </c>
      <c r="H269" s="765" t="s">
        <v>3474</v>
      </c>
      <c r="I269" s="681"/>
      <c r="J269" s="614" t="s">
        <v>1965</v>
      </c>
      <c r="K269" s="615"/>
      <c r="L269" s="610"/>
      <c r="M269" s="611"/>
      <c r="N269" s="616" t="s">
        <v>1968</v>
      </c>
      <c r="O269" s="616" t="s">
        <v>3899</v>
      </c>
      <c r="P269" s="498" t="s">
        <v>1806</v>
      </c>
      <c r="Q269" s="1361"/>
      <c r="S269" s="597"/>
      <c r="T269" s="597"/>
      <c r="U269" s="597"/>
      <c r="V269" s="597"/>
      <c r="W269" s="597"/>
      <c r="X269" s="597"/>
      <c r="Y269" s="597"/>
      <c r="Z269" s="597"/>
      <c r="AA269" s="597"/>
    </row>
    <row r="270" spans="2:27" ht="12" customHeight="1">
      <c r="B270" s="767"/>
      <c r="C270" s="762" t="s">
        <v>2060</v>
      </c>
      <c r="D270" s="762" t="s">
        <v>2166</v>
      </c>
      <c r="E270" s="763" t="s">
        <v>2061</v>
      </c>
      <c r="F270" s="763" t="s">
        <v>439</v>
      </c>
      <c r="G270" s="764" t="s">
        <v>515</v>
      </c>
      <c r="H270" s="765" t="s">
        <v>3473</v>
      </c>
      <c r="I270" s="681"/>
      <c r="J270" s="614" t="s">
        <v>1967</v>
      </c>
      <c r="K270" s="615"/>
      <c r="L270" s="610"/>
      <c r="M270" s="611"/>
      <c r="N270" s="616" t="s">
        <v>1970</v>
      </c>
      <c r="O270" s="616" t="s">
        <v>2144</v>
      </c>
      <c r="P270" s="498" t="s">
        <v>1807</v>
      </c>
      <c r="Q270" s="1361"/>
      <c r="S270" s="597"/>
      <c r="T270" s="597"/>
      <c r="U270" s="597"/>
      <c r="V270" s="597"/>
      <c r="W270" s="597"/>
      <c r="X270" s="597"/>
      <c r="Y270" s="597"/>
      <c r="Z270" s="597"/>
      <c r="AA270" s="597"/>
    </row>
    <row r="271" spans="2:27" ht="12" customHeight="1">
      <c r="B271" s="767"/>
      <c r="C271" s="762" t="s">
        <v>2062</v>
      </c>
      <c r="D271" s="762" t="s">
        <v>2384</v>
      </c>
      <c r="E271" s="763" t="s">
        <v>2063</v>
      </c>
      <c r="F271" s="763" t="s">
        <v>440</v>
      </c>
      <c r="G271" s="764" t="s">
        <v>3125</v>
      </c>
      <c r="H271" s="765" t="s">
        <v>3474</v>
      </c>
      <c r="I271" s="681"/>
      <c r="J271" s="614" t="s">
        <v>1969</v>
      </c>
      <c r="K271" s="615"/>
      <c r="L271" s="610"/>
      <c r="M271" s="611"/>
      <c r="N271" s="616" t="s">
        <v>1834</v>
      </c>
      <c r="O271" s="616" t="s">
        <v>3815</v>
      </c>
      <c r="P271" s="498" t="s">
        <v>1808</v>
      </c>
      <c r="Q271" s="1361"/>
      <c r="S271" s="597"/>
      <c r="T271" s="597"/>
      <c r="U271" s="597"/>
      <c r="V271" s="597"/>
      <c r="W271" s="597"/>
      <c r="X271" s="597"/>
      <c r="Y271" s="597"/>
      <c r="Z271" s="597"/>
      <c r="AA271" s="597"/>
    </row>
    <row r="272" spans="2:27" ht="12" customHeight="1">
      <c r="B272" s="767"/>
      <c r="C272" s="762" t="s">
        <v>3811</v>
      </c>
      <c r="D272" s="762" t="s">
        <v>2384</v>
      </c>
      <c r="E272" s="763" t="s">
        <v>1582</v>
      </c>
      <c r="F272" s="763" t="s">
        <v>440</v>
      </c>
      <c r="G272" s="764" t="s">
        <v>414</v>
      </c>
      <c r="H272" s="765" t="s">
        <v>3474</v>
      </c>
      <c r="I272" s="681"/>
      <c r="J272" s="614" t="s">
        <v>1833</v>
      </c>
      <c r="K272" s="615"/>
      <c r="L272" s="610"/>
      <c r="M272" s="611"/>
      <c r="N272" s="616" t="s">
        <v>1505</v>
      </c>
      <c r="O272" s="616" t="s">
        <v>3078</v>
      </c>
      <c r="P272" s="498" t="s">
        <v>1809</v>
      </c>
      <c r="Q272" s="1361"/>
      <c r="S272" s="597"/>
      <c r="T272" s="597"/>
      <c r="U272" s="597"/>
      <c r="V272" s="597"/>
      <c r="W272" s="597"/>
      <c r="X272" s="597"/>
      <c r="Y272" s="597"/>
      <c r="Z272" s="597"/>
      <c r="AA272" s="597"/>
    </row>
    <row r="273" spans="2:27" ht="12" customHeight="1">
      <c r="B273" s="767"/>
      <c r="C273" s="762" t="s">
        <v>3812</v>
      </c>
      <c r="D273" s="762" t="s">
        <v>2142</v>
      </c>
      <c r="E273" s="766" t="s">
        <v>3813</v>
      </c>
      <c r="F273" s="766" t="s">
        <v>439</v>
      </c>
      <c r="G273" s="764" t="s">
        <v>3126</v>
      </c>
      <c r="H273" s="765" t="s">
        <v>3473</v>
      </c>
      <c r="I273" s="682"/>
      <c r="J273" s="614" t="s">
        <v>1504</v>
      </c>
      <c r="K273" s="615"/>
      <c r="L273" s="610"/>
      <c r="M273" s="611"/>
      <c r="N273" s="616" t="s">
        <v>1507</v>
      </c>
      <c r="O273" s="616" t="s">
        <v>2825</v>
      </c>
      <c r="P273" s="498" t="s">
        <v>1810</v>
      </c>
      <c r="Q273" s="1361"/>
      <c r="S273" s="597"/>
      <c r="T273" s="597"/>
      <c r="U273" s="597"/>
      <c r="V273" s="597"/>
      <c r="W273" s="597"/>
      <c r="X273" s="597"/>
      <c r="Y273" s="597"/>
      <c r="Z273" s="597"/>
      <c r="AA273" s="597"/>
    </row>
    <row r="274" spans="2:27" ht="12" customHeight="1">
      <c r="B274" s="767"/>
      <c r="C274" s="762" t="s">
        <v>2151</v>
      </c>
      <c r="D274" s="762" t="s">
        <v>2166</v>
      </c>
      <c r="E274" s="763" t="s">
        <v>3814</v>
      </c>
      <c r="F274" s="763" t="s">
        <v>439</v>
      </c>
      <c r="G274" s="764" t="s">
        <v>3127</v>
      </c>
      <c r="H274" s="765" t="s">
        <v>3473</v>
      </c>
      <c r="I274" s="681"/>
      <c r="J274" s="614" t="s">
        <v>1506</v>
      </c>
      <c r="K274" s="615"/>
      <c r="L274" s="610"/>
      <c r="M274" s="611"/>
      <c r="N274" s="616" t="s">
        <v>2506</v>
      </c>
      <c r="O274" s="616" t="s">
        <v>2145</v>
      </c>
      <c r="P274" s="498" t="s">
        <v>1811</v>
      </c>
      <c r="Q274" s="1361"/>
      <c r="S274" s="597"/>
      <c r="T274" s="597"/>
      <c r="U274" s="597"/>
      <c r="V274" s="597"/>
      <c r="W274" s="597"/>
      <c r="X274" s="597"/>
      <c r="Y274" s="597"/>
      <c r="Z274" s="597"/>
      <c r="AA274" s="597"/>
    </row>
    <row r="275" spans="2:27" ht="12" customHeight="1">
      <c r="B275" s="767"/>
      <c r="C275" s="762" t="s">
        <v>3815</v>
      </c>
      <c r="D275" s="762" t="s">
        <v>2166</v>
      </c>
      <c r="E275" s="763" t="s">
        <v>1125</v>
      </c>
      <c r="F275" s="763" t="s">
        <v>440</v>
      </c>
      <c r="G275" s="764" t="s">
        <v>3139</v>
      </c>
      <c r="H275" s="765" t="s">
        <v>3474</v>
      </c>
      <c r="I275" s="681"/>
      <c r="J275" s="614" t="s">
        <v>1508</v>
      </c>
      <c r="K275" s="615"/>
      <c r="L275" s="610"/>
      <c r="M275" s="611"/>
      <c r="N275" s="616" t="s">
        <v>2509</v>
      </c>
      <c r="O275" s="616" t="s">
        <v>3076</v>
      </c>
      <c r="P275" s="498" t="s">
        <v>1812</v>
      </c>
      <c r="Q275" s="1361"/>
      <c r="S275" s="597"/>
      <c r="T275" s="597"/>
      <c r="U275" s="597"/>
      <c r="V275" s="597"/>
      <c r="W275" s="597"/>
      <c r="X275" s="597"/>
      <c r="Y275" s="597"/>
      <c r="Z275" s="597"/>
      <c r="AA275" s="597"/>
    </row>
    <row r="276" spans="2:27" ht="12" customHeight="1">
      <c r="B276" s="767"/>
      <c r="C276" s="762" t="s">
        <v>3522</v>
      </c>
      <c r="D276" s="762" t="s">
        <v>2166</v>
      </c>
      <c r="E276" s="766" t="s">
        <v>3896</v>
      </c>
      <c r="F276" s="766" t="s">
        <v>440</v>
      </c>
      <c r="G276" s="764" t="s">
        <v>1571</v>
      </c>
      <c r="H276" s="765" t="s">
        <v>3474</v>
      </c>
      <c r="I276" s="682"/>
      <c r="J276" s="614" t="s">
        <v>2507</v>
      </c>
      <c r="K276" s="615"/>
      <c r="L276" s="610"/>
      <c r="M276" s="611"/>
      <c r="N276" s="616" t="s">
        <v>3765</v>
      </c>
      <c r="O276" s="616" t="s">
        <v>522</v>
      </c>
      <c r="P276" s="498" t="s">
        <v>1813</v>
      </c>
      <c r="Q276" s="1361"/>
      <c r="S276" s="597"/>
      <c r="T276" s="597"/>
      <c r="U276" s="597"/>
      <c r="V276" s="597"/>
      <c r="W276" s="597"/>
      <c r="X276" s="597"/>
      <c r="Y276" s="597"/>
      <c r="Z276" s="597"/>
      <c r="AA276" s="597"/>
    </row>
    <row r="277" spans="2:27" ht="12" customHeight="1">
      <c r="B277" s="767"/>
      <c r="C277" s="762" t="s">
        <v>1294</v>
      </c>
      <c r="D277" s="762" t="s">
        <v>2166</v>
      </c>
      <c r="E277" s="766" t="s">
        <v>2942</v>
      </c>
      <c r="F277" s="766" t="s">
        <v>440</v>
      </c>
      <c r="G277" s="764" t="s">
        <v>500</v>
      </c>
      <c r="H277" s="765" t="s">
        <v>3474</v>
      </c>
      <c r="I277" s="682"/>
      <c r="J277" s="614" t="s">
        <v>2508</v>
      </c>
      <c r="K277" s="615"/>
      <c r="L277" s="610"/>
      <c r="M277" s="611"/>
      <c r="N277" s="616" t="s">
        <v>1385</v>
      </c>
      <c r="O277" s="616" t="s">
        <v>2453</v>
      </c>
      <c r="P277" s="498" t="s">
        <v>1814</v>
      </c>
      <c r="Q277" s="1361"/>
      <c r="S277" s="597"/>
      <c r="T277" s="597"/>
      <c r="U277" s="597"/>
      <c r="V277" s="597"/>
      <c r="W277" s="597"/>
      <c r="X277" s="597"/>
      <c r="Y277" s="597"/>
      <c r="Z277" s="597"/>
      <c r="AA277" s="597"/>
    </row>
    <row r="278" spans="2:27" ht="12" customHeight="1">
      <c r="B278" s="767"/>
      <c r="C278" s="762" t="s">
        <v>1295</v>
      </c>
      <c r="D278" s="762" t="s">
        <v>2384</v>
      </c>
      <c r="E278" s="763" t="s">
        <v>3965</v>
      </c>
      <c r="F278" s="763" t="s">
        <v>440</v>
      </c>
      <c r="G278" s="764" t="s">
        <v>413</v>
      </c>
      <c r="H278" s="765" t="s">
        <v>3474</v>
      </c>
      <c r="I278" s="681"/>
      <c r="J278" s="614" t="s">
        <v>3764</v>
      </c>
      <c r="K278" s="615"/>
      <c r="L278" s="610"/>
      <c r="M278" s="611"/>
      <c r="N278" s="616" t="s">
        <v>1115</v>
      </c>
      <c r="O278" s="616" t="s">
        <v>3743</v>
      </c>
      <c r="P278" s="498" t="s">
        <v>1815</v>
      </c>
      <c r="Q278" s="1361"/>
      <c r="S278" s="597"/>
      <c r="T278" s="597"/>
      <c r="U278" s="597"/>
      <c r="V278" s="597"/>
      <c r="W278" s="597"/>
      <c r="X278" s="597"/>
      <c r="Y278" s="597"/>
      <c r="Z278" s="597"/>
      <c r="AA278" s="597"/>
    </row>
    <row r="279" spans="2:27" ht="12" customHeight="1">
      <c r="B279" s="767"/>
      <c r="C279" s="762" t="s">
        <v>1296</v>
      </c>
      <c r="D279" s="762" t="s">
        <v>2166</v>
      </c>
      <c r="E279" s="766" t="s">
        <v>2946</v>
      </c>
      <c r="F279" s="766" t="s">
        <v>440</v>
      </c>
      <c r="G279" s="764" t="s">
        <v>3128</v>
      </c>
      <c r="H279" s="765" t="s">
        <v>3474</v>
      </c>
      <c r="I279" s="682"/>
      <c r="J279" s="614" t="s">
        <v>3766</v>
      </c>
      <c r="K279" s="615"/>
      <c r="L279" s="610"/>
      <c r="M279" s="611"/>
      <c r="N279" s="616" t="s">
        <v>1005</v>
      </c>
      <c r="O279" s="616" t="s">
        <v>3741</v>
      </c>
      <c r="P279" s="498" t="s">
        <v>1816</v>
      </c>
      <c r="Q279" s="1361"/>
      <c r="S279" s="597"/>
      <c r="T279" s="597"/>
      <c r="U279" s="597"/>
      <c r="V279" s="597"/>
      <c r="W279" s="597"/>
      <c r="X279" s="597"/>
      <c r="Y279" s="597"/>
      <c r="Z279" s="597"/>
      <c r="AA279" s="597"/>
    </row>
    <row r="280" spans="2:27" ht="12" customHeight="1">
      <c r="B280" s="767"/>
      <c r="C280" s="762" t="s">
        <v>1704</v>
      </c>
      <c r="D280" s="762" t="s">
        <v>2384</v>
      </c>
      <c r="E280" s="763" t="s">
        <v>1705</v>
      </c>
      <c r="F280" s="763" t="s">
        <v>439</v>
      </c>
      <c r="G280" s="764" t="s">
        <v>3129</v>
      </c>
      <c r="H280" s="765" t="s">
        <v>3473</v>
      </c>
      <c r="I280" s="681"/>
      <c r="J280" s="614" t="s">
        <v>2231</v>
      </c>
      <c r="K280" s="615"/>
      <c r="L280" s="610"/>
      <c r="M280" s="611"/>
      <c r="N280" s="616" t="s">
        <v>1026</v>
      </c>
      <c r="O280" s="616" t="s">
        <v>3225</v>
      </c>
      <c r="P280" s="498" t="s">
        <v>1817</v>
      </c>
      <c r="Q280" s="1361"/>
      <c r="S280" s="597"/>
      <c r="T280" s="597"/>
      <c r="U280" s="597"/>
      <c r="V280" s="597"/>
      <c r="W280" s="597"/>
      <c r="X280" s="597"/>
      <c r="Y280" s="597"/>
      <c r="Z280" s="597"/>
      <c r="AA280" s="597"/>
    </row>
    <row r="281" spans="2:27" ht="12" customHeight="1">
      <c r="B281" s="767"/>
      <c r="C281" s="762" t="s">
        <v>1706</v>
      </c>
      <c r="D281" s="762" t="s">
        <v>2384</v>
      </c>
      <c r="E281" s="763" t="s">
        <v>1707</v>
      </c>
      <c r="F281" s="763" t="s">
        <v>439</v>
      </c>
      <c r="G281" s="764" t="s">
        <v>3130</v>
      </c>
      <c r="H281" s="765" t="s">
        <v>3473</v>
      </c>
      <c r="I281" s="681"/>
      <c r="J281" s="614" t="s">
        <v>1114</v>
      </c>
      <c r="K281" s="615"/>
      <c r="L281" s="610"/>
      <c r="M281" s="611"/>
      <c r="N281" s="616" t="s">
        <v>1028</v>
      </c>
      <c r="O281" s="616" t="s">
        <v>420</v>
      </c>
      <c r="P281" s="498" t="s">
        <v>1818</v>
      </c>
      <c r="Q281" s="1361"/>
      <c r="S281" s="597"/>
      <c r="T281" s="597"/>
      <c r="U281" s="597"/>
      <c r="V281" s="597"/>
      <c r="W281" s="597"/>
      <c r="X281" s="597"/>
      <c r="Y281" s="597"/>
      <c r="Z281" s="597"/>
      <c r="AA281" s="597"/>
    </row>
    <row r="282" spans="2:27" ht="12" customHeight="1">
      <c r="B282" s="767"/>
      <c r="C282" s="762" t="s">
        <v>1708</v>
      </c>
      <c r="D282" s="762" t="s">
        <v>2166</v>
      </c>
      <c r="E282" s="766" t="s">
        <v>1124</v>
      </c>
      <c r="F282" s="766" t="s">
        <v>440</v>
      </c>
      <c r="G282" s="764" t="s">
        <v>3131</v>
      </c>
      <c r="H282" s="765" t="s">
        <v>3474</v>
      </c>
      <c r="I282" s="682"/>
      <c r="J282" s="614" t="s">
        <v>1004</v>
      </c>
      <c r="K282" s="615"/>
      <c r="L282" s="610"/>
      <c r="M282" s="611"/>
      <c r="N282" s="616" t="s">
        <v>3120</v>
      </c>
      <c r="O282" s="616" t="s">
        <v>2379</v>
      </c>
      <c r="P282" s="498" t="s">
        <v>1819</v>
      </c>
      <c r="Q282" s="1361"/>
      <c r="S282" s="597"/>
      <c r="T282" s="597"/>
      <c r="U282" s="597"/>
      <c r="V282" s="597"/>
      <c r="W282" s="597"/>
      <c r="X282" s="597"/>
      <c r="Y282" s="597"/>
      <c r="Z282" s="597"/>
      <c r="AA282" s="597"/>
    </row>
    <row r="283" spans="2:27" ht="12" customHeight="1">
      <c r="B283" s="767"/>
      <c r="C283" s="762" t="s">
        <v>3820</v>
      </c>
      <c r="D283" s="762" t="s">
        <v>2384</v>
      </c>
      <c r="E283" s="763" t="s">
        <v>3821</v>
      </c>
      <c r="F283" s="763" t="s">
        <v>439</v>
      </c>
      <c r="G283" s="764" t="s">
        <v>2998</v>
      </c>
      <c r="H283" s="765" t="s">
        <v>3473</v>
      </c>
      <c r="I283" s="681"/>
      <c r="J283" s="614" t="s">
        <v>1006</v>
      </c>
      <c r="K283" s="615"/>
      <c r="L283" s="610"/>
      <c r="M283" s="611"/>
      <c r="N283" s="498" t="s">
        <v>469</v>
      </c>
      <c r="O283" s="498" t="s">
        <v>1176</v>
      </c>
      <c r="P283" s="1363" t="s">
        <v>967</v>
      </c>
      <c r="Q283" s="1361"/>
      <c r="S283" s="597"/>
      <c r="T283" s="597"/>
      <c r="U283" s="597"/>
      <c r="V283" s="597"/>
      <c r="W283" s="597"/>
      <c r="X283" s="597"/>
      <c r="Y283" s="597"/>
      <c r="Z283" s="597"/>
      <c r="AA283" s="597"/>
    </row>
    <row r="284" spans="2:27" ht="12" customHeight="1">
      <c r="B284" s="767"/>
      <c r="C284" s="762" t="s">
        <v>418</v>
      </c>
      <c r="D284" s="762" t="s">
        <v>2166</v>
      </c>
      <c r="E284" s="766" t="s">
        <v>419</v>
      </c>
      <c r="F284" s="766" t="s">
        <v>439</v>
      </c>
      <c r="G284" s="764" t="s">
        <v>2999</v>
      </c>
      <c r="H284" s="765" t="s">
        <v>3473</v>
      </c>
      <c r="I284" s="682"/>
      <c r="J284" s="614" t="s">
        <v>1027</v>
      </c>
      <c r="K284" s="615"/>
      <c r="L284" s="610"/>
      <c r="M284" s="611"/>
      <c r="N284" s="616" t="s">
        <v>1030</v>
      </c>
      <c r="O284" s="616" t="s">
        <v>3836</v>
      </c>
      <c r="P284" s="498" t="s">
        <v>1820</v>
      </c>
      <c r="Q284" s="1361"/>
      <c r="S284" s="597"/>
      <c r="T284" s="597"/>
      <c r="U284" s="597"/>
      <c r="V284" s="597"/>
      <c r="W284" s="597"/>
      <c r="X284" s="597"/>
      <c r="Y284" s="597"/>
      <c r="Z284" s="597"/>
      <c r="AA284" s="597"/>
    </row>
    <row r="285" spans="2:27" ht="12" customHeight="1">
      <c r="B285" s="767"/>
      <c r="C285" s="762" t="s">
        <v>420</v>
      </c>
      <c r="D285" s="762" t="s">
        <v>2142</v>
      </c>
      <c r="E285" s="763" t="s">
        <v>421</v>
      </c>
      <c r="F285" s="763" t="s">
        <v>440</v>
      </c>
      <c r="G285" s="764" t="s">
        <v>1246</v>
      </c>
      <c r="H285" s="765" t="s">
        <v>3474</v>
      </c>
      <c r="I285" s="681"/>
      <c r="J285" s="614" t="s">
        <v>1029</v>
      </c>
      <c r="K285" s="615"/>
      <c r="L285" s="610"/>
      <c r="M285" s="611"/>
      <c r="N285" s="616" t="s">
        <v>1032</v>
      </c>
      <c r="O285" s="616" t="s">
        <v>3836</v>
      </c>
      <c r="P285" s="498" t="s">
        <v>1821</v>
      </c>
      <c r="Q285" s="1361"/>
      <c r="S285" s="597"/>
      <c r="T285" s="597"/>
      <c r="U285" s="597"/>
      <c r="V285" s="597"/>
      <c r="W285" s="597"/>
      <c r="X285" s="597"/>
      <c r="Y285" s="597"/>
      <c r="Z285" s="597"/>
      <c r="AA285" s="597"/>
    </row>
    <row r="286" spans="2:27" ht="12" customHeight="1">
      <c r="B286" s="767"/>
      <c r="C286" s="762" t="s">
        <v>422</v>
      </c>
      <c r="D286" s="762" t="s">
        <v>2166</v>
      </c>
      <c r="E286" s="766" t="s">
        <v>3896</v>
      </c>
      <c r="F286" s="766" t="s">
        <v>440</v>
      </c>
      <c r="G286" s="764" t="s">
        <v>1571</v>
      </c>
      <c r="H286" s="765" t="s">
        <v>3474</v>
      </c>
      <c r="I286" s="682"/>
      <c r="J286" s="614" t="s">
        <v>1031</v>
      </c>
      <c r="K286" s="615"/>
      <c r="L286" s="610"/>
      <c r="M286" s="611"/>
      <c r="N286" s="616" t="s">
        <v>3185</v>
      </c>
      <c r="O286" s="616" t="s">
        <v>1176</v>
      </c>
      <c r="P286" s="498" t="s">
        <v>1656</v>
      </c>
      <c r="Q286" s="1361"/>
      <c r="S286" s="597"/>
      <c r="T286" s="597"/>
      <c r="U286" s="597"/>
      <c r="V286" s="597"/>
      <c r="W286" s="597"/>
      <c r="X286" s="597"/>
      <c r="Y286" s="597"/>
      <c r="Z286" s="597"/>
      <c r="AA286" s="597"/>
    </row>
    <row r="287" spans="2:27" ht="12" customHeight="1">
      <c r="B287" s="767"/>
      <c r="C287" s="762" t="s">
        <v>423</v>
      </c>
      <c r="D287" s="762" t="s">
        <v>2166</v>
      </c>
      <c r="E287" s="766" t="s">
        <v>2941</v>
      </c>
      <c r="F287" s="766" t="s">
        <v>440</v>
      </c>
      <c r="G287" s="764" t="s">
        <v>408</v>
      </c>
      <c r="H287" s="765" t="s">
        <v>3474</v>
      </c>
      <c r="I287" s="682"/>
      <c r="J287" s="614" t="s">
        <v>3184</v>
      </c>
      <c r="K287" s="615"/>
      <c r="L287" s="610"/>
      <c r="M287" s="611"/>
      <c r="N287" s="616" t="s">
        <v>863</v>
      </c>
      <c r="O287" s="616" t="s">
        <v>3995</v>
      </c>
      <c r="P287" s="498" t="s">
        <v>1657</v>
      </c>
      <c r="Q287" s="1361"/>
      <c r="S287" s="597"/>
      <c r="T287" s="597"/>
      <c r="U287" s="597"/>
      <c r="V287" s="597"/>
      <c r="W287" s="597"/>
      <c r="X287" s="597"/>
      <c r="Y287" s="597"/>
      <c r="Z287" s="597"/>
      <c r="AA287" s="597"/>
    </row>
    <row r="288" spans="2:27" ht="12" customHeight="1">
      <c r="B288" s="767"/>
      <c r="C288" s="762" t="s">
        <v>424</v>
      </c>
      <c r="D288" s="762" t="s">
        <v>2166</v>
      </c>
      <c r="E288" s="763" t="s">
        <v>1125</v>
      </c>
      <c r="F288" s="763" t="s">
        <v>440</v>
      </c>
      <c r="G288" s="764" t="s">
        <v>3139</v>
      </c>
      <c r="H288" s="765" t="s">
        <v>3474</v>
      </c>
      <c r="I288" s="681"/>
      <c r="J288" s="614" t="s">
        <v>861</v>
      </c>
      <c r="K288" s="615"/>
      <c r="L288" s="610"/>
      <c r="M288" s="611"/>
      <c r="N288" s="616" t="s">
        <v>2322</v>
      </c>
      <c r="O288" s="616" t="s">
        <v>3225</v>
      </c>
      <c r="P288" s="498" t="s">
        <v>1823</v>
      </c>
      <c r="Q288" s="1361"/>
      <c r="S288" s="597"/>
      <c r="T288" s="597"/>
      <c r="U288" s="597"/>
      <c r="V288" s="597"/>
      <c r="W288" s="597"/>
      <c r="X288" s="597"/>
      <c r="Y288" s="597"/>
      <c r="Z288" s="597"/>
      <c r="AA288" s="597"/>
    </row>
    <row r="289" spans="2:27" ht="12" customHeight="1">
      <c r="B289" s="767"/>
      <c r="C289" s="762" t="s">
        <v>492</v>
      </c>
      <c r="D289" s="762" t="s">
        <v>2166</v>
      </c>
      <c r="E289" s="763" t="s">
        <v>1125</v>
      </c>
      <c r="F289" s="763" t="s">
        <v>440</v>
      </c>
      <c r="G289" s="764" t="s">
        <v>3139</v>
      </c>
      <c r="H289" s="765" t="s">
        <v>3474</v>
      </c>
      <c r="I289" s="681"/>
      <c r="J289" s="614" t="s">
        <v>862</v>
      </c>
      <c r="K289" s="615"/>
      <c r="L289" s="610"/>
      <c r="M289" s="611"/>
      <c r="N289" s="616" t="s">
        <v>2324</v>
      </c>
      <c r="O289" s="616" t="s">
        <v>1000</v>
      </c>
      <c r="P289" s="498" t="s">
        <v>1824</v>
      </c>
      <c r="Q289" s="1361"/>
      <c r="S289" s="597"/>
      <c r="T289" s="597"/>
      <c r="U289" s="597"/>
      <c r="V289" s="597"/>
      <c r="W289" s="597"/>
      <c r="X289" s="597"/>
      <c r="Y289" s="597"/>
      <c r="Z289" s="597"/>
      <c r="AA289" s="597"/>
    </row>
    <row r="290" spans="2:27" ht="12" customHeight="1">
      <c r="B290" s="767"/>
      <c r="C290" s="762" t="s">
        <v>493</v>
      </c>
      <c r="D290" s="762" t="s">
        <v>2142</v>
      </c>
      <c r="E290" s="766" t="s">
        <v>2941</v>
      </c>
      <c r="F290" s="766" t="s">
        <v>440</v>
      </c>
      <c r="G290" s="764" t="s">
        <v>408</v>
      </c>
      <c r="H290" s="765" t="s">
        <v>3474</v>
      </c>
      <c r="I290" s="682"/>
      <c r="J290" s="614" t="s">
        <v>2321</v>
      </c>
      <c r="K290" s="615"/>
      <c r="L290" s="610"/>
      <c r="M290" s="611"/>
      <c r="N290" s="616" t="s">
        <v>790</v>
      </c>
      <c r="O290" s="616" t="s">
        <v>2461</v>
      </c>
      <c r="P290" s="498" t="s">
        <v>1825</v>
      </c>
      <c r="Q290" s="1361"/>
      <c r="S290" s="597"/>
      <c r="T290" s="597"/>
      <c r="U290" s="597"/>
      <c r="V290" s="597"/>
      <c r="W290" s="597"/>
      <c r="X290" s="597"/>
      <c r="Y290" s="597"/>
      <c r="Z290" s="597"/>
      <c r="AA290" s="597"/>
    </row>
    <row r="291" spans="2:27" ht="12" customHeight="1">
      <c r="B291" s="767"/>
      <c r="C291" s="762" t="s">
        <v>2447</v>
      </c>
      <c r="D291" s="762" t="s">
        <v>2166</v>
      </c>
      <c r="E291" s="766" t="s">
        <v>2448</v>
      </c>
      <c r="F291" s="766" t="s">
        <v>439</v>
      </c>
      <c r="G291" s="764" t="s">
        <v>1247</v>
      </c>
      <c r="H291" s="765" t="s">
        <v>3473</v>
      </c>
      <c r="I291" s="682"/>
      <c r="J291" s="614" t="s">
        <v>2323</v>
      </c>
      <c r="K291" s="615"/>
      <c r="L291" s="610"/>
      <c r="M291" s="611"/>
      <c r="N291" s="616" t="s">
        <v>2218</v>
      </c>
      <c r="O291" s="616" t="s">
        <v>3734</v>
      </c>
      <c r="P291" s="498" t="s">
        <v>1826</v>
      </c>
      <c r="Q291" s="1361"/>
      <c r="S291" s="597"/>
      <c r="T291" s="597"/>
      <c r="U291" s="597"/>
      <c r="V291" s="597"/>
      <c r="W291" s="597"/>
      <c r="X291" s="597"/>
      <c r="Y291" s="597"/>
      <c r="Z291" s="597"/>
      <c r="AA291" s="597"/>
    </row>
    <row r="292" spans="2:27" ht="12" customHeight="1">
      <c r="B292" s="767"/>
      <c r="C292" s="762" t="s">
        <v>2449</v>
      </c>
      <c r="D292" s="762" t="s">
        <v>2142</v>
      </c>
      <c r="E292" s="766" t="s">
        <v>2941</v>
      </c>
      <c r="F292" s="766" t="s">
        <v>440</v>
      </c>
      <c r="G292" s="764" t="s">
        <v>408</v>
      </c>
      <c r="H292" s="765" t="s">
        <v>3474</v>
      </c>
      <c r="I292" s="682"/>
      <c r="J292" s="614" t="s">
        <v>2325</v>
      </c>
      <c r="K292" s="615"/>
      <c r="L292" s="610"/>
      <c r="M292" s="611"/>
      <c r="N292" s="616" t="s">
        <v>570</v>
      </c>
      <c r="O292" s="616" t="s">
        <v>3987</v>
      </c>
      <c r="P292" s="498" t="s">
        <v>1827</v>
      </c>
      <c r="Q292" s="1361"/>
      <c r="S292" s="597"/>
      <c r="T292" s="597"/>
      <c r="U292" s="597"/>
      <c r="V292" s="597"/>
      <c r="W292" s="597"/>
      <c r="X292" s="597"/>
      <c r="Y292" s="597"/>
      <c r="Z292" s="597"/>
      <c r="AA292" s="597"/>
    </row>
    <row r="293" spans="2:27" ht="12" customHeight="1">
      <c r="B293" s="767"/>
      <c r="C293" s="762" t="s">
        <v>2450</v>
      </c>
      <c r="D293" s="762" t="s">
        <v>2384</v>
      </c>
      <c r="E293" s="763" t="s">
        <v>2451</v>
      </c>
      <c r="F293" s="763" t="s">
        <v>439</v>
      </c>
      <c r="G293" s="764" t="s">
        <v>1248</v>
      </c>
      <c r="H293" s="765" t="s">
        <v>3473</v>
      </c>
      <c r="I293" s="681"/>
      <c r="J293" s="614" t="s">
        <v>2217</v>
      </c>
      <c r="K293" s="615"/>
      <c r="L293" s="610"/>
      <c r="M293" s="611"/>
      <c r="N293" s="616" t="s">
        <v>4048</v>
      </c>
      <c r="O293" s="616" t="s">
        <v>3833</v>
      </c>
      <c r="P293" s="498" t="s">
        <v>1828</v>
      </c>
      <c r="Q293" s="1361"/>
      <c r="S293" s="597"/>
      <c r="T293" s="597"/>
      <c r="U293" s="597"/>
      <c r="V293" s="597"/>
      <c r="W293" s="597"/>
      <c r="X293" s="597"/>
      <c r="Y293" s="597"/>
      <c r="Z293" s="597"/>
      <c r="AA293" s="597"/>
    </row>
    <row r="294" spans="2:27" ht="12" customHeight="1">
      <c r="B294" s="767"/>
      <c r="C294" s="762" t="s">
        <v>2452</v>
      </c>
      <c r="D294" s="762" t="s">
        <v>2166</v>
      </c>
      <c r="E294" s="766" t="s">
        <v>2941</v>
      </c>
      <c r="F294" s="766" t="s">
        <v>440</v>
      </c>
      <c r="G294" s="764" t="s">
        <v>408</v>
      </c>
      <c r="H294" s="765" t="s">
        <v>3474</v>
      </c>
      <c r="I294" s="682"/>
      <c r="J294" s="614" t="s">
        <v>2330</v>
      </c>
      <c r="K294" s="615"/>
      <c r="L294" s="610"/>
      <c r="M294" s="611"/>
      <c r="N294" s="616" t="s">
        <v>4052</v>
      </c>
      <c r="O294" s="616" t="s">
        <v>1024</v>
      </c>
      <c r="P294" s="498" t="s">
        <v>1829</v>
      </c>
      <c r="Q294" s="597"/>
      <c r="S294" s="597"/>
      <c r="T294" s="597"/>
      <c r="U294" s="597"/>
      <c r="V294" s="597"/>
      <c r="W294" s="597"/>
      <c r="X294" s="597"/>
      <c r="Y294" s="597"/>
      <c r="Z294" s="597"/>
      <c r="AA294" s="597"/>
    </row>
    <row r="295" spans="2:27" ht="12" customHeight="1">
      <c r="B295" s="767"/>
      <c r="C295" s="762" t="s">
        <v>2453</v>
      </c>
      <c r="D295" s="762" t="s">
        <v>2142</v>
      </c>
      <c r="E295" s="763" t="s">
        <v>2454</v>
      </c>
      <c r="F295" s="763" t="s">
        <v>439</v>
      </c>
      <c r="G295" s="764" t="s">
        <v>1249</v>
      </c>
      <c r="H295" s="765" t="s">
        <v>3473</v>
      </c>
      <c r="I295" s="681"/>
      <c r="J295" s="614" t="s">
        <v>480</v>
      </c>
      <c r="K295" s="615"/>
      <c r="L295" s="610"/>
      <c r="M295" s="611"/>
      <c r="N295" s="616" t="s">
        <v>4054</v>
      </c>
      <c r="O295" s="616" t="s">
        <v>2152</v>
      </c>
      <c r="P295" s="498" t="s">
        <v>1830</v>
      </c>
      <c r="Q295" s="1361"/>
      <c r="S295" s="597"/>
      <c r="T295" s="597"/>
      <c r="U295" s="597"/>
      <c r="V295" s="597"/>
      <c r="W295" s="597"/>
      <c r="X295" s="597"/>
      <c r="Y295" s="597"/>
      <c r="Z295" s="597"/>
      <c r="AA295" s="597"/>
    </row>
    <row r="296" spans="2:27" ht="12" customHeight="1">
      <c r="B296" s="767"/>
      <c r="C296" s="762" t="s">
        <v>2455</v>
      </c>
      <c r="D296" s="762" t="s">
        <v>2384</v>
      </c>
      <c r="E296" s="766" t="s">
        <v>2456</v>
      </c>
      <c r="F296" s="766" t="s">
        <v>439</v>
      </c>
      <c r="G296" s="764" t="s">
        <v>1250</v>
      </c>
      <c r="H296" s="765" t="s">
        <v>3473</v>
      </c>
      <c r="I296" s="682"/>
      <c r="J296" s="614" t="s">
        <v>4049</v>
      </c>
      <c r="K296" s="615"/>
      <c r="L296" s="610"/>
      <c r="M296" s="611"/>
      <c r="N296" s="616" t="s">
        <v>2289</v>
      </c>
      <c r="O296" s="616" t="s">
        <v>1244</v>
      </c>
      <c r="P296" s="498" t="s">
        <v>1831</v>
      </c>
      <c r="Q296" s="1361"/>
      <c r="S296" s="597"/>
      <c r="T296" s="597"/>
      <c r="U296" s="597"/>
      <c r="V296" s="597"/>
      <c r="W296" s="597"/>
      <c r="X296" s="597"/>
      <c r="Y296" s="597"/>
      <c r="Z296" s="597"/>
      <c r="AA296" s="597"/>
    </row>
    <row r="297" spans="2:27" ht="12" customHeight="1">
      <c r="B297" s="767"/>
      <c r="C297" s="762" t="s">
        <v>2457</v>
      </c>
      <c r="D297" s="762" t="s">
        <v>2166</v>
      </c>
      <c r="E297" s="766" t="s">
        <v>2458</v>
      </c>
      <c r="F297" s="766" t="s">
        <v>439</v>
      </c>
      <c r="G297" s="764" t="s">
        <v>1251</v>
      </c>
      <c r="H297" s="765" t="s">
        <v>3473</v>
      </c>
      <c r="I297" s="682"/>
      <c r="J297" s="614" t="s">
        <v>4050</v>
      </c>
      <c r="K297" s="615"/>
      <c r="L297" s="610"/>
      <c r="M297" s="611"/>
      <c r="N297" s="616" t="s">
        <v>2291</v>
      </c>
      <c r="O297" s="616" t="s">
        <v>3815</v>
      </c>
      <c r="P297" s="498" t="s">
        <v>1832</v>
      </c>
      <c r="Q297" s="1361"/>
      <c r="S297" s="597"/>
      <c r="T297" s="597"/>
      <c r="U297" s="597"/>
      <c r="V297" s="597"/>
      <c r="W297" s="597"/>
      <c r="X297" s="597"/>
      <c r="Y297" s="597"/>
      <c r="Z297" s="597"/>
      <c r="AA297" s="597"/>
    </row>
    <row r="298" spans="2:27" ht="12" customHeight="1">
      <c r="B298" s="767"/>
      <c r="C298" s="762" t="s">
        <v>2459</v>
      </c>
      <c r="D298" s="762" t="s">
        <v>2384</v>
      </c>
      <c r="E298" s="763" t="s">
        <v>2460</v>
      </c>
      <c r="F298" s="763" t="s">
        <v>439</v>
      </c>
      <c r="G298" s="764" t="s">
        <v>1410</v>
      </c>
      <c r="H298" s="765" t="s">
        <v>3473</v>
      </c>
      <c r="I298" s="681"/>
      <c r="J298" s="614" t="s">
        <v>4051</v>
      </c>
      <c r="K298" s="615"/>
      <c r="L298" s="610"/>
      <c r="M298" s="611"/>
      <c r="N298" s="616" t="s">
        <v>2293</v>
      </c>
      <c r="O298" s="616" t="s">
        <v>2463</v>
      </c>
      <c r="P298" s="1362" t="s">
        <v>2846</v>
      </c>
      <c r="Q298" s="597"/>
      <c r="S298" s="597"/>
      <c r="T298" s="597"/>
      <c r="U298" s="597"/>
      <c r="V298" s="597"/>
      <c r="W298" s="597"/>
      <c r="X298" s="597"/>
      <c r="Y298" s="597"/>
      <c r="Z298" s="597"/>
      <c r="AA298" s="597"/>
    </row>
    <row r="299" spans="2:27" ht="12" customHeight="1">
      <c r="B299" s="767"/>
      <c r="C299" s="762" t="s">
        <v>2461</v>
      </c>
      <c r="D299" s="762" t="s">
        <v>2142</v>
      </c>
      <c r="E299" s="763" t="s">
        <v>2462</v>
      </c>
      <c r="F299" s="763" t="s">
        <v>439</v>
      </c>
      <c r="G299" s="764" t="s">
        <v>1411</v>
      </c>
      <c r="H299" s="765" t="s">
        <v>3473</v>
      </c>
      <c r="I299" s="681"/>
      <c r="J299" s="614" t="s">
        <v>4053</v>
      </c>
      <c r="K299" s="615"/>
      <c r="L299" s="610"/>
      <c r="M299" s="611"/>
      <c r="N299" s="616" t="s">
        <v>2295</v>
      </c>
      <c r="O299" s="616" t="s">
        <v>2379</v>
      </c>
      <c r="P299" s="498" t="s">
        <v>1663</v>
      </c>
      <c r="Q299" s="1361"/>
      <c r="S299" s="597"/>
      <c r="T299" s="597"/>
      <c r="U299" s="597"/>
      <c r="V299" s="597"/>
      <c r="W299" s="597"/>
      <c r="X299" s="597"/>
      <c r="Y299" s="597"/>
      <c r="Z299" s="597"/>
      <c r="AA299" s="597"/>
    </row>
    <row r="300" spans="2:27" ht="12" customHeight="1">
      <c r="B300" s="767"/>
      <c r="C300" s="762" t="s">
        <v>2463</v>
      </c>
      <c r="D300" s="762" t="s">
        <v>2384</v>
      </c>
      <c r="E300" s="763" t="s">
        <v>2464</v>
      </c>
      <c r="F300" s="763" t="s">
        <v>439</v>
      </c>
      <c r="G300" s="764" t="s">
        <v>1412</v>
      </c>
      <c r="H300" s="765" t="s">
        <v>3473</v>
      </c>
      <c r="I300" s="681"/>
      <c r="J300" s="614" t="s">
        <v>2288</v>
      </c>
      <c r="K300" s="615"/>
      <c r="L300" s="610"/>
      <c r="M300" s="611"/>
      <c r="N300" s="616" t="s">
        <v>2297</v>
      </c>
      <c r="O300" s="616" t="s">
        <v>1024</v>
      </c>
      <c r="P300" s="498" t="s">
        <v>1664</v>
      </c>
      <c r="Q300" s="1361"/>
      <c r="S300" s="597"/>
      <c r="T300" s="597"/>
      <c r="U300" s="597"/>
      <c r="V300" s="597"/>
      <c r="W300" s="597"/>
      <c r="X300" s="597"/>
      <c r="Y300" s="597"/>
      <c r="Z300" s="597"/>
      <c r="AA300" s="597"/>
    </row>
    <row r="301" spans="2:27" ht="12" customHeight="1">
      <c r="B301" s="767"/>
      <c r="C301" s="762" t="s">
        <v>2465</v>
      </c>
      <c r="D301" s="762" t="s">
        <v>2166</v>
      </c>
      <c r="E301" s="766" t="s">
        <v>2942</v>
      </c>
      <c r="F301" s="766" t="s">
        <v>440</v>
      </c>
      <c r="G301" s="764" t="s">
        <v>500</v>
      </c>
      <c r="H301" s="765" t="s">
        <v>3474</v>
      </c>
      <c r="I301" s="682"/>
      <c r="J301" s="614" t="s">
        <v>2290</v>
      </c>
      <c r="K301" s="615"/>
      <c r="L301" s="610"/>
      <c r="M301" s="611"/>
      <c r="N301" s="616" t="s">
        <v>670</v>
      </c>
      <c r="O301" s="616" t="s">
        <v>1704</v>
      </c>
      <c r="P301" s="498" t="s">
        <v>1665</v>
      </c>
      <c r="Q301" s="1361"/>
      <c r="S301" s="597"/>
      <c r="T301" s="597"/>
      <c r="U301" s="597"/>
      <c r="V301" s="597"/>
      <c r="W301" s="597"/>
      <c r="X301" s="597"/>
      <c r="Y301" s="597"/>
      <c r="Z301" s="597"/>
      <c r="AA301" s="597"/>
    </row>
    <row r="302" spans="2:27" ht="12" customHeight="1">
      <c r="B302" s="767"/>
      <c r="C302" s="762" t="s">
        <v>2466</v>
      </c>
      <c r="D302" s="762" t="s">
        <v>2166</v>
      </c>
      <c r="E302" s="766" t="s">
        <v>2941</v>
      </c>
      <c r="F302" s="766" t="s">
        <v>440</v>
      </c>
      <c r="G302" s="764" t="s">
        <v>408</v>
      </c>
      <c r="H302" s="765" t="s">
        <v>3474</v>
      </c>
      <c r="I302" s="682"/>
      <c r="J302" s="614" t="s">
        <v>2292</v>
      </c>
      <c r="K302" s="615"/>
      <c r="L302" s="610"/>
      <c r="M302" s="611"/>
      <c r="N302" s="616" t="s">
        <v>3896</v>
      </c>
      <c r="O302" s="616" t="s">
        <v>422</v>
      </c>
      <c r="P302" s="1362" t="s">
        <v>2846</v>
      </c>
      <c r="Q302" s="597"/>
      <c r="S302" s="597"/>
      <c r="T302" s="597"/>
      <c r="U302" s="597"/>
      <c r="V302" s="597"/>
      <c r="W302" s="597"/>
      <c r="X302" s="597"/>
      <c r="Y302" s="597"/>
      <c r="Z302" s="597"/>
      <c r="AA302" s="597"/>
    </row>
    <row r="303" spans="2:27" ht="12" customHeight="1">
      <c r="B303" s="767"/>
      <c r="C303" s="762" t="s">
        <v>2467</v>
      </c>
      <c r="D303" s="762" t="s">
        <v>2166</v>
      </c>
      <c r="E303" s="763" t="s">
        <v>1008</v>
      </c>
      <c r="F303" s="763" t="s">
        <v>439</v>
      </c>
      <c r="G303" s="764" t="s">
        <v>1413</v>
      </c>
      <c r="H303" s="765" t="s">
        <v>3473</v>
      </c>
      <c r="I303" s="681"/>
      <c r="J303" s="614" t="s">
        <v>2294</v>
      </c>
      <c r="K303" s="615"/>
      <c r="L303" s="610"/>
      <c r="M303" s="611"/>
      <c r="N303" s="616" t="s">
        <v>2660</v>
      </c>
      <c r="O303" s="616" t="s">
        <v>3815</v>
      </c>
      <c r="P303" s="498" t="s">
        <v>1666</v>
      </c>
      <c r="Q303" s="1361"/>
      <c r="S303" s="597"/>
      <c r="T303" s="597"/>
      <c r="U303" s="597"/>
      <c r="V303" s="597"/>
      <c r="W303" s="597"/>
      <c r="X303" s="597"/>
      <c r="Y303" s="597"/>
      <c r="Z303" s="597"/>
      <c r="AA303" s="597"/>
    </row>
    <row r="304" spans="2:27" ht="12" customHeight="1">
      <c r="B304" s="767"/>
      <c r="C304" s="762" t="s">
        <v>1009</v>
      </c>
      <c r="D304" s="762" t="s">
        <v>2384</v>
      </c>
      <c r="E304" s="763" t="s">
        <v>1010</v>
      </c>
      <c r="F304" s="763" t="s">
        <v>439</v>
      </c>
      <c r="G304" s="764" t="s">
        <v>1414</v>
      </c>
      <c r="H304" s="765" t="s">
        <v>3473</v>
      </c>
      <c r="I304" s="681"/>
      <c r="J304" s="614" t="s">
        <v>2296</v>
      </c>
      <c r="K304" s="615"/>
      <c r="L304" s="610"/>
      <c r="M304" s="611"/>
      <c r="N304" s="616" t="s">
        <v>2786</v>
      </c>
      <c r="O304" s="616" t="s">
        <v>3746</v>
      </c>
      <c r="P304" s="498" t="s">
        <v>1667</v>
      </c>
      <c r="Q304" s="1361"/>
      <c r="S304" s="597"/>
      <c r="T304" s="597"/>
      <c r="U304" s="597"/>
      <c r="V304" s="597"/>
      <c r="W304" s="597"/>
      <c r="X304" s="597"/>
      <c r="Y304" s="597"/>
      <c r="Z304" s="597"/>
      <c r="AA304" s="597"/>
    </row>
    <row r="305" spans="2:27" ht="12" customHeight="1">
      <c r="B305" s="767"/>
      <c r="C305" s="762" t="s">
        <v>1884</v>
      </c>
      <c r="D305" s="762" t="s">
        <v>1884</v>
      </c>
      <c r="E305" s="762" t="s">
        <v>1884</v>
      </c>
      <c r="F305" s="763"/>
      <c r="G305" s="764"/>
      <c r="H305" s="765"/>
      <c r="I305" s="682"/>
      <c r="J305" s="614" t="s">
        <v>2298</v>
      </c>
      <c r="K305" s="615"/>
      <c r="L305" s="610"/>
      <c r="M305" s="611"/>
      <c r="N305" s="616" t="s">
        <v>2788</v>
      </c>
      <c r="O305" s="616" t="s">
        <v>2452</v>
      </c>
      <c r="P305" s="498" t="s">
        <v>1836</v>
      </c>
      <c r="Q305" s="597"/>
      <c r="S305" s="597"/>
      <c r="T305" s="597"/>
      <c r="U305" s="597"/>
      <c r="V305" s="597"/>
      <c r="W305" s="597"/>
      <c r="X305" s="597"/>
      <c r="Y305" s="597"/>
      <c r="Z305" s="597"/>
      <c r="AA305" s="597"/>
    </row>
    <row r="306" spans="2:27" ht="12" customHeight="1">
      <c r="B306" s="767"/>
      <c r="C306" s="762" t="s">
        <v>1011</v>
      </c>
      <c r="D306" s="762" t="s">
        <v>2384</v>
      </c>
      <c r="E306" s="766" t="s">
        <v>1012</v>
      </c>
      <c r="F306" s="763" t="s">
        <v>439</v>
      </c>
      <c r="G306" s="764" t="s">
        <v>3479</v>
      </c>
      <c r="H306" s="765" t="s">
        <v>3473</v>
      </c>
      <c r="I306" s="682"/>
      <c r="J306" s="614" t="s">
        <v>2658</v>
      </c>
      <c r="K306" s="615"/>
      <c r="L306" s="610"/>
      <c r="M306" s="611"/>
      <c r="N306" s="498" t="s">
        <v>470</v>
      </c>
      <c r="O306" s="498" t="s">
        <v>790</v>
      </c>
      <c r="P306" s="1363" t="s">
        <v>967</v>
      </c>
      <c r="Q306" s="597"/>
      <c r="S306" s="597"/>
      <c r="T306" s="597"/>
      <c r="U306" s="597"/>
      <c r="V306" s="597"/>
      <c r="W306" s="597"/>
      <c r="X306" s="597"/>
      <c r="Y306" s="597"/>
      <c r="Z306" s="597"/>
      <c r="AA306" s="597"/>
    </row>
    <row r="307" spans="2:27" ht="12" customHeight="1">
      <c r="B307" s="767"/>
      <c r="C307" s="762" t="s">
        <v>1013</v>
      </c>
      <c r="D307" s="762" t="s">
        <v>2166</v>
      </c>
      <c r="E307" s="766" t="s">
        <v>2941</v>
      </c>
      <c r="F307" s="766" t="s">
        <v>440</v>
      </c>
      <c r="G307" s="764" t="s">
        <v>408</v>
      </c>
      <c r="H307" s="765" t="s">
        <v>3474</v>
      </c>
      <c r="I307" s="682"/>
      <c r="J307" s="614" t="s">
        <v>2659</v>
      </c>
      <c r="K307" s="615"/>
      <c r="L307" s="610"/>
      <c r="M307" s="611"/>
      <c r="N307" s="616" t="s">
        <v>966</v>
      </c>
      <c r="O307" s="616" t="s">
        <v>2466</v>
      </c>
      <c r="P307" s="498" t="s">
        <v>1837</v>
      </c>
      <c r="Q307" s="1361"/>
      <c r="S307" s="597"/>
      <c r="T307" s="597"/>
      <c r="U307" s="597"/>
      <c r="V307" s="597"/>
      <c r="W307" s="597"/>
      <c r="X307" s="597"/>
      <c r="Y307" s="597"/>
      <c r="Z307" s="597"/>
      <c r="AA307" s="597"/>
    </row>
    <row r="308" spans="2:27" ht="12" customHeight="1">
      <c r="B308" s="767"/>
      <c r="C308" s="762" t="s">
        <v>1014</v>
      </c>
      <c r="D308" s="762" t="s">
        <v>2142</v>
      </c>
      <c r="E308" s="766" t="s">
        <v>1015</v>
      </c>
      <c r="F308" s="766" t="s">
        <v>439</v>
      </c>
      <c r="G308" s="764" t="s">
        <v>3857</v>
      </c>
      <c r="H308" s="765" t="s">
        <v>3473</v>
      </c>
      <c r="I308" s="681"/>
      <c r="J308" s="614" t="s">
        <v>2785</v>
      </c>
      <c r="K308" s="615"/>
      <c r="L308" s="610"/>
      <c r="M308" s="611"/>
      <c r="N308" s="616" t="s">
        <v>1282</v>
      </c>
      <c r="O308" s="616" t="s">
        <v>1542</v>
      </c>
      <c r="P308" s="498" t="s">
        <v>1838</v>
      </c>
      <c r="Q308" s="1361"/>
      <c r="S308" s="597"/>
      <c r="T308" s="597"/>
      <c r="U308" s="597"/>
      <c r="V308" s="597"/>
      <c r="W308" s="597"/>
      <c r="X308" s="597"/>
      <c r="Y308" s="597"/>
      <c r="Z308" s="597"/>
      <c r="AA308" s="597"/>
    </row>
    <row r="309" spans="2:27" ht="12" customHeight="1">
      <c r="B309" s="767"/>
      <c r="C309" s="762" t="s">
        <v>1016</v>
      </c>
      <c r="D309" s="762" t="s">
        <v>2384</v>
      </c>
      <c r="E309" s="763" t="s">
        <v>1017</v>
      </c>
      <c r="F309" s="766" t="s">
        <v>439</v>
      </c>
      <c r="G309" s="764" t="s">
        <v>2118</v>
      </c>
      <c r="H309" s="765" t="s">
        <v>3473</v>
      </c>
      <c r="I309" s="681"/>
      <c r="J309" s="614" t="s">
        <v>2787</v>
      </c>
      <c r="K309" s="615"/>
      <c r="L309" s="610"/>
      <c r="M309" s="611"/>
      <c r="N309" s="616" t="s">
        <v>1143</v>
      </c>
      <c r="O309" s="616" t="s">
        <v>526</v>
      </c>
      <c r="P309" s="498" t="s">
        <v>1839</v>
      </c>
      <c r="Q309" s="1361"/>
      <c r="S309" s="597"/>
      <c r="T309" s="597"/>
      <c r="U309" s="597"/>
      <c r="V309" s="597"/>
      <c r="W309" s="597"/>
      <c r="X309" s="597"/>
      <c r="Y309" s="597"/>
      <c r="Z309" s="597"/>
      <c r="AA309" s="597"/>
    </row>
    <row r="310" spans="2:27" ht="12" customHeight="1">
      <c r="B310" s="767"/>
      <c r="C310" s="762" t="s">
        <v>1018</v>
      </c>
      <c r="D310" s="762" t="s">
        <v>2384</v>
      </c>
      <c r="E310" s="763" t="s">
        <v>1019</v>
      </c>
      <c r="F310" s="763" t="s">
        <v>439</v>
      </c>
      <c r="G310" s="764" t="s">
        <v>2119</v>
      </c>
      <c r="H310" s="765" t="s">
        <v>3473</v>
      </c>
      <c r="I310" s="681"/>
      <c r="J310" s="614" t="s">
        <v>964</v>
      </c>
      <c r="K310" s="615"/>
      <c r="L310" s="610"/>
      <c r="M310" s="611"/>
      <c r="N310" s="616" t="s">
        <v>2848</v>
      </c>
      <c r="O310" s="616" t="s">
        <v>3741</v>
      </c>
      <c r="P310" s="1362" t="s">
        <v>2846</v>
      </c>
      <c r="Q310" s="597"/>
      <c r="S310" s="597"/>
      <c r="T310" s="597"/>
      <c r="U310" s="597"/>
      <c r="V310" s="597"/>
      <c r="W310" s="597"/>
      <c r="X310" s="597"/>
      <c r="Y310" s="597"/>
      <c r="Z310" s="597"/>
      <c r="AA310" s="597"/>
    </row>
    <row r="311" spans="2:27" ht="12" customHeight="1">
      <c r="B311" s="767"/>
      <c r="C311" s="762" t="s">
        <v>1020</v>
      </c>
      <c r="D311" s="762" t="s">
        <v>2166</v>
      </c>
      <c r="E311" s="763" t="s">
        <v>1021</v>
      </c>
      <c r="F311" s="763" t="s">
        <v>439</v>
      </c>
      <c r="G311" s="764" t="s">
        <v>2120</v>
      </c>
      <c r="H311" s="765" t="s">
        <v>3473</v>
      </c>
      <c r="I311" s="681"/>
      <c r="J311" s="614" t="s">
        <v>965</v>
      </c>
      <c r="K311" s="615"/>
      <c r="L311" s="610"/>
      <c r="M311" s="611"/>
      <c r="N311" s="616" t="s">
        <v>3202</v>
      </c>
      <c r="O311" s="616" t="s">
        <v>3995</v>
      </c>
      <c r="P311" s="498" t="s">
        <v>1840</v>
      </c>
      <c r="Q311" s="1361"/>
      <c r="S311" s="597"/>
      <c r="T311" s="597"/>
      <c r="U311" s="597"/>
      <c r="V311" s="597"/>
      <c r="W311" s="597"/>
      <c r="X311" s="597"/>
      <c r="Y311" s="597"/>
      <c r="Z311" s="597"/>
      <c r="AA311" s="597"/>
    </row>
    <row r="312" spans="2:27" ht="12" customHeight="1">
      <c r="B312" s="767"/>
      <c r="C312" s="762" t="s">
        <v>1022</v>
      </c>
      <c r="D312" s="762" t="s">
        <v>2166</v>
      </c>
      <c r="E312" s="763" t="s">
        <v>1023</v>
      </c>
      <c r="F312" s="763" t="s">
        <v>439</v>
      </c>
      <c r="G312" s="764" t="s">
        <v>1181</v>
      </c>
      <c r="H312" s="765" t="s">
        <v>3473</v>
      </c>
      <c r="I312" s="681"/>
      <c r="J312" s="614" t="s">
        <v>1281</v>
      </c>
      <c r="K312" s="615"/>
      <c r="L312" s="610"/>
      <c r="M312" s="611"/>
      <c r="N312" s="498" t="s">
        <v>471</v>
      </c>
      <c r="O312" s="498" t="s">
        <v>2158</v>
      </c>
      <c r="P312" s="1363" t="s">
        <v>967</v>
      </c>
      <c r="Q312" s="1361"/>
      <c r="S312" s="597"/>
      <c r="T312" s="597"/>
      <c r="U312" s="597"/>
      <c r="V312" s="597"/>
      <c r="W312" s="597"/>
      <c r="X312" s="597"/>
      <c r="Y312" s="597"/>
      <c r="Z312" s="597"/>
      <c r="AA312" s="597"/>
    </row>
    <row r="313" spans="2:27" ht="12" customHeight="1">
      <c r="B313" s="767"/>
      <c r="C313" s="762" t="s">
        <v>1024</v>
      </c>
      <c r="D313" s="762" t="s">
        <v>2384</v>
      </c>
      <c r="E313" s="763" t="s">
        <v>1025</v>
      </c>
      <c r="F313" s="763" t="s">
        <v>439</v>
      </c>
      <c r="G313" s="764" t="s">
        <v>1182</v>
      </c>
      <c r="H313" s="765" t="s">
        <v>3473</v>
      </c>
      <c r="I313" s="681"/>
      <c r="J313" s="614" t="s">
        <v>1142</v>
      </c>
      <c r="K313" s="615"/>
      <c r="L313" s="610"/>
      <c r="M313" s="611"/>
      <c r="N313" s="616" t="s">
        <v>3204</v>
      </c>
      <c r="O313" s="616" t="s">
        <v>423</v>
      </c>
      <c r="P313" s="498" t="s">
        <v>1669</v>
      </c>
      <c r="Q313" s="597"/>
      <c r="S313" s="597"/>
      <c r="T313" s="597"/>
      <c r="U313" s="597"/>
      <c r="V313" s="597"/>
      <c r="W313" s="597"/>
      <c r="X313" s="597"/>
      <c r="Y313" s="597"/>
      <c r="Z313" s="597"/>
      <c r="AA313" s="597"/>
    </row>
    <row r="314" spans="2:27" ht="12" customHeight="1">
      <c r="B314" s="767"/>
      <c r="C314" s="762" t="s">
        <v>898</v>
      </c>
      <c r="D314" s="762" t="s">
        <v>2166</v>
      </c>
      <c r="E314" s="763" t="s">
        <v>2746</v>
      </c>
      <c r="F314" s="763" t="s">
        <v>439</v>
      </c>
      <c r="G314" s="764" t="s">
        <v>1183</v>
      </c>
      <c r="H314" s="765" t="s">
        <v>3473</v>
      </c>
      <c r="I314" s="681"/>
      <c r="J314" s="614" t="s">
        <v>3200</v>
      </c>
      <c r="K314" s="615"/>
      <c r="L314" s="610"/>
      <c r="M314" s="611"/>
      <c r="N314" s="616" t="s">
        <v>525</v>
      </c>
      <c r="O314" s="616" t="s">
        <v>492</v>
      </c>
      <c r="P314" s="498" t="s">
        <v>1670</v>
      </c>
      <c r="Q314" s="1361"/>
      <c r="S314" s="597"/>
      <c r="T314" s="597"/>
      <c r="U314" s="597"/>
      <c r="V314" s="597"/>
      <c r="W314" s="597"/>
      <c r="X314" s="597"/>
      <c r="Y314" s="597"/>
      <c r="Z314" s="597"/>
      <c r="AA314" s="597"/>
    </row>
    <row r="315" spans="2:27" ht="12" customHeight="1">
      <c r="B315" s="767"/>
      <c r="C315" s="762" t="s">
        <v>2747</v>
      </c>
      <c r="D315" s="762" t="s">
        <v>2384</v>
      </c>
      <c r="E315" s="763" t="s">
        <v>2748</v>
      </c>
      <c r="F315" s="763" t="s">
        <v>439</v>
      </c>
      <c r="G315" s="764" t="s">
        <v>1184</v>
      </c>
      <c r="H315" s="765" t="s">
        <v>3473</v>
      </c>
      <c r="I315" s="682"/>
      <c r="J315" s="614" t="s">
        <v>3201</v>
      </c>
      <c r="K315" s="615"/>
      <c r="L315" s="610"/>
      <c r="M315" s="611"/>
      <c r="N315" s="616" t="s">
        <v>3208</v>
      </c>
      <c r="O315" s="616" t="s">
        <v>1022</v>
      </c>
      <c r="P315" s="498" t="s">
        <v>1842</v>
      </c>
      <c r="Q315" s="1361"/>
      <c r="S315" s="597"/>
      <c r="T315" s="597"/>
      <c r="U315" s="597"/>
      <c r="V315" s="597"/>
      <c r="W315" s="597"/>
      <c r="X315" s="597"/>
      <c r="Y315" s="597"/>
      <c r="Z315" s="597"/>
      <c r="AA315" s="597"/>
    </row>
    <row r="316" spans="2:27" ht="12" customHeight="1">
      <c r="B316" s="767"/>
      <c r="C316" s="762" t="s">
        <v>1541</v>
      </c>
      <c r="D316" s="762" t="s">
        <v>2384</v>
      </c>
      <c r="E316" s="766" t="s">
        <v>1407</v>
      </c>
      <c r="F316" s="763" t="s">
        <v>440</v>
      </c>
      <c r="G316" s="764" t="s">
        <v>2423</v>
      </c>
      <c r="H316" s="765" t="s">
        <v>3474</v>
      </c>
      <c r="I316" s="682"/>
      <c r="J316" s="614" t="s">
        <v>3203</v>
      </c>
      <c r="K316" s="615"/>
      <c r="L316" s="610"/>
      <c r="M316" s="611"/>
      <c r="N316" s="616" t="s">
        <v>3210</v>
      </c>
      <c r="O316" s="616" t="s">
        <v>1708</v>
      </c>
      <c r="P316" s="498" t="s">
        <v>1843</v>
      </c>
      <c r="Q316" s="1361"/>
      <c r="S316" s="597"/>
      <c r="T316" s="597"/>
      <c r="U316" s="597"/>
      <c r="V316" s="597"/>
      <c r="W316" s="597"/>
      <c r="X316" s="597"/>
      <c r="Y316" s="597"/>
      <c r="Z316" s="597"/>
      <c r="AA316" s="597"/>
    </row>
    <row r="317" spans="2:27" ht="12" customHeight="1">
      <c r="B317" s="767"/>
      <c r="C317" s="762" t="s">
        <v>1542</v>
      </c>
      <c r="D317" s="762" t="s">
        <v>2384</v>
      </c>
      <c r="E317" s="766" t="s">
        <v>1543</v>
      </c>
      <c r="F317" s="766" t="s">
        <v>439</v>
      </c>
      <c r="G317" s="764" t="s">
        <v>1185</v>
      </c>
      <c r="H317" s="765" t="s">
        <v>3473</v>
      </c>
      <c r="I317" s="682"/>
      <c r="J317" s="614" t="s">
        <v>3205</v>
      </c>
      <c r="K317" s="615"/>
      <c r="L317" s="610"/>
      <c r="M317" s="611"/>
      <c r="N317" s="616" t="s">
        <v>3315</v>
      </c>
      <c r="O317" s="616" t="s">
        <v>3077</v>
      </c>
      <c r="P317" s="498" t="s">
        <v>1844</v>
      </c>
      <c r="Q317" s="597"/>
      <c r="S317" s="597"/>
      <c r="T317" s="597"/>
      <c r="U317" s="597"/>
      <c r="V317" s="597"/>
      <c r="W317" s="597"/>
      <c r="X317" s="597"/>
      <c r="Y317" s="597"/>
      <c r="Z317" s="597"/>
      <c r="AA317" s="597"/>
    </row>
    <row r="318" spans="2:27" ht="12" customHeight="1">
      <c r="B318" s="767"/>
      <c r="C318" s="762" t="s">
        <v>1544</v>
      </c>
      <c r="D318" s="762" t="s">
        <v>2384</v>
      </c>
      <c r="E318" s="766" t="s">
        <v>1327</v>
      </c>
      <c r="F318" s="766" t="s">
        <v>439</v>
      </c>
      <c r="G318" s="764" t="s">
        <v>2430</v>
      </c>
      <c r="H318" s="765" t="s">
        <v>3473</v>
      </c>
      <c r="I318" s="682"/>
      <c r="J318" s="614" t="s">
        <v>3206</v>
      </c>
      <c r="K318" s="615"/>
      <c r="L318" s="610"/>
      <c r="M318" s="611"/>
      <c r="N318" s="616" t="s">
        <v>3317</v>
      </c>
      <c r="O318" s="616" t="s">
        <v>3895</v>
      </c>
      <c r="P318" s="1362" t="s">
        <v>2846</v>
      </c>
      <c r="Q318" s="1361"/>
      <c r="S318" s="597"/>
      <c r="T318" s="597"/>
      <c r="U318" s="597"/>
      <c r="V318" s="597"/>
      <c r="W318" s="597"/>
      <c r="X318" s="597"/>
      <c r="Y318" s="597"/>
      <c r="Z318" s="597"/>
      <c r="AA318" s="597"/>
    </row>
    <row r="319" spans="2:27" ht="12" customHeight="1">
      <c r="B319" s="767"/>
      <c r="C319" s="762" t="s">
        <v>1328</v>
      </c>
      <c r="D319" s="762" t="s">
        <v>2384</v>
      </c>
      <c r="E319" s="766" t="s">
        <v>1329</v>
      </c>
      <c r="F319" s="766" t="s">
        <v>439</v>
      </c>
      <c r="G319" s="764" t="s">
        <v>2431</v>
      </c>
      <c r="H319" s="765" t="s">
        <v>3473</v>
      </c>
      <c r="I319" s="682"/>
      <c r="J319" s="614" t="s">
        <v>3207</v>
      </c>
      <c r="K319" s="615"/>
      <c r="L319" s="610"/>
      <c r="M319" s="611"/>
      <c r="N319" s="616" t="s">
        <v>3009</v>
      </c>
      <c r="O319" s="616" t="s">
        <v>2463</v>
      </c>
      <c r="P319" s="498" t="s">
        <v>1671</v>
      </c>
      <c r="Q319" s="1361"/>
      <c r="S319" s="597"/>
      <c r="T319" s="597"/>
      <c r="U319" s="597"/>
      <c r="V319" s="597"/>
      <c r="W319" s="597"/>
      <c r="X319" s="597"/>
      <c r="Y319" s="597"/>
      <c r="Z319" s="597"/>
      <c r="AA319" s="597"/>
    </row>
    <row r="320" spans="2:27" ht="12" customHeight="1">
      <c r="B320" s="767"/>
      <c r="C320" s="762" t="s">
        <v>1330</v>
      </c>
      <c r="D320" s="762" t="s">
        <v>2142</v>
      </c>
      <c r="E320" s="766" t="s">
        <v>1331</v>
      </c>
      <c r="F320" s="766" t="s">
        <v>439</v>
      </c>
      <c r="G320" s="764" t="s">
        <v>2326</v>
      </c>
      <c r="H320" s="765" t="s">
        <v>3473</v>
      </c>
      <c r="I320" s="682"/>
      <c r="J320" s="614" t="s">
        <v>3209</v>
      </c>
      <c r="K320" s="615"/>
      <c r="L320" s="610"/>
      <c r="M320" s="611"/>
      <c r="N320" s="616" t="s">
        <v>3011</v>
      </c>
      <c r="O320" s="616" t="s">
        <v>3994</v>
      </c>
      <c r="P320" s="498" t="s">
        <v>1672</v>
      </c>
      <c r="Q320" s="1361"/>
      <c r="S320" s="597"/>
      <c r="T320" s="597"/>
      <c r="U320" s="597"/>
      <c r="V320" s="597"/>
      <c r="W320" s="597"/>
      <c r="X320" s="597"/>
      <c r="Y320" s="597"/>
      <c r="Z320" s="597"/>
      <c r="AA320" s="597"/>
    </row>
    <row r="321" spans="2:27" ht="12" customHeight="1">
      <c r="B321" s="767"/>
      <c r="C321" s="762" t="s">
        <v>1332</v>
      </c>
      <c r="D321" s="762" t="s">
        <v>2384</v>
      </c>
      <c r="E321" s="766" t="s">
        <v>1333</v>
      </c>
      <c r="F321" s="766" t="s">
        <v>439</v>
      </c>
      <c r="G321" s="764" t="s">
        <v>2327</v>
      </c>
      <c r="H321" s="765" t="s">
        <v>3473</v>
      </c>
      <c r="I321" s="681"/>
      <c r="J321" s="614" t="s">
        <v>3211</v>
      </c>
      <c r="K321" s="615"/>
      <c r="L321" s="610"/>
      <c r="M321" s="611"/>
      <c r="N321" s="616" t="s">
        <v>4114</v>
      </c>
      <c r="O321" s="616" t="s">
        <v>3812</v>
      </c>
      <c r="P321" s="498" t="s">
        <v>1673</v>
      </c>
      <c r="Q321" s="1361"/>
      <c r="S321" s="597"/>
      <c r="T321" s="597"/>
      <c r="U321" s="597"/>
      <c r="V321" s="597"/>
      <c r="W321" s="597"/>
      <c r="X321" s="597"/>
      <c r="Y321" s="597"/>
      <c r="Z321" s="597"/>
      <c r="AA321" s="597"/>
    </row>
    <row r="322" spans="2:27" ht="12" customHeight="1">
      <c r="B322" s="767"/>
      <c r="C322" s="762" t="s">
        <v>1334</v>
      </c>
      <c r="D322" s="762" t="s">
        <v>2166</v>
      </c>
      <c r="E322" s="763" t="s">
        <v>1335</v>
      </c>
      <c r="F322" s="766" t="s">
        <v>439</v>
      </c>
      <c r="G322" s="764" t="s">
        <v>2328</v>
      </c>
      <c r="H322" s="765" t="s">
        <v>3473</v>
      </c>
      <c r="I322" s="682"/>
      <c r="J322" s="614" t="s">
        <v>3316</v>
      </c>
      <c r="K322" s="615"/>
      <c r="L322" s="610"/>
      <c r="M322" s="611"/>
      <c r="N322" s="616" t="s">
        <v>1260</v>
      </c>
      <c r="O322" s="616" t="s">
        <v>1000</v>
      </c>
      <c r="P322" s="498" t="s">
        <v>1674</v>
      </c>
      <c r="Q322" s="1361"/>
      <c r="S322" s="597"/>
      <c r="T322" s="597"/>
      <c r="U322" s="597"/>
      <c r="V322" s="597"/>
      <c r="W322" s="597"/>
      <c r="X322" s="597"/>
      <c r="Y322" s="597"/>
      <c r="Z322" s="597"/>
      <c r="AA322" s="597"/>
    </row>
    <row r="323" spans="2:27" ht="12" customHeight="1">
      <c r="B323" s="767"/>
      <c r="C323" s="762" t="s">
        <v>1207</v>
      </c>
      <c r="D323" s="762" t="s">
        <v>2384</v>
      </c>
      <c r="E323" s="766" t="s">
        <v>1208</v>
      </c>
      <c r="F323" s="763" t="s">
        <v>439</v>
      </c>
      <c r="G323" s="764" t="s">
        <v>2329</v>
      </c>
      <c r="H323" s="765" t="s">
        <v>3473</v>
      </c>
      <c r="I323" s="682"/>
      <c r="J323" s="614" t="s">
        <v>2418</v>
      </c>
      <c r="K323" s="615"/>
      <c r="L323" s="610"/>
      <c r="M323" s="611"/>
      <c r="N323" s="616" t="s">
        <v>1262</v>
      </c>
      <c r="O323" s="616" t="s">
        <v>493</v>
      </c>
      <c r="P323" s="498" t="s">
        <v>1675</v>
      </c>
      <c r="Q323" s="1361"/>
      <c r="S323" s="597"/>
      <c r="T323" s="597"/>
      <c r="U323" s="597"/>
      <c r="V323" s="597"/>
      <c r="W323" s="597"/>
      <c r="X323" s="597"/>
      <c r="Y323" s="597"/>
      <c r="Z323" s="597"/>
      <c r="AA323" s="597"/>
    </row>
    <row r="324" spans="2:27" ht="12" customHeight="1">
      <c r="B324" s="767"/>
      <c r="C324" s="762" t="s">
        <v>1209</v>
      </c>
      <c r="D324" s="762" t="s">
        <v>2166</v>
      </c>
      <c r="E324" s="766" t="s">
        <v>2151</v>
      </c>
      <c r="F324" s="766" t="s">
        <v>440</v>
      </c>
      <c r="G324" s="764" t="s">
        <v>411</v>
      </c>
      <c r="H324" s="765" t="s">
        <v>3474</v>
      </c>
      <c r="I324" s="682"/>
      <c r="J324" s="614" t="s">
        <v>3010</v>
      </c>
      <c r="K324" s="615"/>
      <c r="L324" s="610"/>
      <c r="M324" s="611"/>
      <c r="N324" s="616" t="s">
        <v>3758</v>
      </c>
      <c r="O324" s="616" t="s">
        <v>1244</v>
      </c>
      <c r="P324" s="498" t="s">
        <v>1676</v>
      </c>
      <c r="Q324" s="1361"/>
      <c r="S324" s="597"/>
      <c r="T324" s="597"/>
      <c r="U324" s="597"/>
      <c r="V324" s="597"/>
      <c r="W324" s="597"/>
      <c r="X324" s="597"/>
      <c r="Y324" s="597"/>
      <c r="Z324" s="597"/>
      <c r="AA324" s="597"/>
    </row>
    <row r="325" spans="2:27" ht="12" customHeight="1">
      <c r="B325" s="767"/>
      <c r="C325" s="762" t="s">
        <v>1210</v>
      </c>
      <c r="D325" s="762" t="s">
        <v>2142</v>
      </c>
      <c r="E325" s="766" t="s">
        <v>1211</v>
      </c>
      <c r="F325" s="766" t="s">
        <v>439</v>
      </c>
      <c r="G325" s="764" t="s">
        <v>2331</v>
      </c>
      <c r="H325" s="765" t="s">
        <v>3473</v>
      </c>
      <c r="I325" s="681"/>
      <c r="J325" s="614" t="s">
        <v>4113</v>
      </c>
      <c r="K325" s="615"/>
      <c r="L325" s="610"/>
      <c r="M325" s="611"/>
      <c r="N325" s="616" t="s">
        <v>3760</v>
      </c>
      <c r="O325" s="616" t="s">
        <v>2750</v>
      </c>
      <c r="P325" s="498" t="s">
        <v>1677</v>
      </c>
      <c r="Q325" s="1361"/>
      <c r="S325" s="597"/>
      <c r="T325" s="597"/>
      <c r="U325" s="597"/>
      <c r="V325" s="597"/>
      <c r="W325" s="597"/>
      <c r="X325" s="597"/>
      <c r="Y325" s="597"/>
      <c r="Z325" s="597"/>
      <c r="AA325" s="597"/>
    </row>
    <row r="326" spans="2:27" ht="12" customHeight="1">
      <c r="B326" s="767"/>
      <c r="C326" s="762" t="s">
        <v>1174</v>
      </c>
      <c r="D326" s="762" t="s">
        <v>2166</v>
      </c>
      <c r="E326" s="763" t="s">
        <v>1175</v>
      </c>
      <c r="F326" s="766" t="s">
        <v>439</v>
      </c>
      <c r="G326" s="764" t="s">
        <v>2332</v>
      </c>
      <c r="H326" s="765" t="s">
        <v>3473</v>
      </c>
      <c r="I326" s="682"/>
      <c r="J326" s="614" t="s">
        <v>1259</v>
      </c>
      <c r="K326" s="615"/>
      <c r="L326" s="610"/>
      <c r="M326" s="611"/>
      <c r="N326" s="616" t="s">
        <v>3637</v>
      </c>
      <c r="O326" s="616" t="s">
        <v>3815</v>
      </c>
      <c r="P326" s="498" t="s">
        <v>1678</v>
      </c>
      <c r="Q326" s="1361"/>
      <c r="S326" s="597"/>
      <c r="T326" s="597"/>
      <c r="U326" s="597"/>
      <c r="V326" s="597"/>
      <c r="W326" s="597"/>
      <c r="X326" s="597"/>
      <c r="Y326" s="597"/>
      <c r="Z326" s="597"/>
      <c r="AA326" s="597"/>
    </row>
    <row r="327" spans="2:27" ht="12" customHeight="1">
      <c r="B327" s="767"/>
      <c r="C327" s="762" t="s">
        <v>1176</v>
      </c>
      <c r="D327" s="762" t="s">
        <v>2142</v>
      </c>
      <c r="E327" s="766" t="s">
        <v>1921</v>
      </c>
      <c r="F327" s="763" t="s">
        <v>440</v>
      </c>
      <c r="G327" s="764" t="s">
        <v>1569</v>
      </c>
      <c r="H327" s="765" t="s">
        <v>3474</v>
      </c>
      <c r="I327" s="682"/>
      <c r="J327" s="614" t="s">
        <v>1261</v>
      </c>
      <c r="K327" s="615"/>
      <c r="L327" s="610"/>
      <c r="M327" s="611"/>
      <c r="N327" s="616" t="s">
        <v>3639</v>
      </c>
      <c r="O327" s="616" t="s">
        <v>679</v>
      </c>
      <c r="P327" s="498" t="s">
        <v>1679</v>
      </c>
      <c r="Q327" s="1361"/>
      <c r="S327" s="597"/>
      <c r="T327" s="597"/>
      <c r="U327" s="597"/>
      <c r="V327" s="597"/>
      <c r="W327" s="597"/>
      <c r="X327" s="597"/>
      <c r="Y327" s="597"/>
      <c r="Z327" s="597"/>
      <c r="AA327" s="597"/>
    </row>
    <row r="328" spans="2:27" ht="12" customHeight="1">
      <c r="B328" s="767"/>
      <c r="C328" s="762" t="s">
        <v>1177</v>
      </c>
      <c r="D328" s="762" t="s">
        <v>2166</v>
      </c>
      <c r="E328" s="766" t="s">
        <v>2941</v>
      </c>
      <c r="F328" s="766" t="s">
        <v>440</v>
      </c>
      <c r="G328" s="764" t="s">
        <v>408</v>
      </c>
      <c r="H328" s="765" t="s">
        <v>3474</v>
      </c>
      <c r="I328" s="682"/>
      <c r="J328" s="614" t="s">
        <v>3757</v>
      </c>
      <c r="K328" s="615"/>
      <c r="L328" s="610"/>
      <c r="M328" s="611"/>
      <c r="N328" s="616" t="s">
        <v>3641</v>
      </c>
      <c r="O328" s="616" t="s">
        <v>1295</v>
      </c>
      <c r="P328" s="498" t="s">
        <v>1680</v>
      </c>
      <c r="Q328" s="1361"/>
      <c r="S328" s="597"/>
      <c r="T328" s="597"/>
      <c r="U328" s="597"/>
      <c r="V328" s="597"/>
      <c r="W328" s="597"/>
      <c r="X328" s="597"/>
      <c r="Y328" s="597"/>
      <c r="Z328" s="597"/>
      <c r="AA328" s="597"/>
    </row>
    <row r="329" spans="2:27" ht="12" customHeight="1">
      <c r="B329" s="767"/>
      <c r="C329" s="762" t="s">
        <v>1178</v>
      </c>
      <c r="D329" s="762" t="s">
        <v>2384</v>
      </c>
      <c r="E329" s="766" t="s">
        <v>3976</v>
      </c>
      <c r="F329" s="766" t="s">
        <v>439</v>
      </c>
      <c r="G329" s="764" t="s">
        <v>2333</v>
      </c>
      <c r="H329" s="765" t="s">
        <v>3473</v>
      </c>
      <c r="I329" s="682"/>
      <c r="J329" s="614" t="s">
        <v>3759</v>
      </c>
      <c r="K329" s="615"/>
      <c r="L329" s="610"/>
      <c r="M329" s="611"/>
      <c r="N329" s="616" t="s">
        <v>3643</v>
      </c>
      <c r="O329" s="616" t="s">
        <v>3811</v>
      </c>
      <c r="P329" s="498" t="s">
        <v>3026</v>
      </c>
      <c r="Q329" s="1361"/>
      <c r="S329" s="597"/>
      <c r="T329" s="597"/>
      <c r="U329" s="597"/>
      <c r="V329" s="597"/>
      <c r="W329" s="597"/>
      <c r="X329" s="597"/>
      <c r="Y329" s="597"/>
      <c r="Z329" s="597"/>
      <c r="AA329" s="597"/>
    </row>
    <row r="330" spans="2:27" ht="12" customHeight="1">
      <c r="B330" s="767"/>
      <c r="C330" s="762" t="s">
        <v>3977</v>
      </c>
      <c r="D330" s="762" t="s">
        <v>2166</v>
      </c>
      <c r="E330" s="766" t="s">
        <v>3978</v>
      </c>
      <c r="F330" s="766" t="s">
        <v>439</v>
      </c>
      <c r="G330" s="764" t="s">
        <v>2334</v>
      </c>
      <c r="H330" s="765" t="s">
        <v>3473</v>
      </c>
      <c r="I330" s="682"/>
      <c r="J330" s="614" t="s">
        <v>3636</v>
      </c>
      <c r="K330" s="615"/>
      <c r="L330" s="610"/>
      <c r="M330" s="611"/>
      <c r="N330" s="616" t="s">
        <v>1235</v>
      </c>
      <c r="O330" s="616" t="s">
        <v>3979</v>
      </c>
      <c r="P330" s="498" t="s">
        <v>2859</v>
      </c>
      <c r="Q330" s="1361"/>
      <c r="S330" s="597"/>
      <c r="T330" s="597"/>
      <c r="U330" s="597"/>
      <c r="V330" s="597"/>
      <c r="W330" s="597"/>
      <c r="X330" s="597"/>
      <c r="Y330" s="597"/>
      <c r="Z330" s="597"/>
      <c r="AA330" s="597"/>
    </row>
    <row r="331" spans="2:27" ht="12" customHeight="1">
      <c r="B331" s="767"/>
      <c r="C331" s="762" t="s">
        <v>3979</v>
      </c>
      <c r="D331" s="762" t="s">
        <v>2384</v>
      </c>
      <c r="E331" s="766" t="s">
        <v>3980</v>
      </c>
      <c r="F331" s="766" t="s">
        <v>439</v>
      </c>
      <c r="G331" s="764" t="s">
        <v>2335</v>
      </c>
      <c r="H331" s="765" t="s">
        <v>3473</v>
      </c>
      <c r="I331" s="682"/>
      <c r="J331" s="614" t="s">
        <v>3638</v>
      </c>
      <c r="K331" s="615"/>
      <c r="L331" s="610"/>
      <c r="M331" s="611"/>
      <c r="N331" s="616" t="s">
        <v>3832</v>
      </c>
      <c r="O331" s="616" t="s">
        <v>1541</v>
      </c>
      <c r="P331" s="498" t="s">
        <v>2860</v>
      </c>
      <c r="Q331" s="1361"/>
      <c r="S331" s="597"/>
      <c r="T331" s="597"/>
      <c r="U331" s="597"/>
      <c r="V331" s="597"/>
      <c r="W331" s="597"/>
      <c r="X331" s="597"/>
      <c r="Y331" s="597"/>
      <c r="Z331" s="597"/>
      <c r="AA331" s="597"/>
    </row>
    <row r="332" spans="2:27" ht="12" customHeight="1">
      <c r="B332" s="767"/>
      <c r="C332" s="762" t="s">
        <v>3981</v>
      </c>
      <c r="D332" s="762" t="s">
        <v>2384</v>
      </c>
      <c r="E332" s="766" t="s">
        <v>3982</v>
      </c>
      <c r="F332" s="766" t="s">
        <v>439</v>
      </c>
      <c r="G332" s="764" t="s">
        <v>2336</v>
      </c>
      <c r="H332" s="765" t="s">
        <v>3473</v>
      </c>
      <c r="I332" s="682"/>
      <c r="J332" s="614" t="s">
        <v>3640</v>
      </c>
      <c r="K332" s="615"/>
      <c r="L332" s="610"/>
      <c r="M332" s="611"/>
      <c r="N332" s="616" t="s">
        <v>1103</v>
      </c>
      <c r="O332" s="616" t="s">
        <v>3832</v>
      </c>
      <c r="P332" s="498" t="s">
        <v>2861</v>
      </c>
      <c r="Q332" s="1361"/>
      <c r="S332" s="597"/>
      <c r="T332" s="597"/>
      <c r="U332" s="597"/>
      <c r="V332" s="597"/>
      <c r="W332" s="597"/>
      <c r="X332" s="597"/>
      <c r="Y332" s="597"/>
      <c r="Z332" s="597"/>
      <c r="AA332" s="597"/>
    </row>
    <row r="333" spans="2:27" ht="12" customHeight="1">
      <c r="B333" s="767"/>
      <c r="C333" s="762" t="s">
        <v>3983</v>
      </c>
      <c r="D333" s="762" t="s">
        <v>2384</v>
      </c>
      <c r="E333" s="766" t="s">
        <v>3984</v>
      </c>
      <c r="F333" s="766" t="s">
        <v>439</v>
      </c>
      <c r="G333" s="764" t="s">
        <v>2337</v>
      </c>
      <c r="H333" s="765" t="s">
        <v>3473</v>
      </c>
      <c r="I333" s="682"/>
      <c r="J333" s="614" t="s">
        <v>3642</v>
      </c>
      <c r="K333" s="615"/>
      <c r="L333" s="610"/>
      <c r="M333" s="611"/>
      <c r="N333" s="616" t="s">
        <v>3121</v>
      </c>
      <c r="O333" s="616" t="s">
        <v>1018</v>
      </c>
      <c r="P333" s="498" t="s">
        <v>2862</v>
      </c>
      <c r="Q333" s="1361"/>
      <c r="S333" s="597"/>
      <c r="T333" s="597"/>
      <c r="U333" s="597"/>
      <c r="V333" s="597"/>
      <c r="W333" s="597"/>
      <c r="X333" s="597"/>
      <c r="Y333" s="597"/>
      <c r="Z333" s="597"/>
      <c r="AA333" s="597"/>
    </row>
    <row r="334" spans="2:27" ht="12" customHeight="1">
      <c r="B334" s="767"/>
      <c r="C334" s="762" t="s">
        <v>3985</v>
      </c>
      <c r="D334" s="762" t="s">
        <v>2384</v>
      </c>
      <c r="E334" s="766" t="s">
        <v>3986</v>
      </c>
      <c r="F334" s="766" t="s">
        <v>439</v>
      </c>
      <c r="G334" s="764" t="s">
        <v>749</v>
      </c>
      <c r="H334" s="765" t="s">
        <v>3473</v>
      </c>
      <c r="I334" s="682"/>
      <c r="J334" s="614" t="s">
        <v>1234</v>
      </c>
      <c r="K334" s="615"/>
      <c r="L334" s="610"/>
      <c r="M334" s="611"/>
      <c r="N334" s="616" t="s">
        <v>3890</v>
      </c>
      <c r="O334" s="616" t="s">
        <v>1294</v>
      </c>
      <c r="P334" s="498" t="s">
        <v>2863</v>
      </c>
      <c r="Q334" s="1361"/>
      <c r="S334" s="597"/>
      <c r="T334" s="597"/>
      <c r="U334" s="597"/>
      <c r="V334" s="597"/>
      <c r="W334" s="597"/>
      <c r="X334" s="597"/>
      <c r="Y334" s="597"/>
      <c r="Z334" s="597"/>
      <c r="AA334" s="597"/>
    </row>
    <row r="335" spans="2:27" ht="12" customHeight="1">
      <c r="B335" s="767"/>
      <c r="C335" s="762" t="s">
        <v>3987</v>
      </c>
      <c r="D335" s="762" t="s">
        <v>2142</v>
      </c>
      <c r="E335" s="766" t="s">
        <v>3988</v>
      </c>
      <c r="F335" s="766" t="s">
        <v>439</v>
      </c>
      <c r="G335" s="764" t="s">
        <v>750</v>
      </c>
      <c r="H335" s="765" t="s">
        <v>3473</v>
      </c>
      <c r="I335" s="681"/>
      <c r="J335" s="614" t="s">
        <v>1236</v>
      </c>
      <c r="K335" s="615"/>
      <c r="L335" s="610"/>
      <c r="M335" s="611"/>
      <c r="N335" s="616" t="s">
        <v>3833</v>
      </c>
      <c r="O335" s="616" t="s">
        <v>3225</v>
      </c>
      <c r="P335" s="498" t="s">
        <v>2864</v>
      </c>
      <c r="Q335" s="1361"/>
      <c r="S335" s="597"/>
      <c r="T335" s="597"/>
      <c r="U335" s="597"/>
      <c r="V335" s="597"/>
      <c r="W335" s="597"/>
      <c r="X335" s="597"/>
      <c r="Y335" s="597"/>
      <c r="Z335" s="597"/>
      <c r="AA335" s="597"/>
    </row>
    <row r="336" spans="2:27" ht="12" customHeight="1">
      <c r="B336" s="767"/>
      <c r="C336" s="762" t="s">
        <v>1244</v>
      </c>
      <c r="D336" s="762" t="s">
        <v>2142</v>
      </c>
      <c r="E336" s="763" t="s">
        <v>3758</v>
      </c>
      <c r="F336" s="766" t="s">
        <v>440</v>
      </c>
      <c r="G336" s="764" t="s">
        <v>751</v>
      </c>
      <c r="H336" s="765" t="s">
        <v>3474</v>
      </c>
      <c r="I336" s="682"/>
      <c r="J336" s="614" t="s">
        <v>1102</v>
      </c>
      <c r="K336" s="615"/>
      <c r="L336" s="610"/>
      <c r="M336" s="611"/>
      <c r="N336" s="498" t="s">
        <v>472</v>
      </c>
      <c r="O336" s="498" t="s">
        <v>1178</v>
      </c>
      <c r="P336" s="1363" t="s">
        <v>967</v>
      </c>
      <c r="Q336" s="1361"/>
      <c r="S336" s="597"/>
      <c r="T336" s="597"/>
      <c r="U336" s="597"/>
      <c r="V336" s="597"/>
      <c r="W336" s="597"/>
      <c r="X336" s="597"/>
      <c r="Y336" s="597"/>
      <c r="Z336" s="597"/>
      <c r="AA336" s="597"/>
    </row>
    <row r="337" spans="1:27" ht="12" customHeight="1">
      <c r="B337" s="767"/>
      <c r="C337" s="762" t="s">
        <v>1245</v>
      </c>
      <c r="D337" s="762" t="s">
        <v>2384</v>
      </c>
      <c r="E337" s="766" t="s">
        <v>676</v>
      </c>
      <c r="F337" s="763" t="s">
        <v>439</v>
      </c>
      <c r="G337" s="764" t="s">
        <v>752</v>
      </c>
      <c r="H337" s="765" t="s">
        <v>3473</v>
      </c>
      <c r="I337" s="682"/>
      <c r="J337" s="614" t="s">
        <v>3888</v>
      </c>
      <c r="K337" s="615"/>
      <c r="L337" s="610"/>
      <c r="M337" s="611"/>
      <c r="N337" s="616" t="s">
        <v>2812</v>
      </c>
      <c r="O337" s="616" t="s">
        <v>3979</v>
      </c>
      <c r="P337" s="498" t="s">
        <v>2865</v>
      </c>
      <c r="Q337" s="1361"/>
      <c r="S337" s="597"/>
      <c r="T337" s="597"/>
      <c r="U337" s="597"/>
      <c r="V337" s="597"/>
      <c r="W337" s="597"/>
      <c r="X337" s="597"/>
      <c r="Y337" s="597"/>
      <c r="Z337" s="597"/>
      <c r="AA337" s="597"/>
    </row>
    <row r="338" spans="1:27" ht="12" customHeight="1">
      <c r="B338" s="767"/>
      <c r="C338" s="762" t="s">
        <v>677</v>
      </c>
      <c r="D338" s="762" t="s">
        <v>2166</v>
      </c>
      <c r="E338" s="766" t="s">
        <v>678</v>
      </c>
      <c r="F338" s="766" t="s">
        <v>439</v>
      </c>
      <c r="G338" s="764" t="s">
        <v>3471</v>
      </c>
      <c r="H338" s="765" t="s">
        <v>3473</v>
      </c>
      <c r="I338" s="682"/>
      <c r="J338" s="614" t="s">
        <v>3889</v>
      </c>
      <c r="K338" s="615"/>
      <c r="L338" s="610"/>
      <c r="M338" s="611"/>
      <c r="N338" s="616" t="s">
        <v>2814</v>
      </c>
      <c r="O338" s="616" t="s">
        <v>3995</v>
      </c>
      <c r="P338" s="498" t="s">
        <v>2866</v>
      </c>
      <c r="Q338" s="1361"/>
      <c r="R338" s="432"/>
      <c r="S338" s="498"/>
      <c r="T338" s="597"/>
      <c r="U338" s="597"/>
      <c r="V338" s="597"/>
      <c r="W338" s="597"/>
      <c r="X338" s="597"/>
      <c r="Y338" s="597"/>
      <c r="Z338" s="597"/>
      <c r="AA338" s="597"/>
    </row>
    <row r="339" spans="1:27" ht="12" customHeight="1">
      <c r="B339" s="767"/>
      <c r="C339" s="762" t="s">
        <v>679</v>
      </c>
      <c r="D339" s="762" t="s">
        <v>2166</v>
      </c>
      <c r="E339" s="766" t="s">
        <v>680</v>
      </c>
      <c r="F339" s="766" t="s">
        <v>439</v>
      </c>
      <c r="G339" s="764" t="s">
        <v>3472</v>
      </c>
      <c r="H339" s="765" t="s">
        <v>3473</v>
      </c>
      <c r="I339" s="682"/>
      <c r="J339" s="614" t="s">
        <v>1851</v>
      </c>
      <c r="K339" s="615"/>
      <c r="L339" s="610"/>
      <c r="M339" s="611"/>
      <c r="N339" s="616" t="s">
        <v>2816</v>
      </c>
      <c r="O339" s="616" t="s">
        <v>3749</v>
      </c>
      <c r="P339" s="498" t="s">
        <v>2867</v>
      </c>
      <c r="Q339" s="1361"/>
      <c r="R339" s="432"/>
      <c r="S339" s="498"/>
      <c r="T339" s="597"/>
      <c r="U339" s="597"/>
      <c r="V339" s="597"/>
      <c r="W339" s="597"/>
      <c r="X339" s="597"/>
      <c r="Y339" s="597"/>
      <c r="Z339" s="597"/>
      <c r="AA339" s="597"/>
    </row>
    <row r="340" spans="1:27" ht="12" customHeight="1">
      <c r="B340" s="769"/>
      <c r="C340" s="762" t="s">
        <v>681</v>
      </c>
      <c r="D340" s="762" t="s">
        <v>2384</v>
      </c>
      <c r="E340" s="766" t="s">
        <v>1407</v>
      </c>
      <c r="F340" s="766" t="s">
        <v>440</v>
      </c>
      <c r="G340" s="764" t="s">
        <v>2423</v>
      </c>
      <c r="H340" s="765" t="s">
        <v>3474</v>
      </c>
      <c r="J340" s="614" t="s">
        <v>2811</v>
      </c>
      <c r="K340" s="615"/>
      <c r="L340" s="610"/>
      <c r="M340" s="611"/>
      <c r="N340" s="616" t="s">
        <v>591</v>
      </c>
      <c r="O340" s="616" t="s">
        <v>2056</v>
      </c>
      <c r="P340" s="498" t="s">
        <v>2868</v>
      </c>
      <c r="Q340" s="1361"/>
      <c r="R340" s="432"/>
      <c r="S340" s="498"/>
      <c r="T340" s="597"/>
      <c r="U340" s="597"/>
      <c r="V340" s="597"/>
      <c r="W340" s="597"/>
      <c r="X340" s="597"/>
      <c r="Y340" s="597"/>
      <c r="Z340" s="597"/>
      <c r="AA340" s="597"/>
    </row>
    <row r="341" spans="1:27" ht="12" customHeight="1">
      <c r="F341" s="562"/>
      <c r="J341" s="614" t="s">
        <v>2813</v>
      </c>
      <c r="K341" s="615"/>
      <c r="L341" s="610"/>
      <c r="M341" s="611"/>
      <c r="N341" s="616" t="s">
        <v>593</v>
      </c>
      <c r="O341" s="616" t="s">
        <v>2461</v>
      </c>
      <c r="P341" s="498" t="s">
        <v>2869</v>
      </c>
      <c r="Q341" s="597"/>
      <c r="R341" s="432"/>
      <c r="S341" s="498"/>
      <c r="T341" s="597"/>
      <c r="U341" s="597"/>
      <c r="V341" s="597"/>
      <c r="W341" s="597"/>
      <c r="X341" s="597"/>
      <c r="Y341" s="597"/>
      <c r="Z341" s="597"/>
      <c r="AA341" s="597"/>
    </row>
    <row r="342" spans="1:27" ht="12" customHeight="1">
      <c r="A342" s="597"/>
      <c r="B342" s="598"/>
      <c r="C342" s="597"/>
      <c r="D342" s="597"/>
      <c r="E342" s="597"/>
      <c r="G342" s="597"/>
      <c r="H342" s="597"/>
      <c r="I342" s="597"/>
      <c r="J342" s="614" t="s">
        <v>2815</v>
      </c>
      <c r="K342" s="615"/>
      <c r="L342" s="610"/>
      <c r="M342" s="611"/>
      <c r="N342" s="498" t="s">
        <v>473</v>
      </c>
      <c r="O342" s="498" t="s">
        <v>3175</v>
      </c>
      <c r="P342" s="1363" t="s">
        <v>967</v>
      </c>
      <c r="Q342" s="597"/>
      <c r="R342" s="432"/>
      <c r="S342" s="498"/>
      <c r="T342" s="597"/>
      <c r="U342" s="597"/>
      <c r="V342" s="597"/>
      <c r="W342" s="597"/>
      <c r="X342" s="597"/>
      <c r="Y342" s="597"/>
      <c r="Z342" s="597"/>
      <c r="AA342" s="597"/>
    </row>
    <row r="343" spans="1:27" ht="12" customHeight="1">
      <c r="A343" s="597"/>
      <c r="B343" s="598"/>
      <c r="C343" s="597"/>
      <c r="D343" s="597"/>
      <c r="E343" s="597"/>
      <c r="F343" s="597"/>
      <c r="G343" s="597"/>
      <c r="H343" s="597"/>
      <c r="I343" s="597"/>
      <c r="J343" s="614" t="s">
        <v>589</v>
      </c>
      <c r="K343" s="615"/>
      <c r="L343" s="610"/>
      <c r="M343" s="611"/>
      <c r="N343" s="616" t="s">
        <v>3678</v>
      </c>
      <c r="O343" s="616" t="s">
        <v>670</v>
      </c>
      <c r="P343" s="498" t="s">
        <v>2870</v>
      </c>
      <c r="Q343" s="597"/>
      <c r="R343" s="432"/>
      <c r="S343" s="498"/>
      <c r="T343" s="597"/>
      <c r="U343" s="597"/>
      <c r="V343" s="597"/>
      <c r="W343" s="597"/>
      <c r="X343" s="597"/>
      <c r="Y343" s="597"/>
      <c r="Z343" s="597"/>
      <c r="AA343" s="597"/>
    </row>
    <row r="344" spans="1:27" ht="12" customHeight="1">
      <c r="A344" s="597"/>
      <c r="B344" s="598"/>
      <c r="C344" s="597"/>
      <c r="D344" s="597"/>
      <c r="E344" s="597"/>
      <c r="F344" s="597"/>
      <c r="G344" s="597"/>
      <c r="H344" s="597"/>
      <c r="I344" s="597"/>
      <c r="J344" s="614" t="s">
        <v>590</v>
      </c>
      <c r="K344" s="615"/>
      <c r="L344" s="610"/>
      <c r="M344" s="611"/>
      <c r="N344" s="616" t="s">
        <v>3680</v>
      </c>
      <c r="O344" s="616" t="s">
        <v>1011</v>
      </c>
      <c r="P344" s="498" t="s">
        <v>2871</v>
      </c>
      <c r="Q344" s="597"/>
      <c r="R344" s="432"/>
      <c r="S344" s="498"/>
      <c r="T344" s="597"/>
      <c r="U344" s="597"/>
      <c r="V344" s="597"/>
      <c r="W344" s="597"/>
      <c r="X344" s="597"/>
      <c r="Y344" s="597"/>
      <c r="Z344" s="597"/>
      <c r="AA344" s="597"/>
    </row>
    <row r="345" spans="1:27" ht="12" customHeight="1">
      <c r="A345" s="597"/>
      <c r="B345" s="598"/>
      <c r="C345" s="597"/>
      <c r="D345" s="597"/>
      <c r="E345" s="597"/>
      <c r="F345" s="597"/>
      <c r="G345" s="597"/>
      <c r="H345" s="597"/>
      <c r="I345" s="597"/>
      <c r="J345" s="614" t="s">
        <v>592</v>
      </c>
      <c r="K345" s="615"/>
      <c r="L345" s="610"/>
      <c r="M345" s="611"/>
      <c r="N345" s="616" t="s">
        <v>4010</v>
      </c>
      <c r="O345" s="616" t="s">
        <v>2643</v>
      </c>
      <c r="P345" s="498" t="s">
        <v>2872</v>
      </c>
      <c r="Q345" s="597"/>
      <c r="S345" s="597"/>
      <c r="T345" s="597"/>
      <c r="U345" s="597"/>
      <c r="V345" s="597"/>
      <c r="W345" s="597"/>
      <c r="X345" s="597"/>
      <c r="Y345" s="597"/>
      <c r="Z345" s="597"/>
      <c r="AA345" s="597"/>
    </row>
    <row r="346" spans="1:27" ht="12" customHeight="1">
      <c r="A346" s="597"/>
      <c r="B346" s="598"/>
      <c r="C346" s="597"/>
      <c r="D346" s="597"/>
      <c r="E346" s="597"/>
      <c r="F346" s="597"/>
      <c r="G346" s="597"/>
      <c r="H346" s="597"/>
      <c r="I346" s="597"/>
      <c r="J346" s="614" t="s">
        <v>711</v>
      </c>
      <c r="K346" s="615"/>
      <c r="L346" s="610"/>
      <c r="M346" s="611"/>
      <c r="N346" s="616" t="s">
        <v>3931</v>
      </c>
      <c r="O346" s="616" t="s">
        <v>3225</v>
      </c>
      <c r="P346" s="498" t="s">
        <v>2873</v>
      </c>
      <c r="Q346" s="597"/>
      <c r="S346" s="597"/>
      <c r="T346" s="597"/>
      <c r="U346" s="597"/>
      <c r="V346" s="597"/>
      <c r="W346" s="597"/>
      <c r="X346" s="597"/>
      <c r="Y346" s="597"/>
      <c r="Z346" s="597"/>
      <c r="AA346" s="597"/>
    </row>
    <row r="347" spans="1:27" ht="12" customHeight="1">
      <c r="A347" s="597"/>
      <c r="B347" s="598"/>
      <c r="C347" s="597"/>
      <c r="D347" s="597"/>
      <c r="E347" s="597"/>
      <c r="F347" s="597"/>
      <c r="G347" s="597"/>
      <c r="H347" s="597"/>
      <c r="I347" s="597"/>
      <c r="J347" s="614" t="s">
        <v>712</v>
      </c>
      <c r="K347" s="615"/>
      <c r="L347" s="610"/>
      <c r="M347" s="611"/>
      <c r="N347" s="616" t="s">
        <v>2749</v>
      </c>
      <c r="O347" s="616" t="s">
        <v>668</v>
      </c>
      <c r="P347" s="498" t="s">
        <v>2874</v>
      </c>
      <c r="Q347" s="597"/>
      <c r="S347" s="597"/>
      <c r="T347" s="597"/>
      <c r="U347" s="597"/>
      <c r="V347" s="597"/>
      <c r="W347" s="597"/>
      <c r="X347" s="597"/>
      <c r="Y347" s="597"/>
      <c r="Z347" s="597"/>
      <c r="AA347" s="597"/>
    </row>
    <row r="348" spans="1:27" ht="12" customHeight="1">
      <c r="A348" s="597"/>
      <c r="B348" s="598"/>
      <c r="C348" s="597"/>
      <c r="D348" s="597"/>
      <c r="E348" s="597"/>
      <c r="F348" s="597"/>
      <c r="G348" s="597"/>
      <c r="H348" s="597"/>
      <c r="I348" s="597"/>
      <c r="J348" s="614" t="s">
        <v>3679</v>
      </c>
      <c r="K348" s="615"/>
      <c r="L348" s="610"/>
      <c r="M348" s="611"/>
      <c r="N348" s="616" t="s">
        <v>1340</v>
      </c>
      <c r="O348" s="616" t="s">
        <v>2749</v>
      </c>
      <c r="P348" s="498" t="s">
        <v>2875</v>
      </c>
      <c r="Q348" s="597"/>
      <c r="S348" s="597"/>
      <c r="T348" s="597"/>
      <c r="U348" s="597"/>
      <c r="V348" s="597"/>
      <c r="W348" s="597"/>
      <c r="X348" s="597"/>
      <c r="Y348" s="597"/>
      <c r="Z348" s="597"/>
      <c r="AA348" s="597"/>
    </row>
    <row r="349" spans="1:27" ht="12" customHeight="1">
      <c r="A349" s="597"/>
      <c r="B349" s="598"/>
      <c r="C349" s="597"/>
      <c r="D349" s="597"/>
      <c r="E349" s="597"/>
      <c r="F349" s="597"/>
      <c r="G349" s="597"/>
      <c r="H349" s="597"/>
      <c r="I349" s="597"/>
      <c r="J349" s="614" t="s">
        <v>4009</v>
      </c>
      <c r="K349" s="615"/>
      <c r="L349" s="610"/>
      <c r="M349" s="611"/>
      <c r="N349" s="498" t="s">
        <v>474</v>
      </c>
      <c r="O349" s="498" t="s">
        <v>3225</v>
      </c>
      <c r="P349" s="1363" t="s">
        <v>967</v>
      </c>
      <c r="Q349" s="597"/>
      <c r="S349" s="597"/>
      <c r="T349" s="597"/>
      <c r="U349" s="597"/>
      <c r="V349" s="597"/>
      <c r="W349" s="597"/>
      <c r="X349" s="597"/>
      <c r="Y349" s="597"/>
      <c r="Z349" s="597"/>
      <c r="AA349" s="597"/>
    </row>
    <row r="350" spans="1:27" ht="12" customHeight="1">
      <c r="A350" s="597"/>
      <c r="B350" s="598"/>
      <c r="C350" s="597"/>
      <c r="D350" s="597"/>
      <c r="E350" s="597"/>
      <c r="F350" s="597"/>
      <c r="G350" s="597"/>
      <c r="H350" s="597"/>
      <c r="I350" s="597"/>
      <c r="J350" s="614" t="s">
        <v>3930</v>
      </c>
      <c r="K350" s="615"/>
      <c r="L350" s="610"/>
      <c r="M350" s="611"/>
      <c r="N350" s="616" t="s">
        <v>1345</v>
      </c>
      <c r="O350" s="616" t="s">
        <v>2056</v>
      </c>
      <c r="P350" s="498" t="s">
        <v>2876</v>
      </c>
      <c r="Q350" s="597"/>
      <c r="S350" s="597"/>
      <c r="T350" s="597"/>
      <c r="U350" s="597"/>
      <c r="V350" s="597"/>
      <c r="W350" s="597"/>
      <c r="X350" s="597"/>
      <c r="Y350" s="597"/>
      <c r="Z350" s="597"/>
      <c r="AA350" s="597"/>
    </row>
    <row r="351" spans="1:27" ht="12" customHeight="1">
      <c r="A351" s="597"/>
      <c r="B351" s="598"/>
      <c r="C351" s="597"/>
      <c r="D351" s="597"/>
      <c r="E351" s="597"/>
      <c r="F351" s="597"/>
      <c r="G351" s="597"/>
      <c r="H351" s="597"/>
      <c r="I351" s="597"/>
      <c r="J351" s="614" t="s">
        <v>1212</v>
      </c>
      <c r="K351" s="615"/>
      <c r="L351" s="610"/>
      <c r="M351" s="611"/>
      <c r="N351" s="616" t="s">
        <v>1224</v>
      </c>
      <c r="O351" s="616" t="s">
        <v>2056</v>
      </c>
      <c r="P351" s="498" t="s">
        <v>2877</v>
      </c>
      <c r="Q351" s="597"/>
      <c r="S351" s="597"/>
      <c r="T351" s="597"/>
      <c r="U351" s="597"/>
      <c r="V351" s="597"/>
      <c r="W351" s="597"/>
      <c r="X351" s="597"/>
      <c r="Y351" s="597"/>
      <c r="Z351" s="597"/>
      <c r="AA351" s="597"/>
    </row>
    <row r="352" spans="1:27" ht="12" customHeight="1">
      <c r="A352" s="597"/>
      <c r="B352" s="598"/>
      <c r="C352" s="597"/>
      <c r="D352" s="597"/>
      <c r="E352" s="597"/>
      <c r="F352" s="597"/>
      <c r="G352" s="597"/>
      <c r="H352" s="597"/>
      <c r="I352" s="597"/>
      <c r="J352" s="614" t="s">
        <v>1339</v>
      </c>
      <c r="K352" s="615"/>
      <c r="L352" s="610"/>
      <c r="M352" s="611"/>
      <c r="N352" s="616" t="s">
        <v>3153</v>
      </c>
      <c r="O352" s="616" t="s">
        <v>3994</v>
      </c>
      <c r="P352" s="498" t="s">
        <v>2878</v>
      </c>
      <c r="Q352" s="597"/>
      <c r="S352" s="597"/>
      <c r="T352" s="597"/>
      <c r="U352" s="597"/>
      <c r="V352" s="597"/>
      <c r="W352" s="597"/>
      <c r="X352" s="597"/>
      <c r="Y352" s="597"/>
      <c r="Z352" s="597"/>
      <c r="AA352" s="597"/>
    </row>
    <row r="353" spans="1:27" ht="12" customHeight="1">
      <c r="A353" s="597"/>
      <c r="B353" s="598"/>
      <c r="C353" s="597"/>
      <c r="D353" s="597"/>
      <c r="E353" s="597"/>
      <c r="F353" s="597"/>
      <c r="G353" s="597"/>
      <c r="H353" s="597"/>
      <c r="I353" s="597"/>
      <c r="J353" s="614" t="s">
        <v>1341</v>
      </c>
      <c r="K353" s="615"/>
      <c r="L353" s="610"/>
      <c r="M353" s="611"/>
      <c r="N353" s="618" t="s">
        <v>3122</v>
      </c>
      <c r="O353" s="616" t="s">
        <v>3225</v>
      </c>
      <c r="P353" s="498" t="s">
        <v>2879</v>
      </c>
      <c r="Q353" s="597"/>
      <c r="S353" s="597"/>
      <c r="T353" s="597"/>
      <c r="U353" s="597"/>
      <c r="V353" s="597"/>
      <c r="W353" s="597"/>
      <c r="X353" s="597"/>
      <c r="Y353" s="597"/>
      <c r="Z353" s="597"/>
      <c r="AA353" s="597"/>
    </row>
    <row r="354" spans="1:27" ht="12" customHeight="1">
      <c r="A354" s="597"/>
      <c r="B354" s="598"/>
      <c r="C354" s="597"/>
      <c r="D354" s="597"/>
      <c r="E354" s="597"/>
      <c r="F354" s="597"/>
      <c r="G354" s="597"/>
      <c r="H354" s="597"/>
      <c r="I354" s="597"/>
      <c r="J354" s="614" t="s">
        <v>1342</v>
      </c>
      <c r="K354" s="615"/>
      <c r="L354" s="610"/>
      <c r="M354" s="611"/>
      <c r="N354" s="616" t="s">
        <v>1343</v>
      </c>
      <c r="O354" s="616" t="s">
        <v>791</v>
      </c>
      <c r="P354" s="498" t="s">
        <v>2880</v>
      </c>
      <c r="Q354" s="597"/>
      <c r="S354" s="597"/>
      <c r="T354" s="597"/>
      <c r="U354" s="597"/>
      <c r="V354" s="597"/>
      <c r="W354" s="597"/>
      <c r="X354" s="597"/>
      <c r="Y354" s="597"/>
      <c r="Z354" s="597"/>
      <c r="AA354" s="597"/>
    </row>
    <row r="355" spans="1:27" ht="12" customHeight="1">
      <c r="A355" s="597"/>
      <c r="B355" s="598"/>
      <c r="C355" s="597"/>
      <c r="D355" s="597"/>
      <c r="E355" s="597"/>
      <c r="F355" s="597"/>
      <c r="G355" s="597"/>
      <c r="H355" s="597"/>
      <c r="I355" s="597"/>
      <c r="J355" s="614" t="s">
        <v>1344</v>
      </c>
      <c r="K355" s="615"/>
      <c r="L355" s="610"/>
      <c r="M355" s="611"/>
      <c r="N355" s="616" t="s">
        <v>2400</v>
      </c>
      <c r="O355" s="616" t="s">
        <v>2056</v>
      </c>
      <c r="P355" s="498" t="s">
        <v>2881</v>
      </c>
      <c r="Q355" s="597"/>
      <c r="S355" s="597"/>
      <c r="T355" s="597"/>
      <c r="U355" s="597"/>
      <c r="V355" s="597"/>
      <c r="W355" s="597"/>
      <c r="X355" s="597"/>
      <c r="Y355" s="597"/>
      <c r="Z355" s="597"/>
      <c r="AA355" s="597"/>
    </row>
    <row r="356" spans="1:27" ht="12" customHeight="1">
      <c r="A356" s="597"/>
      <c r="B356" s="598"/>
      <c r="C356" s="597"/>
      <c r="D356" s="597"/>
      <c r="E356" s="597"/>
      <c r="F356" s="597"/>
      <c r="G356" s="597"/>
      <c r="H356" s="597"/>
      <c r="I356" s="597"/>
      <c r="J356" s="614" t="s">
        <v>1223</v>
      </c>
      <c r="K356" s="615"/>
      <c r="L356" s="610"/>
      <c r="M356" s="611"/>
      <c r="N356" s="616" t="s">
        <v>2402</v>
      </c>
      <c r="O356" s="616" t="s">
        <v>3171</v>
      </c>
      <c r="P356" s="611" t="s">
        <v>2882</v>
      </c>
      <c r="Q356" s="597"/>
      <c r="S356" s="597"/>
      <c r="T356" s="597"/>
      <c r="U356" s="597"/>
      <c r="V356" s="597"/>
      <c r="W356" s="597"/>
      <c r="X356" s="597"/>
      <c r="Y356" s="597"/>
      <c r="Z356" s="597"/>
      <c r="AA356" s="597"/>
    </row>
    <row r="357" spans="1:27" ht="12" customHeight="1">
      <c r="A357" s="597"/>
      <c r="B357" s="598"/>
      <c r="C357" s="597"/>
      <c r="D357" s="597"/>
      <c r="E357" s="597"/>
      <c r="F357" s="597"/>
      <c r="G357" s="597"/>
      <c r="H357" s="597"/>
      <c r="I357" s="597"/>
      <c r="J357" s="614" t="s">
        <v>3152</v>
      </c>
      <c r="K357" s="615"/>
      <c r="L357" s="610"/>
      <c r="M357" s="611"/>
      <c r="N357" s="498" t="s">
        <v>475</v>
      </c>
      <c r="O357" s="498" t="s">
        <v>1013</v>
      </c>
      <c r="P357" s="1363" t="s">
        <v>967</v>
      </c>
      <c r="Q357" s="597"/>
      <c r="S357" s="597"/>
      <c r="T357" s="597"/>
      <c r="U357" s="597"/>
      <c r="V357" s="597"/>
      <c r="W357" s="597"/>
      <c r="X357" s="597"/>
      <c r="Y357" s="597"/>
      <c r="Z357" s="597"/>
      <c r="AA357" s="597"/>
    </row>
    <row r="358" spans="1:27" ht="12" customHeight="1">
      <c r="A358" s="597"/>
      <c r="B358" s="598"/>
      <c r="C358" s="597"/>
      <c r="D358" s="597"/>
      <c r="E358" s="597"/>
      <c r="F358" s="597"/>
      <c r="G358" s="597"/>
      <c r="H358" s="597"/>
      <c r="I358" s="597"/>
      <c r="J358" s="614" t="s">
        <v>2399</v>
      </c>
      <c r="K358" s="615"/>
      <c r="L358" s="610"/>
      <c r="M358" s="611"/>
      <c r="N358" s="498" t="s">
        <v>476</v>
      </c>
      <c r="O358" s="498" t="s">
        <v>524</v>
      </c>
      <c r="P358" s="1363" t="s">
        <v>967</v>
      </c>
      <c r="Q358" s="597"/>
      <c r="S358" s="597"/>
      <c r="T358" s="597"/>
      <c r="U358" s="597"/>
      <c r="V358" s="597"/>
      <c r="W358" s="597"/>
      <c r="X358" s="597"/>
      <c r="Y358" s="597"/>
      <c r="Z358" s="597"/>
      <c r="AA358" s="597"/>
    </row>
    <row r="359" spans="1:27" ht="12" customHeight="1">
      <c r="A359" s="597"/>
      <c r="B359" s="598"/>
      <c r="C359" s="597"/>
      <c r="D359" s="597"/>
      <c r="E359" s="597"/>
      <c r="F359" s="597"/>
      <c r="G359" s="597"/>
      <c r="H359" s="597"/>
      <c r="I359" s="597"/>
      <c r="J359" s="614" t="s">
        <v>2401</v>
      </c>
      <c r="K359" s="615"/>
      <c r="L359" s="610"/>
      <c r="M359" s="611"/>
      <c r="N359" s="616" t="s">
        <v>2404</v>
      </c>
      <c r="O359" s="616" t="s">
        <v>2379</v>
      </c>
      <c r="P359" s="611" t="s">
        <v>2883</v>
      </c>
      <c r="Q359" s="597"/>
      <c r="S359" s="597"/>
      <c r="T359" s="597"/>
      <c r="U359" s="597"/>
      <c r="V359" s="597"/>
      <c r="W359" s="597"/>
      <c r="X359" s="597"/>
      <c r="Y359" s="597"/>
      <c r="Z359" s="597"/>
      <c r="AA359" s="597"/>
    </row>
    <row r="360" spans="1:27" ht="12" customHeight="1">
      <c r="A360" s="597"/>
      <c r="B360" s="598"/>
      <c r="C360" s="597"/>
      <c r="D360" s="597"/>
      <c r="E360" s="597"/>
      <c r="F360" s="597"/>
      <c r="G360" s="597"/>
      <c r="H360" s="597"/>
      <c r="I360" s="597"/>
      <c r="J360" s="614" t="s">
        <v>2403</v>
      </c>
      <c r="K360" s="615"/>
      <c r="L360" s="610"/>
      <c r="M360" s="611"/>
      <c r="N360" s="616" t="s">
        <v>603</v>
      </c>
      <c r="O360" s="616" t="s">
        <v>3836</v>
      </c>
      <c r="P360" s="611" t="s">
        <v>2884</v>
      </c>
      <c r="Q360" s="597"/>
      <c r="S360" s="597"/>
      <c r="T360" s="597"/>
      <c r="U360" s="597"/>
      <c r="V360" s="597"/>
      <c r="W360" s="597"/>
      <c r="X360" s="597"/>
      <c r="Y360" s="597"/>
      <c r="Z360" s="597"/>
      <c r="AA360" s="597"/>
    </row>
    <row r="361" spans="1:27" ht="12" customHeight="1">
      <c r="A361" s="597"/>
      <c r="B361" s="598"/>
      <c r="C361" s="597"/>
      <c r="D361" s="597"/>
      <c r="E361" s="597"/>
      <c r="F361" s="597"/>
      <c r="G361" s="597"/>
      <c r="H361" s="597"/>
      <c r="I361" s="597"/>
      <c r="J361" s="614" t="s">
        <v>602</v>
      </c>
      <c r="K361" s="615"/>
      <c r="L361" s="610"/>
      <c r="M361" s="611"/>
      <c r="N361" s="616" t="s">
        <v>3478</v>
      </c>
      <c r="O361" s="616" t="s">
        <v>2457</v>
      </c>
      <c r="P361" s="611" t="s">
        <v>2885</v>
      </c>
      <c r="Q361" s="597"/>
      <c r="S361" s="597"/>
      <c r="T361" s="597"/>
      <c r="U361" s="597"/>
      <c r="V361" s="597"/>
      <c r="W361" s="597"/>
      <c r="X361" s="597"/>
      <c r="Y361" s="597"/>
      <c r="Z361" s="597"/>
      <c r="AA361" s="597"/>
    </row>
    <row r="362" spans="1:27" ht="12" customHeight="1">
      <c r="A362" s="597"/>
      <c r="B362" s="598"/>
      <c r="C362" s="597"/>
      <c r="D362" s="597"/>
      <c r="E362" s="597"/>
      <c r="F362" s="597"/>
      <c r="G362" s="597"/>
      <c r="H362" s="597"/>
      <c r="I362" s="597"/>
      <c r="J362" s="614" t="s">
        <v>604</v>
      </c>
      <c r="K362" s="615"/>
      <c r="L362" s="610"/>
      <c r="M362" s="611"/>
      <c r="N362" s="616" t="s">
        <v>3825</v>
      </c>
      <c r="O362" s="616" t="s">
        <v>3173</v>
      </c>
      <c r="P362" s="611" t="s">
        <v>2886</v>
      </c>
      <c r="Q362" s="597"/>
      <c r="S362" s="597"/>
      <c r="T362" s="597"/>
      <c r="U362" s="597"/>
      <c r="V362" s="597"/>
      <c r="W362" s="597"/>
      <c r="X362" s="597"/>
      <c r="Y362" s="597"/>
      <c r="Z362" s="597"/>
      <c r="AA362" s="597"/>
    </row>
    <row r="363" spans="1:27" ht="12" customHeight="1">
      <c r="A363" s="597"/>
      <c r="B363" s="598"/>
      <c r="C363" s="597"/>
      <c r="D363" s="597"/>
      <c r="E363" s="597"/>
      <c r="F363" s="597"/>
      <c r="G363" s="597"/>
      <c r="H363" s="597"/>
      <c r="I363" s="597"/>
      <c r="J363" s="614" t="s">
        <v>3824</v>
      </c>
      <c r="K363" s="615"/>
      <c r="L363" s="610"/>
      <c r="M363" s="611"/>
      <c r="N363" s="616" t="s">
        <v>3722</v>
      </c>
      <c r="O363" s="616" t="s">
        <v>2163</v>
      </c>
      <c r="P363" s="611" t="s">
        <v>2887</v>
      </c>
      <c r="Q363" s="597"/>
      <c r="S363" s="597"/>
      <c r="T363" s="597"/>
      <c r="U363" s="597"/>
      <c r="V363" s="597"/>
      <c r="W363" s="597"/>
      <c r="X363" s="597"/>
      <c r="Y363" s="597"/>
      <c r="Z363" s="597"/>
      <c r="AA363" s="597"/>
    </row>
    <row r="364" spans="1:27" ht="12" customHeight="1">
      <c r="A364" s="597"/>
      <c r="B364" s="598"/>
      <c r="C364" s="597"/>
      <c r="D364" s="597"/>
      <c r="E364" s="597"/>
      <c r="F364" s="597"/>
      <c r="G364" s="597"/>
      <c r="H364" s="597"/>
      <c r="I364" s="597"/>
      <c r="J364" s="614" t="s">
        <v>3826</v>
      </c>
      <c r="K364" s="615"/>
      <c r="L364" s="610"/>
      <c r="M364" s="611"/>
      <c r="N364" s="616" t="s">
        <v>1462</v>
      </c>
      <c r="O364" s="616" t="s">
        <v>2754</v>
      </c>
      <c r="P364" s="611" t="s">
        <v>2888</v>
      </c>
      <c r="Q364" s="597"/>
      <c r="S364" s="597"/>
      <c r="T364" s="597"/>
      <c r="U364" s="597"/>
      <c r="V364" s="597"/>
      <c r="W364" s="597"/>
      <c r="X364" s="597"/>
      <c r="Y364" s="597"/>
      <c r="Z364" s="597"/>
      <c r="AA364" s="597"/>
    </row>
    <row r="365" spans="1:27" ht="12" customHeight="1">
      <c r="A365" s="597"/>
      <c r="B365" s="598"/>
      <c r="C365" s="597"/>
      <c r="D365" s="597"/>
      <c r="E365" s="597"/>
      <c r="F365" s="597"/>
      <c r="G365" s="597"/>
      <c r="H365" s="597"/>
      <c r="I365" s="597"/>
      <c r="J365" s="614" t="s">
        <v>1461</v>
      </c>
      <c r="K365" s="615"/>
      <c r="L365" s="610"/>
      <c r="M365" s="611"/>
      <c r="N365" s="616" t="s">
        <v>1346</v>
      </c>
      <c r="O365" s="616" t="s">
        <v>2467</v>
      </c>
      <c r="P365" s="611" t="s">
        <v>2889</v>
      </c>
      <c r="Q365" s="597"/>
      <c r="S365" s="597"/>
      <c r="T365" s="597"/>
      <c r="U365" s="597"/>
      <c r="V365" s="597"/>
      <c r="W365" s="597"/>
      <c r="X365" s="597"/>
      <c r="Y365" s="597"/>
      <c r="Z365" s="597"/>
      <c r="AA365" s="597"/>
    </row>
    <row r="366" spans="1:27" ht="12" customHeight="1">
      <c r="A366" s="597"/>
      <c r="B366" s="598"/>
      <c r="C366" s="597"/>
      <c r="D366" s="597"/>
      <c r="E366" s="597"/>
      <c r="F366" s="597"/>
      <c r="G366" s="597"/>
      <c r="H366" s="597"/>
      <c r="I366" s="597"/>
      <c r="J366" s="614" t="s">
        <v>1463</v>
      </c>
      <c r="K366" s="615"/>
      <c r="L366" s="610"/>
      <c r="M366" s="611"/>
      <c r="N366" s="616" t="s">
        <v>1310</v>
      </c>
      <c r="O366" s="616" t="s">
        <v>670</v>
      </c>
      <c r="P366" s="611" t="s">
        <v>2890</v>
      </c>
      <c r="Q366" s="597"/>
      <c r="S366" s="597"/>
      <c r="T366" s="597"/>
      <c r="U366" s="597"/>
      <c r="V366" s="597"/>
      <c r="W366" s="597"/>
      <c r="X366" s="597"/>
      <c r="Y366" s="597"/>
      <c r="Z366" s="597"/>
      <c r="AA366" s="597"/>
    </row>
    <row r="367" spans="1:27" ht="12" customHeight="1">
      <c r="A367" s="597"/>
      <c r="B367" s="598"/>
      <c r="C367" s="597"/>
      <c r="D367" s="597"/>
      <c r="E367" s="597"/>
      <c r="F367" s="597"/>
      <c r="G367" s="597"/>
      <c r="H367" s="597"/>
      <c r="I367" s="597"/>
      <c r="J367" s="614" t="s">
        <v>1309</v>
      </c>
      <c r="K367" s="615"/>
      <c r="L367" s="610"/>
      <c r="M367" s="611"/>
      <c r="N367" s="616" t="s">
        <v>1313</v>
      </c>
      <c r="O367" s="616" t="s">
        <v>3171</v>
      </c>
      <c r="P367" s="611" t="s">
        <v>2891</v>
      </c>
      <c r="Q367" s="597"/>
      <c r="S367" s="597"/>
      <c r="T367" s="597"/>
      <c r="U367" s="597"/>
      <c r="V367" s="597"/>
      <c r="W367" s="597"/>
      <c r="X367" s="597"/>
      <c r="Y367" s="597"/>
      <c r="Z367" s="597"/>
      <c r="AA367" s="597"/>
    </row>
    <row r="368" spans="1:27" ht="12" customHeight="1">
      <c r="A368" s="597"/>
      <c r="B368" s="598"/>
      <c r="C368" s="597"/>
      <c r="D368" s="597"/>
      <c r="E368" s="597"/>
      <c r="F368" s="597"/>
      <c r="G368" s="597"/>
      <c r="H368" s="597"/>
      <c r="I368" s="597"/>
      <c r="J368" s="614" t="s">
        <v>1311</v>
      </c>
      <c r="K368" s="615"/>
      <c r="L368" s="610"/>
      <c r="M368" s="611"/>
      <c r="N368" s="616" t="s">
        <v>1315</v>
      </c>
      <c r="O368" s="616" t="s">
        <v>2145</v>
      </c>
      <c r="P368" s="611" t="s">
        <v>2892</v>
      </c>
      <c r="Q368" s="597"/>
      <c r="S368" s="597"/>
      <c r="T368" s="597"/>
      <c r="U368" s="597"/>
      <c r="V368" s="597"/>
      <c r="W368" s="597"/>
      <c r="X368" s="597"/>
      <c r="Y368" s="597"/>
      <c r="Z368" s="597"/>
      <c r="AA368" s="597"/>
    </row>
    <row r="369" spans="1:27" ht="12" customHeight="1">
      <c r="A369" s="597"/>
      <c r="B369" s="598"/>
      <c r="C369" s="597"/>
      <c r="D369" s="597"/>
      <c r="E369" s="597"/>
      <c r="F369" s="597"/>
      <c r="G369" s="597"/>
      <c r="H369" s="597"/>
      <c r="I369" s="597"/>
      <c r="J369" s="614" t="s">
        <v>1312</v>
      </c>
      <c r="K369" s="615"/>
      <c r="L369" s="610"/>
      <c r="M369" s="611"/>
      <c r="N369" s="616" t="s">
        <v>1317</v>
      </c>
      <c r="O369" s="616" t="s">
        <v>2148</v>
      </c>
      <c r="P369" s="611" t="s">
        <v>2893</v>
      </c>
      <c r="Q369" s="597"/>
      <c r="S369" s="597"/>
      <c r="T369" s="597"/>
      <c r="U369" s="597"/>
      <c r="V369" s="597"/>
      <c r="W369" s="597"/>
      <c r="X369" s="597"/>
      <c r="Y369" s="597"/>
      <c r="Z369" s="597"/>
      <c r="AA369" s="597"/>
    </row>
    <row r="370" spans="1:27" ht="12" customHeight="1">
      <c r="A370" s="597"/>
      <c r="B370" s="598"/>
      <c r="C370" s="597"/>
      <c r="D370" s="597"/>
      <c r="E370" s="597"/>
      <c r="F370" s="597"/>
      <c r="G370" s="597"/>
      <c r="H370" s="597"/>
      <c r="I370" s="597"/>
      <c r="J370" s="614" t="s">
        <v>1314</v>
      </c>
      <c r="K370" s="615"/>
      <c r="L370" s="610"/>
      <c r="M370" s="611"/>
      <c r="N370" s="616" t="s">
        <v>1227</v>
      </c>
      <c r="O370" s="616" t="s">
        <v>3741</v>
      </c>
      <c r="P370" s="611" t="s">
        <v>2894</v>
      </c>
      <c r="Q370" s="597"/>
      <c r="S370" s="597"/>
      <c r="T370" s="597"/>
      <c r="U370" s="597"/>
      <c r="V370" s="597"/>
      <c r="W370" s="597"/>
      <c r="X370" s="597"/>
      <c r="Y370" s="597"/>
      <c r="Z370" s="597"/>
      <c r="AA370" s="597"/>
    </row>
    <row r="371" spans="1:27" ht="12" customHeight="1">
      <c r="A371" s="597"/>
      <c r="B371" s="598"/>
      <c r="C371" s="597"/>
      <c r="D371" s="597"/>
      <c r="E371" s="597"/>
      <c r="F371" s="597"/>
      <c r="G371" s="597"/>
      <c r="H371" s="597"/>
      <c r="I371" s="597"/>
      <c r="J371" s="614" t="s">
        <v>1316</v>
      </c>
      <c r="K371" s="615"/>
      <c r="L371" s="610"/>
      <c r="M371" s="611"/>
      <c r="N371" s="616" t="s">
        <v>1230</v>
      </c>
      <c r="O371" s="616" t="s">
        <v>420</v>
      </c>
      <c r="P371" s="611" t="s">
        <v>2895</v>
      </c>
      <c r="Q371" s="597"/>
      <c r="S371" s="597"/>
      <c r="T371" s="597"/>
      <c r="U371" s="597"/>
      <c r="V371" s="597"/>
      <c r="W371" s="597"/>
      <c r="X371" s="597"/>
      <c r="Y371" s="597"/>
      <c r="Z371" s="597"/>
      <c r="AA371" s="597"/>
    </row>
    <row r="372" spans="1:27" ht="12" customHeight="1">
      <c r="A372" s="597"/>
      <c r="B372" s="598"/>
      <c r="C372" s="597"/>
      <c r="D372" s="597"/>
      <c r="E372" s="597"/>
      <c r="F372" s="597"/>
      <c r="G372" s="597"/>
      <c r="H372" s="597"/>
      <c r="I372" s="597"/>
      <c r="J372" s="614" t="s">
        <v>1226</v>
      </c>
      <c r="K372" s="615"/>
      <c r="L372" s="610"/>
      <c r="M372" s="611"/>
      <c r="N372" s="616" t="s">
        <v>1232</v>
      </c>
      <c r="O372" s="616" t="s">
        <v>2145</v>
      </c>
      <c r="P372" s="611" t="s">
        <v>2896</v>
      </c>
      <c r="Q372" s="597"/>
      <c r="S372" s="597"/>
      <c r="T372" s="597"/>
      <c r="U372" s="597"/>
      <c r="V372" s="597"/>
      <c r="W372" s="597"/>
      <c r="X372" s="597"/>
      <c r="Y372" s="597"/>
      <c r="Z372" s="597"/>
      <c r="AA372" s="597"/>
    </row>
    <row r="373" spans="1:27" ht="12" customHeight="1">
      <c r="A373" s="597"/>
      <c r="B373" s="598"/>
      <c r="C373" s="597"/>
      <c r="D373" s="597"/>
      <c r="E373" s="597"/>
      <c r="F373" s="597"/>
      <c r="G373" s="597"/>
      <c r="H373" s="597"/>
      <c r="I373" s="597"/>
      <c r="J373" s="614" t="s">
        <v>1228</v>
      </c>
      <c r="K373" s="615"/>
      <c r="L373" s="610"/>
      <c r="M373" s="611"/>
      <c r="N373" s="498" t="s">
        <v>1000</v>
      </c>
      <c r="O373" s="498" t="s">
        <v>521</v>
      </c>
      <c r="P373" s="1363" t="s">
        <v>967</v>
      </c>
      <c r="Q373" s="597"/>
      <c r="S373" s="597"/>
      <c r="T373" s="597"/>
      <c r="U373" s="597"/>
      <c r="V373" s="597"/>
      <c r="W373" s="597"/>
      <c r="X373" s="597"/>
      <c r="Y373" s="597"/>
      <c r="Z373" s="597"/>
      <c r="AA373" s="597"/>
    </row>
    <row r="374" spans="1:27" ht="12" customHeight="1">
      <c r="A374" s="597"/>
      <c r="B374" s="598"/>
      <c r="C374" s="597"/>
      <c r="D374" s="597"/>
      <c r="E374" s="597"/>
      <c r="F374" s="597"/>
      <c r="G374" s="597"/>
      <c r="H374" s="597"/>
      <c r="I374" s="597"/>
      <c r="J374" s="614" t="s">
        <v>1229</v>
      </c>
      <c r="K374" s="615"/>
      <c r="L374" s="610"/>
      <c r="M374" s="611"/>
      <c r="N374" s="498" t="s">
        <v>477</v>
      </c>
      <c r="O374" s="498" t="s">
        <v>1013</v>
      </c>
      <c r="P374" s="1363" t="s">
        <v>967</v>
      </c>
      <c r="Q374" s="597"/>
      <c r="S374" s="597"/>
      <c r="T374" s="597"/>
      <c r="U374" s="597"/>
      <c r="V374" s="597"/>
      <c r="W374" s="597"/>
      <c r="X374" s="597"/>
      <c r="Y374" s="597"/>
      <c r="Z374" s="597"/>
      <c r="AA374" s="597"/>
    </row>
    <row r="375" spans="1:27" ht="12" customHeight="1">
      <c r="A375" s="597"/>
      <c r="B375" s="598"/>
      <c r="C375" s="597"/>
      <c r="D375" s="597"/>
      <c r="E375" s="597"/>
      <c r="F375" s="597"/>
      <c r="G375" s="597"/>
      <c r="H375" s="597"/>
      <c r="I375" s="597"/>
      <c r="J375" s="614" t="s">
        <v>1231</v>
      </c>
      <c r="K375" s="615"/>
      <c r="L375" s="610"/>
      <c r="M375" s="611"/>
      <c r="N375" s="498" t="s">
        <v>478</v>
      </c>
      <c r="O375" s="498" t="s">
        <v>667</v>
      </c>
      <c r="P375" s="1363" t="s">
        <v>967</v>
      </c>
      <c r="Q375" s="597"/>
      <c r="S375" s="597"/>
      <c r="T375" s="597"/>
      <c r="U375" s="597"/>
      <c r="V375" s="597"/>
      <c r="W375" s="597"/>
      <c r="X375" s="597"/>
      <c r="Y375" s="597"/>
      <c r="Z375" s="597"/>
      <c r="AA375" s="597"/>
    </row>
    <row r="376" spans="1:27" ht="12" customHeight="1">
      <c r="A376" s="597"/>
      <c r="B376" s="598"/>
      <c r="C376" s="597"/>
      <c r="D376" s="597"/>
      <c r="E376" s="597"/>
      <c r="F376" s="597"/>
      <c r="G376" s="597"/>
      <c r="H376" s="597"/>
      <c r="I376" s="597"/>
      <c r="J376" s="614" t="s">
        <v>1233</v>
      </c>
      <c r="K376" s="615"/>
      <c r="L376" s="610"/>
      <c r="M376" s="611"/>
      <c r="N376" s="616" t="s">
        <v>3470</v>
      </c>
      <c r="O376" s="616" t="s">
        <v>2379</v>
      </c>
      <c r="P376" s="611" t="s">
        <v>2897</v>
      </c>
      <c r="Q376" s="597"/>
      <c r="S376" s="597"/>
      <c r="T376" s="597"/>
      <c r="U376" s="597"/>
      <c r="V376" s="597"/>
      <c r="W376" s="597"/>
      <c r="X376" s="597"/>
      <c r="Y376" s="597"/>
      <c r="Z376" s="597"/>
      <c r="AA376" s="597"/>
    </row>
    <row r="377" spans="1:27" ht="12" customHeight="1">
      <c r="A377" s="597"/>
      <c r="B377" s="598"/>
      <c r="C377" s="597"/>
      <c r="D377" s="597"/>
      <c r="E377" s="597"/>
      <c r="F377" s="597"/>
      <c r="G377" s="597"/>
      <c r="H377" s="597"/>
      <c r="I377" s="597"/>
      <c r="J377" s="614" t="s">
        <v>3469</v>
      </c>
      <c r="K377" s="615"/>
      <c r="L377" s="610"/>
      <c r="M377" s="611"/>
      <c r="N377" s="616" t="s">
        <v>3863</v>
      </c>
      <c r="O377" s="616" t="s">
        <v>3176</v>
      </c>
      <c r="P377" s="611" t="s">
        <v>2898</v>
      </c>
      <c r="Q377" s="597"/>
      <c r="S377" s="597"/>
      <c r="T377" s="597"/>
      <c r="U377" s="597"/>
      <c r="V377" s="597"/>
      <c r="W377" s="597"/>
      <c r="X377" s="597"/>
      <c r="Y377" s="597"/>
      <c r="Z377" s="597"/>
      <c r="AA377" s="597"/>
    </row>
    <row r="378" spans="1:27" ht="12" customHeight="1">
      <c r="A378" s="597"/>
      <c r="B378" s="598"/>
      <c r="C378" s="597"/>
      <c r="D378" s="597"/>
      <c r="E378" s="597"/>
      <c r="F378" s="597"/>
      <c r="G378" s="597"/>
      <c r="H378" s="597"/>
      <c r="I378" s="597"/>
      <c r="J378" s="614" t="s">
        <v>3918</v>
      </c>
      <c r="K378" s="615"/>
      <c r="L378" s="610"/>
      <c r="M378" s="611"/>
      <c r="N378" s="498" t="s">
        <v>479</v>
      </c>
      <c r="O378" s="498" t="s">
        <v>1176</v>
      </c>
      <c r="P378" s="1363" t="s">
        <v>967</v>
      </c>
      <c r="Q378" s="597"/>
      <c r="S378" s="597"/>
      <c r="T378" s="597"/>
      <c r="U378" s="597"/>
      <c r="V378" s="597"/>
      <c r="W378" s="597"/>
      <c r="X378" s="597"/>
      <c r="Y378" s="597"/>
      <c r="Z378" s="597"/>
      <c r="AA378" s="597"/>
    </row>
    <row r="379" spans="1:27" ht="12" customHeight="1">
      <c r="A379" s="597"/>
      <c r="B379" s="598"/>
      <c r="C379" s="597"/>
      <c r="D379" s="597"/>
      <c r="E379" s="597"/>
      <c r="F379" s="597"/>
      <c r="G379" s="597"/>
      <c r="H379" s="597"/>
      <c r="I379" s="597"/>
      <c r="J379" s="614" t="s">
        <v>1563</v>
      </c>
      <c r="K379" s="615"/>
      <c r="L379" s="610"/>
      <c r="M379" s="611"/>
      <c r="N379" s="616" t="s">
        <v>1564</v>
      </c>
      <c r="O379" s="616" t="s">
        <v>791</v>
      </c>
      <c r="P379" s="611" t="s">
        <v>2899</v>
      </c>
      <c r="Q379" s="597"/>
      <c r="S379" s="597"/>
      <c r="T379" s="597"/>
      <c r="U379" s="597"/>
      <c r="V379" s="597"/>
      <c r="W379" s="597"/>
      <c r="X379" s="597"/>
      <c r="Y379" s="597"/>
      <c r="Z379" s="597"/>
      <c r="AA379" s="597"/>
    </row>
    <row r="380" spans="1:27" ht="12" customHeight="1">
      <c r="A380" s="597"/>
      <c r="B380" s="598"/>
      <c r="C380" s="597"/>
      <c r="D380" s="597"/>
      <c r="E380" s="597"/>
      <c r="F380" s="597"/>
      <c r="G380" s="597"/>
      <c r="H380" s="597"/>
      <c r="I380" s="597"/>
      <c r="J380" s="614" t="s">
        <v>1510</v>
      </c>
      <c r="K380" s="615"/>
      <c r="L380" s="610"/>
      <c r="M380" s="611"/>
      <c r="N380" s="616" t="s">
        <v>820</v>
      </c>
      <c r="O380" s="616" t="s">
        <v>3075</v>
      </c>
      <c r="P380" s="611" t="s">
        <v>2900</v>
      </c>
      <c r="Q380" s="597"/>
      <c r="S380" s="597"/>
      <c r="T380" s="597"/>
      <c r="U380" s="597"/>
      <c r="V380" s="597"/>
      <c r="W380" s="597"/>
      <c r="X380" s="597"/>
      <c r="Y380" s="597"/>
      <c r="Z380" s="597"/>
      <c r="AA380" s="597"/>
    </row>
    <row r="381" spans="1:27" ht="12" customHeight="1">
      <c r="A381" s="597"/>
      <c r="B381" s="598"/>
      <c r="C381" s="597"/>
      <c r="D381" s="597"/>
      <c r="E381" s="597"/>
      <c r="F381" s="597"/>
      <c r="G381" s="597"/>
      <c r="H381" s="597"/>
      <c r="I381" s="597"/>
      <c r="J381" s="614" t="s">
        <v>819</v>
      </c>
      <c r="K381" s="615"/>
      <c r="L381" s="610"/>
      <c r="M381" s="611"/>
      <c r="N381" s="616" t="s">
        <v>918</v>
      </c>
      <c r="O381" s="616" t="s">
        <v>2146</v>
      </c>
      <c r="P381" s="611" t="s">
        <v>2901</v>
      </c>
      <c r="Q381" s="597"/>
      <c r="S381" s="597"/>
      <c r="T381" s="597"/>
      <c r="U381" s="597"/>
      <c r="V381" s="597"/>
      <c r="W381" s="597"/>
      <c r="X381" s="597"/>
      <c r="Y381" s="597"/>
      <c r="Z381" s="597"/>
      <c r="AA381" s="597"/>
    </row>
    <row r="382" spans="1:27" ht="12" customHeight="1">
      <c r="A382" s="597"/>
      <c r="B382" s="598"/>
      <c r="C382" s="597"/>
      <c r="D382" s="597"/>
      <c r="E382" s="597"/>
      <c r="F382" s="597"/>
      <c r="G382" s="597"/>
      <c r="H382" s="597"/>
      <c r="I382" s="597"/>
      <c r="J382" s="614" t="s">
        <v>917</v>
      </c>
      <c r="K382" s="615"/>
      <c r="L382" s="610"/>
      <c r="M382" s="611"/>
      <c r="N382" s="616" t="s">
        <v>2597</v>
      </c>
      <c r="O382" s="616" t="s">
        <v>2059</v>
      </c>
      <c r="P382" s="611" t="s">
        <v>2902</v>
      </c>
      <c r="Q382" s="597"/>
      <c r="S382" s="597"/>
      <c r="T382" s="597"/>
      <c r="U382" s="597"/>
      <c r="V382" s="597"/>
      <c r="W382" s="597"/>
      <c r="X382" s="597"/>
      <c r="Y382" s="597"/>
      <c r="Z382" s="597"/>
      <c r="AA382" s="597"/>
    </row>
    <row r="383" spans="1:27" ht="12" customHeight="1">
      <c r="A383" s="597"/>
      <c r="B383" s="598"/>
      <c r="C383" s="597"/>
      <c r="D383" s="597"/>
      <c r="E383" s="597"/>
      <c r="F383" s="597"/>
      <c r="G383" s="597"/>
      <c r="H383" s="597"/>
      <c r="I383" s="597"/>
      <c r="J383" s="614" t="s">
        <v>2596</v>
      </c>
      <c r="K383" s="615"/>
      <c r="L383" s="610"/>
      <c r="M383" s="611"/>
      <c r="N383" s="616" t="s">
        <v>3246</v>
      </c>
      <c r="O383" s="616" t="s">
        <v>2162</v>
      </c>
      <c r="P383" s="611" t="s">
        <v>2903</v>
      </c>
      <c r="Q383" s="597"/>
      <c r="S383" s="597"/>
      <c r="T383" s="597"/>
      <c r="U383" s="597"/>
      <c r="V383" s="597"/>
      <c r="W383" s="597"/>
      <c r="X383" s="597"/>
      <c r="Y383" s="597"/>
      <c r="Z383" s="597"/>
      <c r="AA383" s="597"/>
    </row>
    <row r="384" spans="1:27" ht="12" customHeight="1">
      <c r="A384" s="597"/>
      <c r="B384" s="598"/>
      <c r="C384" s="597"/>
      <c r="D384" s="597"/>
      <c r="E384" s="597"/>
      <c r="F384" s="597"/>
      <c r="G384" s="597"/>
      <c r="H384" s="597"/>
      <c r="I384" s="597"/>
      <c r="J384" s="614" t="s">
        <v>3190</v>
      </c>
      <c r="K384" s="615"/>
      <c r="L384" s="610"/>
      <c r="M384" s="611"/>
      <c r="N384" s="616" t="s">
        <v>3183</v>
      </c>
      <c r="O384" s="616" t="s">
        <v>3734</v>
      </c>
      <c r="P384" s="611" t="s">
        <v>2904</v>
      </c>
      <c r="Q384" s="597"/>
      <c r="S384" s="597"/>
      <c r="T384" s="597"/>
      <c r="U384" s="597"/>
      <c r="V384" s="597"/>
      <c r="W384" s="597"/>
      <c r="X384" s="597"/>
      <c r="Y384" s="597"/>
      <c r="Z384" s="597"/>
      <c r="AA384" s="597"/>
    </row>
    <row r="385" spans="1:27" ht="12" customHeight="1">
      <c r="A385" s="597"/>
      <c r="B385" s="598"/>
      <c r="C385" s="597"/>
      <c r="D385" s="597"/>
      <c r="E385" s="597"/>
      <c r="F385" s="597"/>
      <c r="G385" s="597"/>
      <c r="H385" s="597"/>
      <c r="I385" s="597"/>
      <c r="J385" s="614" t="s">
        <v>3245</v>
      </c>
      <c r="K385" s="615"/>
      <c r="L385" s="610"/>
      <c r="M385" s="611"/>
      <c r="N385" s="616" t="s">
        <v>781</v>
      </c>
      <c r="O385" s="616" t="s">
        <v>3892</v>
      </c>
      <c r="P385" s="611" t="s">
        <v>2905</v>
      </c>
      <c r="Q385" s="597"/>
      <c r="S385" s="597"/>
      <c r="T385" s="597"/>
      <c r="U385" s="597"/>
      <c r="V385" s="597"/>
      <c r="W385" s="597"/>
      <c r="X385" s="597"/>
      <c r="Y385" s="597"/>
      <c r="Z385" s="597"/>
      <c r="AA385" s="597"/>
    </row>
    <row r="386" spans="1:27" ht="12" customHeight="1">
      <c r="A386" s="597"/>
      <c r="B386" s="598"/>
      <c r="C386" s="597"/>
      <c r="D386" s="597"/>
      <c r="E386" s="597"/>
      <c r="F386" s="597"/>
      <c r="G386" s="597"/>
      <c r="H386" s="597"/>
      <c r="I386" s="597"/>
      <c r="J386" s="614" t="s">
        <v>3182</v>
      </c>
      <c r="K386" s="615"/>
      <c r="L386" s="610"/>
      <c r="M386" s="611"/>
      <c r="N386" s="616" t="s">
        <v>3856</v>
      </c>
      <c r="O386" s="616" t="s">
        <v>790</v>
      </c>
      <c r="P386" s="611" t="s">
        <v>2906</v>
      </c>
      <c r="Q386" s="597"/>
      <c r="S386" s="597"/>
      <c r="T386" s="597"/>
      <c r="U386" s="597"/>
      <c r="V386" s="597"/>
      <c r="W386" s="597"/>
      <c r="X386" s="597"/>
      <c r="Y386" s="597"/>
      <c r="Z386" s="597"/>
      <c r="AA386" s="597"/>
    </row>
    <row r="387" spans="1:27" ht="12" customHeight="1">
      <c r="A387" s="597"/>
      <c r="B387" s="598"/>
      <c r="C387" s="597"/>
      <c r="D387" s="597"/>
      <c r="E387" s="597"/>
      <c r="F387" s="597"/>
      <c r="G387" s="597"/>
      <c r="H387" s="597"/>
      <c r="I387" s="597"/>
      <c r="J387" s="614" t="s">
        <v>780</v>
      </c>
      <c r="K387" s="615"/>
      <c r="L387" s="610"/>
      <c r="M387" s="611"/>
      <c r="N387" s="616" t="s">
        <v>3077</v>
      </c>
      <c r="O387" s="616" t="s">
        <v>1708</v>
      </c>
      <c r="P387" s="611" t="s">
        <v>2907</v>
      </c>
      <c r="Q387" s="597"/>
      <c r="S387" s="597"/>
      <c r="T387" s="597"/>
      <c r="U387" s="597"/>
      <c r="V387" s="597"/>
      <c r="W387" s="597"/>
      <c r="X387" s="597"/>
      <c r="Y387" s="597"/>
      <c r="Z387" s="597"/>
      <c r="AA387" s="597"/>
    </row>
    <row r="388" spans="1:27" ht="12" customHeight="1">
      <c r="A388" s="597"/>
      <c r="B388" s="598"/>
      <c r="C388" s="597"/>
      <c r="D388" s="597"/>
      <c r="E388" s="597"/>
      <c r="F388" s="597"/>
      <c r="G388" s="597"/>
      <c r="H388" s="597"/>
      <c r="I388" s="597"/>
      <c r="J388" s="614" t="s">
        <v>3855</v>
      </c>
      <c r="K388" s="615"/>
      <c r="L388" s="610"/>
      <c r="M388" s="611"/>
      <c r="N388" s="616" t="s">
        <v>755</v>
      </c>
      <c r="O388" s="616" t="s">
        <v>788</v>
      </c>
      <c r="P388" s="611" t="s">
        <v>2908</v>
      </c>
      <c r="Q388" s="597"/>
      <c r="S388" s="597"/>
      <c r="T388" s="597"/>
      <c r="U388" s="597"/>
      <c r="V388" s="597"/>
      <c r="W388" s="597"/>
      <c r="X388" s="597"/>
      <c r="Y388" s="597"/>
      <c r="Z388" s="597"/>
      <c r="AA388" s="597"/>
    </row>
    <row r="389" spans="1:27" ht="12" customHeight="1">
      <c r="A389" s="597"/>
      <c r="B389" s="598"/>
      <c r="C389" s="597"/>
      <c r="D389" s="597"/>
      <c r="E389" s="597"/>
      <c r="F389" s="597"/>
      <c r="G389" s="597"/>
      <c r="H389" s="597"/>
      <c r="I389" s="597"/>
      <c r="J389" s="614" t="s">
        <v>2799</v>
      </c>
      <c r="K389" s="615"/>
      <c r="L389" s="610"/>
      <c r="M389" s="611"/>
      <c r="N389" s="616" t="s">
        <v>3868</v>
      </c>
      <c r="O389" s="616" t="s">
        <v>1920</v>
      </c>
      <c r="P389" s="611" t="s">
        <v>2909</v>
      </c>
      <c r="Q389" s="597"/>
      <c r="S389" s="597"/>
      <c r="T389" s="597"/>
      <c r="U389" s="597"/>
      <c r="V389" s="597"/>
      <c r="W389" s="597"/>
      <c r="X389" s="597"/>
      <c r="Y389" s="597"/>
      <c r="Z389" s="597"/>
      <c r="AA389" s="597"/>
    </row>
    <row r="390" spans="1:27" ht="12" customHeight="1">
      <c r="A390" s="597"/>
      <c r="B390" s="598"/>
      <c r="C390" s="597"/>
      <c r="D390" s="597"/>
      <c r="E390" s="597"/>
      <c r="F390" s="597"/>
      <c r="G390" s="597"/>
      <c r="H390" s="597"/>
      <c r="I390" s="597"/>
      <c r="J390" s="614" t="s">
        <v>2800</v>
      </c>
      <c r="K390" s="615"/>
      <c r="L390" s="610"/>
      <c r="M390" s="611"/>
      <c r="N390" s="498" t="s">
        <v>2536</v>
      </c>
      <c r="O390" s="498" t="s">
        <v>2059</v>
      </c>
      <c r="P390" s="1363" t="s">
        <v>967</v>
      </c>
      <c r="Q390" s="597"/>
      <c r="S390" s="597"/>
      <c r="T390" s="597"/>
      <c r="U390" s="597"/>
      <c r="V390" s="597"/>
      <c r="W390" s="597"/>
      <c r="X390" s="597"/>
      <c r="Y390" s="597"/>
      <c r="Z390" s="597"/>
      <c r="AA390" s="597"/>
    </row>
    <row r="391" spans="1:27" ht="12" customHeight="1">
      <c r="A391" s="597"/>
      <c r="B391" s="598"/>
      <c r="C391" s="597"/>
      <c r="D391" s="597"/>
      <c r="E391" s="597"/>
      <c r="F391" s="597"/>
      <c r="G391" s="597"/>
      <c r="H391" s="597"/>
      <c r="I391" s="597"/>
      <c r="J391" s="614" t="s">
        <v>3867</v>
      </c>
      <c r="K391" s="615"/>
      <c r="L391" s="610"/>
      <c r="M391" s="611"/>
      <c r="N391" s="616" t="s">
        <v>3870</v>
      </c>
      <c r="O391" s="616" t="s">
        <v>2447</v>
      </c>
      <c r="P391" s="611" t="s">
        <v>2766</v>
      </c>
      <c r="Q391" s="597"/>
      <c r="S391" s="597"/>
      <c r="T391" s="597"/>
      <c r="U391" s="597"/>
      <c r="V391" s="597"/>
      <c r="W391" s="597"/>
      <c r="X391" s="597"/>
      <c r="Y391" s="597"/>
      <c r="Z391" s="597"/>
      <c r="AA391" s="597"/>
    </row>
    <row r="392" spans="1:27" ht="12" customHeight="1">
      <c r="A392" s="597"/>
      <c r="B392" s="598"/>
      <c r="C392" s="597"/>
      <c r="D392" s="597"/>
      <c r="E392" s="597"/>
      <c r="F392" s="597"/>
      <c r="G392" s="597"/>
      <c r="H392" s="597"/>
      <c r="I392" s="597"/>
      <c r="J392" s="614" t="s">
        <v>3869</v>
      </c>
      <c r="K392" s="615"/>
      <c r="L392" s="610"/>
      <c r="M392" s="611"/>
      <c r="N392" s="616" t="s">
        <v>3078</v>
      </c>
      <c r="O392" s="616" t="s">
        <v>3741</v>
      </c>
      <c r="P392" s="611" t="s">
        <v>2767</v>
      </c>
      <c r="Q392" s="597"/>
      <c r="S392" s="597"/>
      <c r="T392" s="597"/>
      <c r="U392" s="597"/>
      <c r="V392" s="597"/>
      <c r="W392" s="597"/>
      <c r="X392" s="597"/>
      <c r="Y392" s="597"/>
      <c r="Z392" s="597"/>
      <c r="AA392" s="597"/>
    </row>
    <row r="393" spans="1:27" ht="12" customHeight="1">
      <c r="A393" s="597"/>
      <c r="B393" s="598"/>
      <c r="C393" s="597"/>
      <c r="D393" s="597"/>
      <c r="E393" s="597"/>
      <c r="F393" s="597"/>
      <c r="G393" s="597"/>
      <c r="H393" s="597"/>
      <c r="I393" s="597"/>
      <c r="J393" s="614" t="s">
        <v>3761</v>
      </c>
      <c r="K393" s="615"/>
      <c r="L393" s="610"/>
      <c r="M393" s="611"/>
      <c r="N393" s="616" t="s">
        <v>2808</v>
      </c>
      <c r="O393" s="616" t="s">
        <v>3078</v>
      </c>
      <c r="P393" s="611" t="s">
        <v>2768</v>
      </c>
      <c r="Q393" s="597"/>
      <c r="S393" s="597"/>
      <c r="T393" s="597"/>
      <c r="U393" s="597"/>
      <c r="V393" s="597"/>
      <c r="W393" s="597"/>
      <c r="X393" s="597"/>
      <c r="Y393" s="597"/>
      <c r="Z393" s="597"/>
      <c r="AA393" s="597"/>
    </row>
    <row r="394" spans="1:27" ht="12" customHeight="1">
      <c r="A394" s="597"/>
      <c r="B394" s="598"/>
      <c r="C394" s="597"/>
      <c r="D394" s="597"/>
      <c r="E394" s="597"/>
      <c r="F394" s="597"/>
      <c r="G394" s="597"/>
      <c r="H394" s="597"/>
      <c r="I394" s="597"/>
      <c r="J394" s="614" t="s">
        <v>2806</v>
      </c>
      <c r="K394" s="615"/>
      <c r="L394" s="610"/>
      <c r="M394" s="611"/>
      <c r="N394" s="616" t="s">
        <v>2389</v>
      </c>
      <c r="O394" s="616" t="s">
        <v>670</v>
      </c>
      <c r="P394" s="611" t="s">
        <v>2769</v>
      </c>
      <c r="Q394" s="597"/>
      <c r="S394" s="597"/>
      <c r="T394" s="597"/>
      <c r="U394" s="597"/>
      <c r="V394" s="597"/>
      <c r="W394" s="597"/>
      <c r="X394" s="597"/>
      <c r="Y394" s="597"/>
      <c r="Z394" s="597"/>
      <c r="AA394" s="597"/>
    </row>
    <row r="395" spans="1:27" ht="12" customHeight="1">
      <c r="A395" s="597"/>
      <c r="B395" s="598"/>
      <c r="C395" s="597"/>
      <c r="D395" s="597"/>
      <c r="E395" s="597"/>
      <c r="F395" s="597"/>
      <c r="G395" s="597"/>
      <c r="H395" s="597"/>
      <c r="I395" s="597"/>
      <c r="J395" s="614" t="s">
        <v>2807</v>
      </c>
      <c r="K395" s="615"/>
      <c r="L395" s="610"/>
      <c r="M395" s="611"/>
      <c r="N395" s="616" t="s">
        <v>2282</v>
      </c>
      <c r="O395" s="616" t="s">
        <v>3734</v>
      </c>
      <c r="P395" s="611" t="s">
        <v>2770</v>
      </c>
      <c r="Q395" s="597"/>
      <c r="S395" s="597"/>
      <c r="T395" s="597"/>
      <c r="U395" s="597"/>
      <c r="V395" s="597"/>
      <c r="W395" s="597"/>
      <c r="X395" s="597"/>
      <c r="Y395" s="597"/>
      <c r="Z395" s="597"/>
      <c r="AA395" s="597"/>
    </row>
    <row r="396" spans="1:27" ht="12" customHeight="1">
      <c r="A396" s="597"/>
      <c r="B396" s="598"/>
      <c r="C396" s="597"/>
      <c r="D396" s="597"/>
      <c r="E396" s="597"/>
      <c r="F396" s="597"/>
      <c r="G396" s="597"/>
      <c r="H396" s="597"/>
      <c r="I396" s="597"/>
      <c r="J396" s="614" t="s">
        <v>2809</v>
      </c>
      <c r="K396" s="615"/>
      <c r="L396" s="610"/>
      <c r="M396" s="611"/>
      <c r="N396" s="616" t="s">
        <v>2284</v>
      </c>
      <c r="O396" s="616" t="s">
        <v>3894</v>
      </c>
      <c r="P396" s="611" t="s">
        <v>2284</v>
      </c>
      <c r="Q396" s="597"/>
      <c r="S396" s="597"/>
      <c r="T396" s="597"/>
      <c r="U396" s="597"/>
      <c r="V396" s="597"/>
      <c r="W396" s="597"/>
      <c r="X396" s="597"/>
      <c r="Y396" s="597"/>
      <c r="Z396" s="597"/>
      <c r="AA396" s="597"/>
    </row>
    <row r="397" spans="1:27" ht="12" customHeight="1">
      <c r="A397" s="597"/>
      <c r="B397" s="598"/>
      <c r="C397" s="597"/>
      <c r="D397" s="597"/>
      <c r="E397" s="597"/>
      <c r="F397" s="597"/>
      <c r="G397" s="597"/>
      <c r="H397" s="597"/>
      <c r="I397" s="597"/>
      <c r="J397" s="614" t="s">
        <v>1957</v>
      </c>
      <c r="K397" s="615"/>
      <c r="L397" s="610"/>
      <c r="M397" s="611"/>
      <c r="N397" s="616" t="s">
        <v>2790</v>
      </c>
      <c r="O397" s="616" t="s">
        <v>998</v>
      </c>
      <c r="P397" s="611" t="s">
        <v>2771</v>
      </c>
      <c r="Q397" s="597"/>
      <c r="S397" s="597"/>
      <c r="T397" s="597"/>
      <c r="U397" s="597"/>
      <c r="V397" s="597"/>
      <c r="W397" s="597"/>
      <c r="X397" s="597"/>
      <c r="Y397" s="597"/>
      <c r="Z397" s="597"/>
      <c r="AA397" s="597"/>
    </row>
    <row r="398" spans="1:27" ht="12" customHeight="1">
      <c r="A398" s="597"/>
      <c r="B398" s="598"/>
      <c r="C398" s="597"/>
      <c r="D398" s="597"/>
      <c r="E398" s="597"/>
      <c r="F398" s="597"/>
      <c r="G398" s="597"/>
      <c r="H398" s="597"/>
      <c r="I398" s="597"/>
      <c r="J398" s="614" t="s">
        <v>2281</v>
      </c>
      <c r="K398" s="615"/>
      <c r="L398" s="610"/>
      <c r="M398" s="611"/>
      <c r="N398" s="616" t="s">
        <v>644</v>
      </c>
      <c r="O398" s="616" t="s">
        <v>1296</v>
      </c>
      <c r="P398" s="611" t="s">
        <v>2772</v>
      </c>
      <c r="Q398" s="597"/>
      <c r="S398" s="597"/>
      <c r="T398" s="597"/>
      <c r="U398" s="597"/>
      <c r="V398" s="597"/>
      <c r="W398" s="597"/>
      <c r="X398" s="597"/>
      <c r="Y398" s="597"/>
      <c r="Z398" s="597"/>
      <c r="AA398" s="597"/>
    </row>
    <row r="399" spans="1:27" ht="12" customHeight="1">
      <c r="A399" s="597"/>
      <c r="B399" s="598"/>
      <c r="C399" s="597"/>
      <c r="D399" s="597"/>
      <c r="E399" s="597"/>
      <c r="F399" s="597"/>
      <c r="G399" s="597"/>
      <c r="H399" s="597"/>
      <c r="I399" s="597"/>
      <c r="J399" s="614" t="s">
        <v>2283</v>
      </c>
      <c r="K399" s="615"/>
      <c r="L399" s="610"/>
      <c r="M399" s="611"/>
      <c r="N399" s="616" t="s">
        <v>2666</v>
      </c>
      <c r="O399" s="616" t="s">
        <v>1020</v>
      </c>
      <c r="P399" s="611" t="s">
        <v>2773</v>
      </c>
      <c r="Q399" s="597"/>
      <c r="S399" s="597"/>
      <c r="T399" s="597"/>
      <c r="U399" s="597"/>
      <c r="V399" s="597"/>
      <c r="W399" s="597"/>
      <c r="X399" s="597"/>
      <c r="Y399" s="597"/>
      <c r="Z399" s="597"/>
      <c r="AA399" s="597"/>
    </row>
    <row r="400" spans="1:27" ht="12" customHeight="1">
      <c r="A400" s="597"/>
      <c r="B400" s="598"/>
      <c r="C400" s="597"/>
      <c r="D400" s="597"/>
      <c r="E400" s="597"/>
      <c r="F400" s="597"/>
      <c r="G400" s="597"/>
      <c r="H400" s="597"/>
      <c r="I400" s="597"/>
      <c r="J400" s="614" t="s">
        <v>2789</v>
      </c>
      <c r="K400" s="615"/>
      <c r="L400" s="610"/>
      <c r="M400" s="611"/>
      <c r="N400" s="616" t="s">
        <v>2668</v>
      </c>
      <c r="O400" s="616" t="s">
        <v>2459</v>
      </c>
      <c r="P400" s="1362" t="s">
        <v>2846</v>
      </c>
      <c r="Q400" s="597"/>
      <c r="S400" s="597"/>
      <c r="T400" s="597"/>
      <c r="U400" s="597"/>
      <c r="V400" s="597"/>
      <c r="W400" s="597"/>
      <c r="X400" s="597"/>
      <c r="Y400" s="597"/>
      <c r="Z400" s="597"/>
      <c r="AA400" s="597"/>
    </row>
    <row r="401" spans="1:27" ht="12" customHeight="1">
      <c r="A401" s="597"/>
      <c r="B401" s="598"/>
      <c r="C401" s="597"/>
      <c r="D401" s="597"/>
      <c r="E401" s="597"/>
      <c r="F401" s="597"/>
      <c r="G401" s="597"/>
      <c r="H401" s="597"/>
      <c r="I401" s="597"/>
      <c r="J401" s="614" t="s">
        <v>643</v>
      </c>
      <c r="K401" s="615"/>
      <c r="L401" s="610"/>
      <c r="M401" s="611"/>
      <c r="N401" s="616" t="s">
        <v>2670</v>
      </c>
      <c r="O401" s="616" t="s">
        <v>3173</v>
      </c>
      <c r="P401" s="611" t="s">
        <v>2774</v>
      </c>
      <c r="Q401" s="597"/>
      <c r="S401" s="597"/>
      <c r="T401" s="597"/>
      <c r="U401" s="597"/>
      <c r="V401" s="597"/>
      <c r="W401" s="597"/>
      <c r="X401" s="597"/>
      <c r="Y401" s="597"/>
      <c r="Z401" s="597"/>
      <c r="AA401" s="597"/>
    </row>
    <row r="402" spans="1:27" ht="12" customHeight="1">
      <c r="A402" s="597"/>
      <c r="B402" s="598"/>
      <c r="C402" s="597"/>
      <c r="D402" s="597"/>
      <c r="E402" s="597"/>
      <c r="F402" s="597"/>
      <c r="G402" s="597"/>
      <c r="H402" s="597"/>
      <c r="I402" s="597"/>
      <c r="J402" s="614" t="s">
        <v>2665</v>
      </c>
      <c r="K402" s="615"/>
      <c r="L402" s="610"/>
      <c r="M402" s="611"/>
      <c r="N402" s="616" t="s">
        <v>2672</v>
      </c>
      <c r="O402" s="616" t="s">
        <v>3734</v>
      </c>
      <c r="P402" s="611" t="s">
        <v>2775</v>
      </c>
      <c r="Q402" s="597"/>
      <c r="S402" s="597"/>
      <c r="T402" s="597"/>
      <c r="U402" s="597"/>
      <c r="V402" s="597"/>
      <c r="W402" s="597"/>
      <c r="X402" s="597"/>
      <c r="Y402" s="597"/>
      <c r="Z402" s="597"/>
      <c r="AA402" s="597"/>
    </row>
    <row r="403" spans="1:27" ht="12" customHeight="1">
      <c r="A403" s="597"/>
      <c r="B403" s="598"/>
      <c r="C403" s="597"/>
      <c r="D403" s="597"/>
      <c r="E403" s="597"/>
      <c r="F403" s="597"/>
      <c r="G403" s="597"/>
      <c r="H403" s="597"/>
      <c r="I403" s="597"/>
      <c r="J403" s="614" t="s">
        <v>2667</v>
      </c>
      <c r="K403" s="615"/>
      <c r="L403" s="610"/>
      <c r="M403" s="611"/>
      <c r="N403" s="616" t="s">
        <v>2674</v>
      </c>
      <c r="O403" s="616" t="s">
        <v>2160</v>
      </c>
      <c r="P403" s="611" t="s">
        <v>2776</v>
      </c>
      <c r="Q403" s="597"/>
      <c r="S403" s="597"/>
      <c r="T403" s="597"/>
      <c r="U403" s="597"/>
      <c r="V403" s="597"/>
      <c r="W403" s="597"/>
      <c r="X403" s="597"/>
      <c r="Y403" s="597"/>
      <c r="Z403" s="597"/>
      <c r="AA403" s="597"/>
    </row>
    <row r="404" spans="1:27" ht="12" customHeight="1">
      <c r="A404" s="597"/>
      <c r="B404" s="598"/>
      <c r="C404" s="597"/>
      <c r="D404" s="597"/>
      <c r="E404" s="597"/>
      <c r="F404" s="597"/>
      <c r="G404" s="597"/>
      <c r="H404" s="597"/>
      <c r="I404" s="597"/>
      <c r="J404" s="614" t="s">
        <v>2669</v>
      </c>
      <c r="K404" s="615"/>
      <c r="L404" s="610"/>
      <c r="M404" s="611"/>
      <c r="N404" s="616" t="s">
        <v>3108</v>
      </c>
      <c r="O404" s="616" t="s">
        <v>1024</v>
      </c>
      <c r="P404" s="611" t="s">
        <v>2777</v>
      </c>
      <c r="Q404" s="597"/>
      <c r="S404" s="597"/>
      <c r="T404" s="597"/>
      <c r="U404" s="597"/>
      <c r="V404" s="597"/>
      <c r="W404" s="597"/>
      <c r="X404" s="597"/>
      <c r="Y404" s="597"/>
      <c r="Z404" s="597"/>
      <c r="AA404" s="597"/>
    </row>
    <row r="405" spans="1:27" ht="12" customHeight="1">
      <c r="A405" s="597"/>
      <c r="B405" s="598"/>
      <c r="C405" s="597"/>
      <c r="D405" s="597"/>
      <c r="E405" s="597"/>
      <c r="F405" s="597"/>
      <c r="G405" s="597"/>
      <c r="H405" s="597"/>
      <c r="I405" s="597"/>
      <c r="J405" s="614" t="s">
        <v>2671</v>
      </c>
      <c r="K405" s="615"/>
      <c r="L405" s="610"/>
      <c r="M405" s="611"/>
      <c r="N405" s="616" t="s">
        <v>4015</v>
      </c>
      <c r="O405" s="616" t="s">
        <v>3985</v>
      </c>
      <c r="P405" s="611" t="s">
        <v>2778</v>
      </c>
      <c r="Q405" s="597"/>
      <c r="S405" s="597"/>
      <c r="T405" s="597"/>
      <c r="U405" s="597"/>
      <c r="V405" s="597"/>
      <c r="W405" s="597"/>
      <c r="X405" s="597"/>
      <c r="Y405" s="597"/>
      <c r="Z405" s="597"/>
      <c r="AA405" s="597"/>
    </row>
    <row r="406" spans="1:27" ht="12" customHeight="1">
      <c r="A406" s="597"/>
      <c r="B406" s="598"/>
      <c r="C406" s="597"/>
      <c r="D406" s="597"/>
      <c r="E406" s="597"/>
      <c r="F406" s="597"/>
      <c r="G406" s="597"/>
      <c r="H406" s="597"/>
      <c r="I406" s="597"/>
      <c r="J406" s="614" t="s">
        <v>2673</v>
      </c>
      <c r="K406" s="615"/>
      <c r="L406" s="610"/>
      <c r="M406" s="611"/>
      <c r="N406" s="616" t="s">
        <v>2652</v>
      </c>
      <c r="O406" s="616" t="s">
        <v>1177</v>
      </c>
      <c r="P406" s="611" t="s">
        <v>2779</v>
      </c>
      <c r="Q406" s="597"/>
      <c r="S406" s="597"/>
      <c r="T406" s="597"/>
      <c r="U406" s="597"/>
      <c r="V406" s="597"/>
      <c r="W406" s="597"/>
      <c r="X406" s="597"/>
      <c r="Y406" s="597"/>
      <c r="Z406" s="597"/>
      <c r="AA406" s="597"/>
    </row>
    <row r="407" spans="1:27" ht="12" customHeight="1">
      <c r="A407" s="597"/>
      <c r="B407" s="598"/>
      <c r="C407" s="597"/>
      <c r="D407" s="597"/>
      <c r="E407" s="597"/>
      <c r="F407" s="597"/>
      <c r="G407" s="597"/>
      <c r="H407" s="597"/>
      <c r="I407" s="597"/>
      <c r="J407" s="614" t="s">
        <v>3107</v>
      </c>
      <c r="K407" s="615"/>
      <c r="L407" s="610"/>
      <c r="M407" s="611"/>
      <c r="N407" s="616" t="s">
        <v>3176</v>
      </c>
      <c r="O407" s="616" t="s">
        <v>679</v>
      </c>
      <c r="P407" s="611" t="s">
        <v>2780</v>
      </c>
      <c r="Q407" s="597"/>
      <c r="S407" s="597"/>
      <c r="T407" s="597"/>
      <c r="U407" s="597"/>
      <c r="V407" s="597"/>
      <c r="W407" s="597"/>
      <c r="X407" s="597"/>
      <c r="Y407" s="597"/>
      <c r="Z407" s="597"/>
      <c r="AA407" s="597"/>
    </row>
    <row r="408" spans="1:27" ht="12" customHeight="1">
      <c r="A408" s="597"/>
      <c r="B408" s="598"/>
      <c r="C408" s="597"/>
      <c r="D408" s="597"/>
      <c r="E408" s="597"/>
      <c r="F408" s="597"/>
      <c r="G408" s="597"/>
      <c r="H408" s="597"/>
      <c r="I408" s="597"/>
      <c r="J408" s="614" t="s">
        <v>4014</v>
      </c>
      <c r="K408" s="615"/>
      <c r="L408" s="610"/>
      <c r="M408" s="611"/>
      <c r="N408" s="616" t="s">
        <v>2604</v>
      </c>
      <c r="O408" s="616" t="s">
        <v>2383</v>
      </c>
      <c r="P408" s="611" t="s">
        <v>2781</v>
      </c>
      <c r="Q408" s="597"/>
      <c r="S408" s="597"/>
      <c r="T408" s="597"/>
      <c r="U408" s="597"/>
      <c r="V408" s="597"/>
      <c r="W408" s="597"/>
      <c r="X408" s="597"/>
      <c r="Y408" s="597"/>
      <c r="Z408" s="597"/>
      <c r="AA408" s="597"/>
    </row>
    <row r="409" spans="1:27" ht="12" customHeight="1">
      <c r="A409" s="597"/>
      <c r="B409" s="598"/>
      <c r="C409" s="597"/>
      <c r="D409" s="597"/>
      <c r="E409" s="597"/>
      <c r="F409" s="597"/>
      <c r="G409" s="597"/>
      <c r="H409" s="597"/>
      <c r="I409" s="597"/>
      <c r="J409" s="614" t="s">
        <v>2651</v>
      </c>
      <c r="K409" s="615"/>
      <c r="L409" s="610"/>
      <c r="M409" s="611"/>
      <c r="N409" s="616" t="s">
        <v>2606</v>
      </c>
      <c r="O409" s="616" t="s">
        <v>524</v>
      </c>
      <c r="P409" s="611" t="s">
        <v>2782</v>
      </c>
      <c r="Q409" s="597"/>
      <c r="S409" s="597"/>
      <c r="T409" s="597"/>
      <c r="U409" s="597"/>
      <c r="V409" s="597"/>
      <c r="W409" s="597"/>
      <c r="X409" s="597"/>
      <c r="Y409" s="597"/>
      <c r="Z409" s="597"/>
      <c r="AA409" s="597"/>
    </row>
    <row r="410" spans="1:27" ht="12" customHeight="1">
      <c r="A410" s="597"/>
      <c r="B410" s="598"/>
      <c r="C410" s="597"/>
      <c r="D410" s="597"/>
      <c r="E410" s="597"/>
      <c r="F410" s="597"/>
      <c r="G410" s="597"/>
      <c r="H410" s="597"/>
      <c r="I410" s="597"/>
      <c r="J410" s="614" t="s">
        <v>1503</v>
      </c>
      <c r="K410" s="615"/>
      <c r="L410" s="610"/>
      <c r="M410" s="611"/>
      <c r="N410" s="616" t="s">
        <v>2584</v>
      </c>
      <c r="O410" s="616" t="s">
        <v>3530</v>
      </c>
      <c r="P410" s="611" t="s">
        <v>2783</v>
      </c>
      <c r="Q410" s="597"/>
      <c r="R410" s="597"/>
      <c r="S410" s="597"/>
      <c r="T410" s="597"/>
      <c r="U410" s="597"/>
      <c r="V410" s="597"/>
      <c r="W410" s="597"/>
      <c r="X410" s="597"/>
      <c r="Y410" s="597"/>
      <c r="Z410" s="597"/>
      <c r="AA410" s="597"/>
    </row>
    <row r="411" spans="1:27" ht="12" customHeight="1">
      <c r="A411" s="597"/>
      <c r="B411" s="598"/>
      <c r="C411" s="597"/>
      <c r="D411" s="597"/>
      <c r="E411" s="597"/>
      <c r="F411" s="597"/>
      <c r="G411" s="597"/>
      <c r="H411" s="597"/>
      <c r="I411" s="597"/>
      <c r="J411" s="614" t="s">
        <v>2602</v>
      </c>
      <c r="K411" s="615"/>
      <c r="L411" s="610"/>
      <c r="M411" s="611"/>
      <c r="N411" s="616" t="s">
        <v>2586</v>
      </c>
      <c r="O411" s="616" t="s">
        <v>3994</v>
      </c>
      <c r="P411" s="611" t="s">
        <v>2784</v>
      </c>
      <c r="Q411" s="597"/>
      <c r="R411" s="597"/>
      <c r="S411" s="597"/>
      <c r="T411" s="597"/>
      <c r="U411" s="597"/>
      <c r="V411" s="597"/>
      <c r="W411" s="597"/>
      <c r="X411" s="597"/>
      <c r="Y411" s="597"/>
      <c r="Z411" s="597"/>
      <c r="AA411" s="597"/>
    </row>
    <row r="412" spans="1:27" ht="12" customHeight="1">
      <c r="A412" s="597"/>
      <c r="B412" s="598"/>
      <c r="C412" s="597"/>
      <c r="D412" s="597"/>
      <c r="E412" s="597"/>
      <c r="F412" s="597"/>
      <c r="G412" s="597"/>
      <c r="H412" s="597"/>
      <c r="I412" s="597"/>
      <c r="J412" s="614" t="s">
        <v>2603</v>
      </c>
      <c r="K412" s="615"/>
      <c r="L412" s="610"/>
      <c r="M412" s="611"/>
      <c r="N412" s="616" t="s">
        <v>2588</v>
      </c>
      <c r="O412" s="616" t="s">
        <v>3180</v>
      </c>
      <c r="P412" s="611" t="s">
        <v>2927</v>
      </c>
      <c r="Q412" s="597"/>
      <c r="R412" s="597"/>
      <c r="S412" s="597"/>
      <c r="T412" s="597"/>
      <c r="U412" s="597"/>
      <c r="V412" s="597"/>
      <c r="W412" s="597"/>
      <c r="X412" s="597"/>
      <c r="Y412" s="597"/>
      <c r="Z412" s="597"/>
      <c r="AA412" s="597"/>
    </row>
    <row r="413" spans="1:27" ht="12" customHeight="1">
      <c r="A413" s="597"/>
      <c r="B413" s="598"/>
      <c r="C413" s="597"/>
      <c r="D413" s="597"/>
      <c r="E413" s="597"/>
      <c r="F413" s="597"/>
      <c r="G413" s="597"/>
      <c r="H413" s="597"/>
      <c r="I413" s="597"/>
      <c r="J413" s="614" t="s">
        <v>2605</v>
      </c>
      <c r="K413" s="615"/>
      <c r="L413" s="610"/>
      <c r="M413" s="611"/>
      <c r="N413" s="616" t="s">
        <v>2590</v>
      </c>
      <c r="O413" s="616" t="s">
        <v>1296</v>
      </c>
      <c r="P413" s="611" t="s">
        <v>2928</v>
      </c>
      <c r="Q413" s="597"/>
      <c r="R413" s="597"/>
      <c r="S413" s="597"/>
      <c r="T413" s="597"/>
      <c r="U413" s="597"/>
      <c r="V413" s="597"/>
      <c r="W413" s="597"/>
      <c r="X413" s="597"/>
      <c r="Y413" s="597"/>
      <c r="Z413" s="597"/>
      <c r="AA413" s="597"/>
    </row>
    <row r="414" spans="1:27" ht="12" customHeight="1">
      <c r="A414" s="597"/>
      <c r="B414" s="598"/>
      <c r="C414" s="597"/>
      <c r="D414" s="597"/>
      <c r="E414" s="597"/>
      <c r="F414" s="597"/>
      <c r="G414" s="597"/>
      <c r="H414" s="597"/>
      <c r="I414" s="597"/>
      <c r="J414" s="614" t="s">
        <v>2583</v>
      </c>
      <c r="K414" s="615"/>
      <c r="L414" s="610"/>
      <c r="M414" s="611"/>
      <c r="N414" s="498" t="s">
        <v>2537</v>
      </c>
      <c r="O414" s="498" t="s">
        <v>3225</v>
      </c>
      <c r="P414" s="1363" t="s">
        <v>967</v>
      </c>
      <c r="Q414" s="597"/>
      <c r="R414" s="597"/>
      <c r="S414" s="597"/>
      <c r="T414" s="597"/>
      <c r="U414" s="597"/>
      <c r="V414" s="597"/>
      <c r="W414" s="597"/>
      <c r="X414" s="597"/>
      <c r="Y414" s="597"/>
      <c r="Z414" s="597"/>
      <c r="AA414" s="597"/>
    </row>
    <row r="415" spans="1:27" ht="12" customHeight="1">
      <c r="A415" s="597"/>
      <c r="B415" s="598"/>
      <c r="C415" s="597"/>
      <c r="D415" s="597"/>
      <c r="E415" s="597"/>
      <c r="F415" s="597"/>
      <c r="G415" s="597"/>
      <c r="H415" s="597"/>
      <c r="I415" s="597"/>
      <c r="J415" s="614" t="s">
        <v>2585</v>
      </c>
      <c r="K415" s="615"/>
      <c r="L415" s="610"/>
      <c r="M415" s="611"/>
      <c r="N415" s="616" t="s">
        <v>3250</v>
      </c>
      <c r="O415" s="616" t="s">
        <v>1013</v>
      </c>
      <c r="P415" s="611" t="s">
        <v>2929</v>
      </c>
      <c r="Q415" s="597"/>
      <c r="R415" s="597"/>
      <c r="S415" s="597"/>
      <c r="T415" s="597"/>
      <c r="U415" s="597"/>
      <c r="V415" s="597"/>
      <c r="W415" s="597"/>
      <c r="X415" s="597"/>
      <c r="Y415" s="597"/>
      <c r="Z415" s="597"/>
      <c r="AA415" s="597"/>
    </row>
    <row r="416" spans="1:27" ht="12" customHeight="1">
      <c r="A416" s="597"/>
      <c r="B416" s="598"/>
      <c r="C416" s="597"/>
      <c r="D416" s="597"/>
      <c r="E416" s="597"/>
      <c r="F416" s="597"/>
      <c r="G416" s="597"/>
      <c r="H416" s="597"/>
      <c r="I416" s="597"/>
      <c r="J416" s="614" t="s">
        <v>2587</v>
      </c>
      <c r="K416" s="615"/>
      <c r="L416" s="610"/>
      <c r="M416" s="611"/>
      <c r="N416" s="616" t="s">
        <v>3670</v>
      </c>
      <c r="O416" s="616" t="s">
        <v>521</v>
      </c>
      <c r="P416" s="611" t="s">
        <v>2930</v>
      </c>
      <c r="Q416" s="597"/>
      <c r="R416" s="597"/>
      <c r="S416" s="597"/>
      <c r="T416" s="597"/>
      <c r="U416" s="597"/>
      <c r="V416" s="597"/>
      <c r="W416" s="597"/>
      <c r="X416" s="597"/>
      <c r="Y416" s="597"/>
      <c r="Z416" s="597"/>
      <c r="AA416" s="597"/>
    </row>
    <row r="417" spans="1:27" ht="12" customHeight="1">
      <c r="A417" s="597"/>
      <c r="B417" s="598"/>
      <c r="C417" s="597"/>
      <c r="D417" s="597"/>
      <c r="E417" s="597"/>
      <c r="F417" s="597"/>
      <c r="G417" s="597"/>
      <c r="H417" s="597"/>
      <c r="I417" s="597"/>
      <c r="J417" s="614" t="s">
        <v>2589</v>
      </c>
      <c r="K417" s="615"/>
      <c r="L417" s="610"/>
      <c r="M417" s="611"/>
      <c r="N417" s="616" t="s">
        <v>3672</v>
      </c>
      <c r="O417" s="616" t="s">
        <v>2059</v>
      </c>
      <c r="P417" s="611" t="s">
        <v>2931</v>
      </c>
      <c r="Q417" s="597"/>
      <c r="R417" s="597"/>
      <c r="S417" s="597"/>
      <c r="T417" s="597"/>
      <c r="U417" s="597"/>
      <c r="V417" s="597"/>
      <c r="W417" s="597"/>
      <c r="X417" s="597"/>
      <c r="Y417" s="597"/>
      <c r="Z417" s="597"/>
      <c r="AA417" s="597"/>
    </row>
    <row r="418" spans="1:27" ht="12" customHeight="1">
      <c r="A418" s="597"/>
      <c r="B418" s="598"/>
      <c r="C418" s="597"/>
      <c r="D418" s="597"/>
      <c r="E418" s="597"/>
      <c r="F418" s="597"/>
      <c r="G418" s="597"/>
      <c r="H418" s="597"/>
      <c r="I418" s="597"/>
      <c r="J418" s="614" t="s">
        <v>3249</v>
      </c>
      <c r="K418" s="615"/>
      <c r="L418" s="610"/>
      <c r="M418" s="611"/>
      <c r="N418" s="498" t="s">
        <v>2538</v>
      </c>
      <c r="O418" s="498" t="s">
        <v>1330</v>
      </c>
      <c r="P418" s="1363" t="s">
        <v>967</v>
      </c>
      <c r="Q418" s="597"/>
      <c r="R418" s="597"/>
      <c r="S418" s="597"/>
      <c r="T418" s="597"/>
      <c r="U418" s="597"/>
      <c r="V418" s="597"/>
      <c r="W418" s="597"/>
      <c r="X418" s="597"/>
      <c r="Y418" s="597"/>
      <c r="Z418" s="597"/>
      <c r="AA418" s="597"/>
    </row>
    <row r="419" spans="1:27" ht="12" customHeight="1">
      <c r="A419" s="597"/>
      <c r="B419" s="598"/>
      <c r="C419" s="597"/>
      <c r="D419" s="597"/>
      <c r="E419" s="597"/>
      <c r="F419" s="597"/>
      <c r="G419" s="597"/>
      <c r="H419" s="597"/>
      <c r="I419" s="597"/>
      <c r="J419" s="614" t="s">
        <v>3669</v>
      </c>
      <c r="K419" s="615"/>
      <c r="L419" s="610"/>
      <c r="M419" s="611"/>
      <c r="N419" s="616" t="s">
        <v>3674</v>
      </c>
      <c r="O419" s="616" t="s">
        <v>2753</v>
      </c>
      <c r="P419" s="611" t="s">
        <v>2932</v>
      </c>
      <c r="Q419" s="597"/>
      <c r="R419" s="597"/>
      <c r="S419" s="597"/>
      <c r="T419" s="597"/>
      <c r="U419" s="597"/>
      <c r="V419" s="597"/>
      <c r="W419" s="597"/>
      <c r="X419" s="597"/>
      <c r="Y419" s="597"/>
      <c r="Z419" s="597"/>
      <c r="AA419" s="597"/>
    </row>
    <row r="420" spans="1:27" ht="12" customHeight="1">
      <c r="A420" s="597"/>
      <c r="B420" s="598"/>
      <c r="C420" s="597"/>
      <c r="D420" s="597"/>
      <c r="E420" s="597"/>
      <c r="F420" s="597"/>
      <c r="G420" s="597"/>
      <c r="H420" s="597"/>
      <c r="I420" s="597"/>
      <c r="J420" s="614" t="s">
        <v>3671</v>
      </c>
      <c r="K420" s="615"/>
      <c r="L420" s="610"/>
      <c r="M420" s="611"/>
      <c r="N420" s="616" t="s">
        <v>2112</v>
      </c>
      <c r="O420" s="616" t="s">
        <v>1000</v>
      </c>
      <c r="P420" s="611" t="s">
        <v>2933</v>
      </c>
      <c r="Q420" s="597"/>
      <c r="R420" s="597"/>
      <c r="S420" s="597"/>
      <c r="T420" s="597"/>
      <c r="U420" s="597"/>
      <c r="V420" s="597"/>
      <c r="W420" s="597"/>
      <c r="X420" s="597"/>
      <c r="Y420" s="597"/>
      <c r="Z420" s="597"/>
      <c r="AA420" s="597"/>
    </row>
    <row r="421" spans="1:27" ht="12" customHeight="1">
      <c r="A421" s="597"/>
      <c r="B421" s="598"/>
      <c r="C421" s="597"/>
      <c r="D421" s="597"/>
      <c r="E421" s="597"/>
      <c r="F421" s="597"/>
      <c r="G421" s="597"/>
      <c r="H421" s="597"/>
      <c r="I421" s="597"/>
      <c r="J421" s="614" t="s">
        <v>3673</v>
      </c>
      <c r="K421" s="615"/>
      <c r="L421" s="610"/>
      <c r="M421" s="611"/>
      <c r="N421" s="616" t="s">
        <v>1870</v>
      </c>
      <c r="O421" s="616" t="s">
        <v>3811</v>
      </c>
      <c r="P421" s="611" t="s">
        <v>2934</v>
      </c>
      <c r="Q421" s="597"/>
      <c r="R421" s="597"/>
      <c r="S421" s="597"/>
      <c r="T421" s="597"/>
      <c r="U421" s="597"/>
      <c r="V421" s="597"/>
      <c r="W421" s="597"/>
      <c r="X421" s="597"/>
      <c r="Y421" s="597"/>
      <c r="Z421" s="597"/>
      <c r="AA421" s="597"/>
    </row>
    <row r="422" spans="1:27" ht="12" customHeight="1">
      <c r="A422" s="597"/>
      <c r="B422" s="598"/>
      <c r="C422" s="597"/>
      <c r="D422" s="597"/>
      <c r="E422" s="597"/>
      <c r="F422" s="597"/>
      <c r="G422" s="597"/>
      <c r="H422" s="597"/>
      <c r="I422" s="597"/>
      <c r="J422" s="614" t="s">
        <v>3199</v>
      </c>
      <c r="K422" s="615"/>
      <c r="L422" s="610"/>
      <c r="M422" s="611"/>
      <c r="N422" s="616" t="s">
        <v>2493</v>
      </c>
      <c r="O422" s="616" t="s">
        <v>3738</v>
      </c>
      <c r="P422" s="611" t="s">
        <v>2935</v>
      </c>
      <c r="Q422" s="597"/>
      <c r="R422" s="597"/>
      <c r="S422" s="597"/>
      <c r="T422" s="597"/>
      <c r="U422" s="597"/>
      <c r="V422" s="597"/>
      <c r="W422" s="597"/>
      <c r="X422" s="597"/>
      <c r="Y422" s="597"/>
      <c r="Z422" s="597"/>
      <c r="AA422" s="597"/>
    </row>
    <row r="423" spans="1:27" ht="12" customHeight="1">
      <c r="A423" s="597"/>
      <c r="B423" s="598"/>
      <c r="C423" s="597"/>
      <c r="D423" s="597"/>
      <c r="E423" s="597"/>
      <c r="F423" s="597"/>
      <c r="G423" s="597"/>
      <c r="H423" s="597"/>
      <c r="I423" s="597"/>
      <c r="J423" s="614" t="s">
        <v>2111</v>
      </c>
      <c r="K423" s="615"/>
      <c r="L423" s="610"/>
      <c r="M423" s="611"/>
      <c r="N423" s="616" t="s">
        <v>2495</v>
      </c>
      <c r="O423" s="616" t="s">
        <v>3742</v>
      </c>
      <c r="P423" s="611" t="s">
        <v>2936</v>
      </c>
      <c r="Q423" s="597"/>
      <c r="R423" s="597"/>
      <c r="S423" s="597"/>
      <c r="T423" s="597"/>
      <c r="U423" s="597"/>
      <c r="V423" s="597"/>
      <c r="W423" s="597"/>
      <c r="X423" s="597"/>
      <c r="Y423" s="597"/>
      <c r="Z423" s="597"/>
      <c r="AA423" s="597"/>
    </row>
    <row r="424" spans="1:27" ht="12" customHeight="1">
      <c r="A424" s="597"/>
      <c r="B424" s="598"/>
      <c r="C424" s="597"/>
      <c r="D424" s="597"/>
      <c r="E424" s="597"/>
      <c r="F424" s="597"/>
      <c r="G424" s="597"/>
      <c r="H424" s="597"/>
      <c r="I424" s="597"/>
      <c r="J424" s="614" t="s">
        <v>1869</v>
      </c>
      <c r="K424" s="615"/>
      <c r="L424" s="610"/>
      <c r="M424" s="611"/>
      <c r="N424" s="498" t="s">
        <v>2539</v>
      </c>
      <c r="O424" s="498" t="s">
        <v>1174</v>
      </c>
      <c r="P424" s="1363" t="s">
        <v>967</v>
      </c>
      <c r="Q424" s="597"/>
      <c r="R424" s="597"/>
      <c r="S424" s="597"/>
      <c r="T424" s="597"/>
      <c r="U424" s="597"/>
      <c r="V424" s="597"/>
      <c r="W424" s="597"/>
      <c r="X424" s="597"/>
      <c r="Y424" s="597"/>
      <c r="Z424" s="597"/>
      <c r="AA424" s="597"/>
    </row>
    <row r="425" spans="1:27" ht="12" customHeight="1">
      <c r="A425" s="597"/>
      <c r="B425" s="598"/>
      <c r="C425" s="597"/>
      <c r="D425" s="597"/>
      <c r="E425" s="597"/>
      <c r="F425" s="597"/>
      <c r="G425" s="597"/>
      <c r="H425" s="597"/>
      <c r="I425" s="597"/>
      <c r="J425" s="614" t="s">
        <v>2492</v>
      </c>
      <c r="K425" s="615"/>
      <c r="L425" s="610"/>
      <c r="M425" s="611"/>
      <c r="N425" s="616" t="s">
        <v>2616</v>
      </c>
      <c r="O425" s="616" t="s">
        <v>2379</v>
      </c>
      <c r="P425" s="611" t="s">
        <v>1717</v>
      </c>
      <c r="Q425" s="597"/>
      <c r="R425" s="597"/>
      <c r="S425" s="597"/>
      <c r="T425" s="597"/>
      <c r="U425" s="597"/>
      <c r="V425" s="597"/>
      <c r="W425" s="597"/>
      <c r="X425" s="597"/>
      <c r="Y425" s="597"/>
      <c r="Z425" s="597"/>
      <c r="AA425" s="597"/>
    </row>
    <row r="426" spans="1:27" ht="12" customHeight="1">
      <c r="A426" s="597"/>
      <c r="B426" s="598"/>
      <c r="C426" s="597"/>
      <c r="D426" s="597"/>
      <c r="E426" s="597"/>
      <c r="F426" s="597"/>
      <c r="G426" s="597"/>
      <c r="H426" s="597"/>
      <c r="I426" s="597"/>
      <c r="J426" s="614" t="s">
        <v>2494</v>
      </c>
      <c r="K426" s="615"/>
      <c r="L426" s="610"/>
      <c r="M426" s="611"/>
      <c r="N426" s="616" t="s">
        <v>3737</v>
      </c>
      <c r="O426" s="616" t="s">
        <v>524</v>
      </c>
      <c r="P426" s="611" t="s">
        <v>1718</v>
      </c>
      <c r="Q426" s="597"/>
      <c r="R426" s="597"/>
      <c r="S426" s="597"/>
      <c r="T426" s="597"/>
      <c r="U426" s="597"/>
      <c r="V426" s="597"/>
      <c r="W426" s="597"/>
      <c r="X426" s="597"/>
      <c r="Y426" s="597"/>
      <c r="Z426" s="597"/>
      <c r="AA426" s="597"/>
    </row>
    <row r="427" spans="1:27" ht="12" customHeight="1">
      <c r="A427" s="597"/>
      <c r="B427" s="598"/>
      <c r="C427" s="597"/>
      <c r="D427" s="597"/>
      <c r="E427" s="597"/>
      <c r="F427" s="597"/>
      <c r="G427" s="597"/>
      <c r="H427" s="597"/>
      <c r="I427" s="597"/>
      <c r="J427" s="614" t="s">
        <v>2615</v>
      </c>
      <c r="K427" s="615"/>
      <c r="L427" s="610"/>
      <c r="M427" s="611"/>
      <c r="N427" s="616" t="s">
        <v>1568</v>
      </c>
      <c r="O427" s="616" t="s">
        <v>521</v>
      </c>
      <c r="P427" s="611" t="s">
        <v>1719</v>
      </c>
      <c r="Q427" s="597"/>
      <c r="R427" s="597"/>
      <c r="S427" s="597"/>
      <c r="T427" s="597"/>
      <c r="U427" s="597"/>
      <c r="V427" s="597"/>
      <c r="W427" s="597"/>
      <c r="X427" s="597"/>
      <c r="Y427" s="597"/>
      <c r="Z427" s="597"/>
      <c r="AA427" s="597"/>
    </row>
    <row r="428" spans="1:27" ht="12" customHeight="1">
      <c r="A428" s="597"/>
      <c r="B428" s="598"/>
      <c r="C428" s="597"/>
      <c r="D428" s="597"/>
      <c r="E428" s="597"/>
      <c r="F428" s="597"/>
      <c r="G428" s="597"/>
      <c r="H428" s="597"/>
      <c r="I428" s="597"/>
      <c r="J428" s="614" t="s">
        <v>1565</v>
      </c>
      <c r="K428" s="615"/>
      <c r="L428" s="610"/>
      <c r="M428" s="611"/>
      <c r="N428" s="616" t="s">
        <v>2739</v>
      </c>
      <c r="O428" s="616" t="s">
        <v>3979</v>
      </c>
      <c r="P428" s="611" t="s">
        <v>1720</v>
      </c>
      <c r="Q428" s="597"/>
      <c r="R428" s="597"/>
      <c r="S428" s="597"/>
      <c r="T428" s="597"/>
      <c r="U428" s="597"/>
      <c r="V428" s="597"/>
      <c r="W428" s="597"/>
      <c r="X428" s="597"/>
      <c r="Y428" s="597"/>
      <c r="Z428" s="597"/>
      <c r="AA428" s="597"/>
    </row>
    <row r="429" spans="1:27" ht="12" customHeight="1">
      <c r="A429" s="597"/>
      <c r="B429" s="598"/>
      <c r="C429" s="597"/>
      <c r="D429" s="597"/>
      <c r="E429" s="597"/>
      <c r="F429" s="597"/>
      <c r="G429" s="597"/>
      <c r="H429" s="597"/>
      <c r="I429" s="597"/>
      <c r="J429" s="614" t="s">
        <v>1566</v>
      </c>
      <c r="K429" s="615"/>
      <c r="L429" s="610"/>
      <c r="M429" s="611"/>
      <c r="N429" s="616" t="s">
        <v>2741</v>
      </c>
      <c r="O429" s="616" t="s">
        <v>3739</v>
      </c>
      <c r="P429" s="611" t="s">
        <v>1721</v>
      </c>
      <c r="Q429" s="597"/>
      <c r="R429" s="597"/>
      <c r="S429" s="597"/>
      <c r="T429" s="597"/>
      <c r="U429" s="597"/>
      <c r="V429" s="597"/>
      <c r="W429" s="597"/>
      <c r="X429" s="597"/>
      <c r="Y429" s="597"/>
      <c r="Z429" s="597"/>
      <c r="AA429" s="597"/>
    </row>
    <row r="430" spans="1:27" ht="12" customHeight="1">
      <c r="A430" s="597"/>
      <c r="B430" s="598"/>
      <c r="C430" s="597"/>
      <c r="D430" s="597"/>
      <c r="E430" s="597"/>
      <c r="F430" s="597"/>
      <c r="G430" s="597"/>
      <c r="H430" s="597"/>
      <c r="I430" s="597"/>
      <c r="J430" s="614" t="s">
        <v>1567</v>
      </c>
      <c r="K430" s="615"/>
      <c r="L430" s="610"/>
      <c r="M430" s="611"/>
      <c r="N430" s="616" t="s">
        <v>1502</v>
      </c>
      <c r="O430" s="616" t="s">
        <v>2455</v>
      </c>
      <c r="P430" s="611" t="s">
        <v>1578</v>
      </c>
      <c r="Q430" s="597"/>
      <c r="R430" s="597"/>
      <c r="S430" s="597"/>
      <c r="T430" s="597"/>
      <c r="U430" s="597"/>
      <c r="V430" s="597"/>
      <c r="W430" s="597"/>
      <c r="X430" s="597"/>
      <c r="Y430" s="597"/>
      <c r="Z430" s="597"/>
      <c r="AA430" s="597"/>
    </row>
    <row r="431" spans="1:27" ht="12" customHeight="1">
      <c r="A431" s="597"/>
      <c r="B431" s="598"/>
      <c r="C431" s="597"/>
      <c r="D431" s="597"/>
      <c r="E431" s="597"/>
      <c r="F431" s="597"/>
      <c r="G431" s="597"/>
      <c r="H431" s="597"/>
      <c r="I431" s="597"/>
      <c r="J431" s="614" t="s">
        <v>2738</v>
      </c>
      <c r="K431" s="615"/>
      <c r="L431" s="610"/>
      <c r="M431" s="611"/>
      <c r="N431" s="616" t="s">
        <v>3228</v>
      </c>
      <c r="O431" s="616" t="s">
        <v>3749</v>
      </c>
      <c r="P431" s="611" t="s">
        <v>1579</v>
      </c>
      <c r="Q431" s="597"/>
      <c r="R431" s="597"/>
      <c r="S431" s="597"/>
      <c r="T431" s="597"/>
      <c r="U431" s="597"/>
      <c r="V431" s="597"/>
      <c r="W431" s="597"/>
      <c r="X431" s="597"/>
      <c r="Y431" s="597"/>
      <c r="Z431" s="597"/>
      <c r="AA431" s="597"/>
    </row>
    <row r="432" spans="1:27" ht="12" customHeight="1">
      <c r="A432" s="597"/>
      <c r="B432" s="598"/>
      <c r="C432" s="597"/>
      <c r="D432" s="597"/>
      <c r="E432" s="597"/>
      <c r="F432" s="597"/>
      <c r="G432" s="597"/>
      <c r="H432" s="597"/>
      <c r="I432" s="597"/>
      <c r="J432" s="614" t="s">
        <v>2740</v>
      </c>
      <c r="K432" s="615"/>
      <c r="L432" s="610"/>
      <c r="M432" s="611"/>
      <c r="N432" s="616" t="s">
        <v>1483</v>
      </c>
      <c r="O432" s="616" t="s">
        <v>3987</v>
      </c>
      <c r="P432" s="611" t="s">
        <v>1723</v>
      </c>
      <c r="Q432" s="597"/>
      <c r="R432" s="597"/>
      <c r="S432" s="597"/>
      <c r="T432" s="597"/>
      <c r="U432" s="597"/>
      <c r="V432" s="597"/>
      <c r="W432" s="597"/>
      <c r="X432" s="597"/>
      <c r="Y432" s="597"/>
      <c r="Z432" s="597"/>
      <c r="AA432" s="597"/>
    </row>
    <row r="433" spans="1:27" ht="12" customHeight="1">
      <c r="A433" s="597"/>
      <c r="B433" s="598"/>
      <c r="C433" s="597"/>
      <c r="D433" s="597"/>
      <c r="E433" s="597"/>
      <c r="F433" s="597"/>
      <c r="G433" s="597"/>
      <c r="H433" s="597"/>
      <c r="I433" s="597"/>
      <c r="J433" s="614" t="s">
        <v>2742</v>
      </c>
      <c r="K433" s="615"/>
      <c r="L433" s="610"/>
      <c r="M433" s="611"/>
      <c r="N433" s="616" t="s">
        <v>928</v>
      </c>
      <c r="O433" s="616" t="s">
        <v>2747</v>
      </c>
      <c r="P433" s="611" t="s">
        <v>1724</v>
      </c>
      <c r="Q433" s="597"/>
      <c r="R433" s="597"/>
      <c r="S433" s="597"/>
      <c r="T433" s="597"/>
      <c r="U433" s="597"/>
      <c r="V433" s="597"/>
      <c r="W433" s="597"/>
      <c r="X433" s="597"/>
      <c r="Y433" s="597"/>
      <c r="Z433" s="597"/>
      <c r="AA433" s="597"/>
    </row>
    <row r="434" spans="1:27" ht="12" customHeight="1">
      <c r="A434" s="597"/>
      <c r="B434" s="598"/>
      <c r="C434" s="597"/>
      <c r="D434" s="597"/>
      <c r="E434" s="597"/>
      <c r="F434" s="597"/>
      <c r="G434" s="597"/>
      <c r="H434" s="597"/>
      <c r="I434" s="597"/>
      <c r="J434" s="614" t="s">
        <v>3536</v>
      </c>
      <c r="K434" s="615"/>
      <c r="L434" s="610"/>
      <c r="M434" s="611"/>
      <c r="N434" s="616" t="s">
        <v>1173</v>
      </c>
      <c r="O434" s="616" t="s">
        <v>2465</v>
      </c>
      <c r="P434" s="611" t="s">
        <v>1725</v>
      </c>
      <c r="Q434" s="597"/>
      <c r="R434" s="597"/>
      <c r="S434" s="597"/>
      <c r="T434" s="597"/>
      <c r="U434" s="597"/>
      <c r="V434" s="597"/>
      <c r="W434" s="597"/>
      <c r="X434" s="597"/>
      <c r="Y434" s="597"/>
      <c r="Z434" s="597"/>
      <c r="AA434" s="597"/>
    </row>
    <row r="435" spans="1:27" ht="12" customHeight="1">
      <c r="A435" s="597"/>
      <c r="B435" s="598"/>
      <c r="C435" s="597"/>
      <c r="D435" s="597"/>
      <c r="E435" s="597"/>
      <c r="F435" s="597"/>
      <c r="G435" s="597"/>
      <c r="H435" s="597"/>
      <c r="I435" s="597"/>
      <c r="J435" s="614" t="s">
        <v>1482</v>
      </c>
      <c r="K435" s="615"/>
      <c r="L435" s="610"/>
      <c r="M435" s="611"/>
      <c r="N435" s="616" t="s">
        <v>2520</v>
      </c>
      <c r="O435" s="616" t="s">
        <v>1330</v>
      </c>
      <c r="P435" s="611" t="s">
        <v>1726</v>
      </c>
      <c r="Q435" s="597"/>
      <c r="R435" s="597"/>
      <c r="S435" s="597"/>
      <c r="T435" s="597"/>
      <c r="U435" s="597"/>
      <c r="V435" s="597"/>
      <c r="W435" s="597"/>
      <c r="X435" s="597"/>
      <c r="Y435" s="597"/>
      <c r="Z435" s="597"/>
      <c r="AA435" s="597"/>
    </row>
    <row r="436" spans="1:27" ht="12" customHeight="1">
      <c r="A436" s="597"/>
      <c r="B436" s="598"/>
      <c r="C436" s="597"/>
      <c r="D436" s="597"/>
      <c r="E436" s="597"/>
      <c r="F436" s="597"/>
      <c r="G436" s="597"/>
      <c r="H436" s="597"/>
      <c r="I436" s="597"/>
      <c r="J436" s="614" t="s">
        <v>927</v>
      </c>
      <c r="K436" s="615"/>
      <c r="L436" s="610"/>
      <c r="M436" s="611"/>
      <c r="N436" s="616" t="s">
        <v>3460</v>
      </c>
      <c r="O436" s="616" t="s">
        <v>3820</v>
      </c>
      <c r="P436" s="611" t="s">
        <v>1727</v>
      </c>
      <c r="Q436" s="597"/>
      <c r="R436" s="597"/>
      <c r="S436" s="597"/>
      <c r="T436" s="597"/>
      <c r="U436" s="597"/>
      <c r="V436" s="597"/>
      <c r="W436" s="597"/>
      <c r="X436" s="597"/>
      <c r="Y436" s="597"/>
      <c r="Z436" s="597"/>
      <c r="AA436" s="597"/>
    </row>
    <row r="437" spans="1:27" ht="12" customHeight="1">
      <c r="A437" s="597"/>
      <c r="B437" s="598"/>
      <c r="C437" s="597"/>
      <c r="D437" s="597"/>
      <c r="E437" s="597"/>
      <c r="F437" s="597"/>
      <c r="G437" s="597"/>
      <c r="H437" s="597"/>
      <c r="I437" s="597"/>
      <c r="J437" s="614" t="s">
        <v>1172</v>
      </c>
      <c r="K437" s="615"/>
      <c r="L437" s="610"/>
      <c r="M437" s="611"/>
      <c r="N437" s="498" t="s">
        <v>2540</v>
      </c>
      <c r="O437" s="498" t="s">
        <v>2452</v>
      </c>
      <c r="P437" s="1363" t="s">
        <v>967</v>
      </c>
      <c r="Q437" s="597"/>
      <c r="R437" s="597"/>
      <c r="S437" s="597"/>
      <c r="T437" s="597"/>
      <c r="U437" s="597"/>
      <c r="V437" s="597"/>
      <c r="W437" s="597"/>
      <c r="X437" s="597"/>
      <c r="Y437" s="597"/>
      <c r="Z437" s="597"/>
      <c r="AA437" s="597"/>
    </row>
    <row r="438" spans="1:27" ht="12" customHeight="1">
      <c r="A438" s="597"/>
      <c r="B438" s="598"/>
      <c r="C438" s="597"/>
      <c r="D438" s="597"/>
      <c r="E438" s="597"/>
      <c r="F438" s="597"/>
      <c r="G438" s="597"/>
      <c r="H438" s="597"/>
      <c r="I438" s="597"/>
      <c r="J438" s="614" t="s">
        <v>2519</v>
      </c>
      <c r="K438" s="615"/>
      <c r="L438" s="610"/>
      <c r="M438" s="611"/>
      <c r="N438" s="616" t="s">
        <v>3566</v>
      </c>
      <c r="O438" s="616" t="s">
        <v>1009</v>
      </c>
      <c r="P438" s="611" t="s">
        <v>1728</v>
      </c>
      <c r="Q438" s="597"/>
      <c r="R438" s="597"/>
      <c r="S438" s="597"/>
      <c r="T438" s="597"/>
      <c r="U438" s="597"/>
      <c r="V438" s="597"/>
      <c r="W438" s="597"/>
      <c r="X438" s="597"/>
      <c r="Y438" s="597"/>
      <c r="Z438" s="597"/>
      <c r="AA438" s="597"/>
    </row>
    <row r="439" spans="1:27" ht="12" customHeight="1">
      <c r="A439" s="597"/>
      <c r="B439" s="598"/>
      <c r="C439" s="597"/>
      <c r="D439" s="597"/>
      <c r="E439" s="597"/>
      <c r="F439" s="597"/>
      <c r="G439" s="597"/>
      <c r="H439" s="597"/>
      <c r="I439" s="597"/>
      <c r="J439" s="614" t="s">
        <v>3459</v>
      </c>
      <c r="K439" s="615"/>
      <c r="L439" s="610"/>
      <c r="M439" s="611"/>
      <c r="N439" s="616" t="s">
        <v>1238</v>
      </c>
      <c r="O439" s="616" t="s">
        <v>2059</v>
      </c>
      <c r="P439" s="611" t="s">
        <v>1729</v>
      </c>
      <c r="Q439" s="597"/>
      <c r="R439" s="597"/>
      <c r="S439" s="597"/>
      <c r="T439" s="597"/>
      <c r="U439" s="597"/>
      <c r="V439" s="597"/>
      <c r="W439" s="597"/>
      <c r="X439" s="597"/>
      <c r="Y439" s="597"/>
      <c r="Z439" s="597"/>
      <c r="AA439" s="597"/>
    </row>
    <row r="440" spans="1:27" ht="12" customHeight="1">
      <c r="A440" s="597"/>
      <c r="B440" s="598"/>
      <c r="C440" s="597"/>
      <c r="D440" s="597"/>
      <c r="E440" s="597"/>
      <c r="F440" s="597"/>
      <c r="G440" s="597"/>
      <c r="H440" s="597"/>
      <c r="I440" s="597"/>
      <c r="J440" s="614" t="s">
        <v>3461</v>
      </c>
      <c r="K440" s="615"/>
      <c r="L440" s="610"/>
      <c r="M440" s="611"/>
      <c r="N440" s="616" t="s">
        <v>3447</v>
      </c>
      <c r="O440" s="616" t="s">
        <v>493</v>
      </c>
      <c r="P440" s="611" t="s">
        <v>1730</v>
      </c>
      <c r="Q440" s="597"/>
      <c r="R440" s="597"/>
      <c r="S440" s="597"/>
      <c r="T440" s="597"/>
      <c r="U440" s="597"/>
      <c r="V440" s="597"/>
      <c r="W440" s="597"/>
      <c r="X440" s="597"/>
      <c r="Y440" s="597"/>
      <c r="Z440" s="597"/>
      <c r="AA440" s="597"/>
    </row>
    <row r="441" spans="1:27" ht="12" customHeight="1">
      <c r="A441" s="597"/>
      <c r="B441" s="598"/>
      <c r="C441" s="597"/>
      <c r="D441" s="597"/>
      <c r="E441" s="597"/>
      <c r="F441" s="597"/>
      <c r="G441" s="597"/>
      <c r="H441" s="597"/>
      <c r="I441" s="597"/>
      <c r="J441" s="614" t="s">
        <v>3565</v>
      </c>
      <c r="K441" s="615"/>
      <c r="L441" s="610"/>
      <c r="M441" s="611"/>
      <c r="N441" s="616" t="s">
        <v>1138</v>
      </c>
      <c r="O441" s="616" t="s">
        <v>2154</v>
      </c>
      <c r="P441" s="611" t="s">
        <v>1731</v>
      </c>
      <c r="Q441" s="597"/>
      <c r="R441" s="597"/>
      <c r="S441" s="597"/>
      <c r="T441" s="597"/>
      <c r="U441" s="597"/>
      <c r="V441" s="597"/>
      <c r="W441" s="597"/>
      <c r="X441" s="597"/>
      <c r="Y441" s="597"/>
      <c r="Z441" s="597"/>
      <c r="AA441" s="597"/>
    </row>
    <row r="442" spans="1:27" ht="12" customHeight="1">
      <c r="A442" s="597"/>
      <c r="B442" s="598"/>
      <c r="C442" s="597"/>
      <c r="D442" s="597"/>
      <c r="E442" s="597"/>
      <c r="F442" s="597"/>
      <c r="G442" s="597"/>
      <c r="H442" s="597"/>
      <c r="I442" s="597"/>
      <c r="J442" s="614" t="s">
        <v>1237</v>
      </c>
      <c r="K442" s="615"/>
      <c r="L442" s="610"/>
      <c r="M442" s="611"/>
      <c r="N442" s="616" t="s">
        <v>1649</v>
      </c>
      <c r="O442" s="616" t="s">
        <v>1334</v>
      </c>
      <c r="P442" s="611" t="s">
        <v>1732</v>
      </c>
      <c r="Q442" s="597"/>
      <c r="R442" s="597"/>
      <c r="S442" s="597"/>
      <c r="T442" s="597"/>
      <c r="U442" s="597"/>
      <c r="V442" s="597"/>
      <c r="W442" s="597"/>
      <c r="X442" s="597"/>
      <c r="Y442" s="597"/>
      <c r="Z442" s="597"/>
      <c r="AA442" s="597"/>
    </row>
    <row r="443" spans="1:27" ht="12" customHeight="1">
      <c r="A443" s="597"/>
      <c r="B443" s="598"/>
      <c r="C443" s="597"/>
      <c r="D443" s="597"/>
      <c r="E443" s="597"/>
      <c r="F443" s="597"/>
      <c r="G443" s="597"/>
      <c r="H443" s="597"/>
      <c r="I443" s="597"/>
      <c r="J443" s="614" t="s">
        <v>3446</v>
      </c>
      <c r="K443" s="615"/>
      <c r="L443" s="610"/>
      <c r="M443" s="611"/>
      <c r="N443" s="616" t="s">
        <v>1651</v>
      </c>
      <c r="O443" s="616" t="s">
        <v>3899</v>
      </c>
      <c r="P443" s="611" t="s">
        <v>1594</v>
      </c>
      <c r="Q443" s="597"/>
      <c r="R443" s="597"/>
      <c r="S443" s="597"/>
      <c r="T443" s="597"/>
      <c r="U443" s="597"/>
      <c r="V443" s="597"/>
      <c r="W443" s="597"/>
      <c r="X443" s="597"/>
      <c r="Y443" s="597"/>
      <c r="Z443" s="597"/>
      <c r="AA443" s="597"/>
    </row>
    <row r="444" spans="1:27" ht="12" customHeight="1">
      <c r="A444" s="597"/>
      <c r="B444" s="598"/>
      <c r="C444" s="597"/>
      <c r="D444" s="597"/>
      <c r="E444" s="597"/>
      <c r="F444" s="597"/>
      <c r="G444" s="597"/>
      <c r="H444" s="597"/>
      <c r="I444" s="597"/>
      <c r="J444" s="614" t="s">
        <v>1137</v>
      </c>
      <c r="K444" s="615"/>
      <c r="L444" s="610"/>
      <c r="M444" s="611"/>
      <c r="N444" s="616" t="s">
        <v>3730</v>
      </c>
      <c r="O444" s="616" t="s">
        <v>3892</v>
      </c>
      <c r="P444" s="611" t="s">
        <v>1595</v>
      </c>
      <c r="Q444" s="597"/>
      <c r="R444" s="597"/>
      <c r="S444" s="597"/>
      <c r="T444" s="597"/>
      <c r="U444" s="597"/>
      <c r="V444" s="597"/>
      <c r="W444" s="597"/>
      <c r="X444" s="597"/>
      <c r="Y444" s="597"/>
      <c r="Z444" s="597"/>
      <c r="AA444" s="597"/>
    </row>
    <row r="445" spans="1:27" ht="12" customHeight="1">
      <c r="A445" s="597"/>
      <c r="B445" s="598"/>
      <c r="C445" s="597"/>
      <c r="D445" s="597"/>
      <c r="E445" s="597"/>
      <c r="F445" s="597"/>
      <c r="G445" s="597"/>
      <c r="H445" s="597"/>
      <c r="I445" s="597"/>
      <c r="J445" s="614" t="s">
        <v>1648</v>
      </c>
      <c r="K445" s="615"/>
      <c r="L445" s="610"/>
      <c r="M445" s="611"/>
      <c r="N445" s="616" t="s">
        <v>3732</v>
      </c>
      <c r="O445" s="616" t="s">
        <v>2141</v>
      </c>
      <c r="P445" s="611" t="s">
        <v>1596</v>
      </c>
      <c r="Q445" s="597"/>
      <c r="R445" s="597"/>
      <c r="S445" s="597"/>
      <c r="T445" s="597"/>
      <c r="U445" s="597"/>
      <c r="V445" s="597"/>
      <c r="W445" s="597"/>
      <c r="X445" s="597"/>
      <c r="Y445" s="597"/>
      <c r="Z445" s="597"/>
      <c r="AA445" s="597"/>
    </row>
    <row r="446" spans="1:27" ht="12" customHeight="1">
      <c r="A446" s="597"/>
      <c r="B446" s="598"/>
      <c r="C446" s="597"/>
      <c r="D446" s="597"/>
      <c r="E446" s="597"/>
      <c r="F446" s="597"/>
      <c r="G446" s="597"/>
      <c r="H446" s="597"/>
      <c r="I446" s="597"/>
      <c r="J446" s="614" t="s">
        <v>1650</v>
      </c>
      <c r="K446" s="615"/>
      <c r="L446" s="610"/>
      <c r="M446" s="611"/>
      <c r="N446" s="616" t="s">
        <v>2632</v>
      </c>
      <c r="O446" s="616" t="s">
        <v>791</v>
      </c>
      <c r="P446" s="611" t="s">
        <v>1597</v>
      </c>
      <c r="Q446" s="597"/>
      <c r="R446" s="597"/>
      <c r="S446" s="597"/>
      <c r="T446" s="597"/>
      <c r="U446" s="597"/>
      <c r="V446" s="597"/>
      <c r="W446" s="597"/>
      <c r="X446" s="597"/>
      <c r="Y446" s="597"/>
      <c r="Z446" s="597"/>
      <c r="AA446" s="597"/>
    </row>
    <row r="447" spans="1:27" ht="12" customHeight="1">
      <c r="A447" s="597"/>
      <c r="B447" s="598"/>
      <c r="C447" s="597"/>
      <c r="D447" s="597"/>
      <c r="E447" s="597"/>
      <c r="F447" s="597"/>
      <c r="G447" s="597"/>
      <c r="H447" s="597"/>
      <c r="I447" s="597"/>
      <c r="J447" s="614" t="s">
        <v>3729</v>
      </c>
      <c r="K447" s="615"/>
      <c r="L447" s="610"/>
      <c r="M447" s="611"/>
      <c r="N447" s="616" t="s">
        <v>762</v>
      </c>
      <c r="O447" s="616" t="s">
        <v>3746</v>
      </c>
      <c r="P447" s="611" t="s">
        <v>1598</v>
      </c>
      <c r="Q447" s="597"/>
      <c r="R447" s="597"/>
      <c r="S447" s="597"/>
      <c r="T447" s="597"/>
      <c r="U447" s="597"/>
      <c r="V447" s="597"/>
      <c r="W447" s="597"/>
      <c r="X447" s="597"/>
      <c r="Y447" s="597"/>
      <c r="Z447" s="597"/>
      <c r="AA447" s="597"/>
    </row>
    <row r="448" spans="1:27" ht="12" customHeight="1">
      <c r="A448" s="597"/>
      <c r="B448" s="598"/>
      <c r="C448" s="597"/>
      <c r="D448" s="597"/>
      <c r="E448" s="597"/>
      <c r="F448" s="597"/>
      <c r="G448" s="597"/>
      <c r="H448" s="597"/>
      <c r="I448" s="597"/>
      <c r="J448" s="614" t="s">
        <v>3731</v>
      </c>
      <c r="K448" s="615"/>
      <c r="L448" s="610"/>
      <c r="M448" s="611"/>
      <c r="N448" s="616" t="s">
        <v>833</v>
      </c>
      <c r="O448" s="616" t="s">
        <v>3815</v>
      </c>
      <c r="P448" s="611" t="s">
        <v>1739</v>
      </c>
      <c r="Q448" s="597"/>
      <c r="R448" s="597"/>
      <c r="S448" s="597"/>
      <c r="T448" s="597"/>
      <c r="U448" s="597"/>
      <c r="V448" s="597"/>
      <c r="W448" s="597"/>
      <c r="X448" s="597"/>
      <c r="Y448" s="597"/>
      <c r="Z448" s="597"/>
      <c r="AA448" s="597"/>
    </row>
    <row r="449" spans="1:27" ht="12" customHeight="1">
      <c r="A449" s="597"/>
      <c r="B449" s="598"/>
      <c r="C449" s="597"/>
      <c r="D449" s="597"/>
      <c r="E449" s="597"/>
      <c r="F449" s="597"/>
      <c r="G449" s="597"/>
      <c r="H449" s="597"/>
      <c r="I449" s="597"/>
      <c r="J449" s="614" t="s">
        <v>2631</v>
      </c>
      <c r="K449" s="615"/>
      <c r="L449" s="610"/>
      <c r="M449" s="611"/>
      <c r="N449" s="616" t="s">
        <v>835</v>
      </c>
      <c r="O449" s="616" t="s">
        <v>2151</v>
      </c>
      <c r="P449" s="611" t="s">
        <v>1740</v>
      </c>
      <c r="Q449" s="597"/>
      <c r="R449" s="597"/>
      <c r="S449" s="597"/>
      <c r="T449" s="597"/>
      <c r="U449" s="597"/>
      <c r="V449" s="597"/>
      <c r="W449" s="597"/>
      <c r="X449" s="597"/>
      <c r="Y449" s="597"/>
      <c r="Z449" s="597"/>
      <c r="AA449" s="597"/>
    </row>
    <row r="450" spans="1:27" ht="12" customHeight="1">
      <c r="A450" s="597"/>
      <c r="B450" s="598"/>
      <c r="C450" s="597"/>
      <c r="D450" s="597"/>
      <c r="E450" s="597"/>
      <c r="F450" s="597"/>
      <c r="G450" s="597"/>
      <c r="H450" s="597"/>
      <c r="I450" s="597"/>
      <c r="J450" s="614" t="s">
        <v>760</v>
      </c>
      <c r="K450" s="615"/>
      <c r="L450" s="610"/>
      <c r="M450" s="611"/>
      <c r="N450" s="616" t="s">
        <v>3396</v>
      </c>
      <c r="O450" s="616" t="s">
        <v>3815</v>
      </c>
      <c r="P450" s="611" t="s">
        <v>1741</v>
      </c>
      <c r="Q450" s="597"/>
      <c r="R450" s="597"/>
      <c r="S450" s="597"/>
      <c r="T450" s="597"/>
      <c r="U450" s="597"/>
      <c r="V450" s="597"/>
      <c r="W450" s="597"/>
      <c r="X450" s="597"/>
      <c r="Y450" s="597"/>
      <c r="Z450" s="597"/>
      <c r="AA450" s="597"/>
    </row>
    <row r="451" spans="1:27" ht="12" customHeight="1">
      <c r="A451" s="597"/>
      <c r="B451" s="598"/>
      <c r="C451" s="597"/>
      <c r="D451" s="597"/>
      <c r="E451" s="597"/>
      <c r="F451" s="597"/>
      <c r="G451" s="597"/>
      <c r="H451" s="597"/>
      <c r="I451" s="597"/>
      <c r="J451" s="614" t="s">
        <v>761</v>
      </c>
      <c r="K451" s="615"/>
      <c r="L451" s="610"/>
      <c r="M451" s="611"/>
      <c r="N451" s="498" t="s">
        <v>2541</v>
      </c>
      <c r="O451" s="498" t="s">
        <v>1920</v>
      </c>
      <c r="P451" s="1363" t="s">
        <v>967</v>
      </c>
      <c r="Q451" s="597"/>
      <c r="R451" s="597"/>
      <c r="S451" s="597"/>
      <c r="T451" s="597"/>
      <c r="U451" s="597"/>
      <c r="V451" s="597"/>
      <c r="W451" s="597"/>
      <c r="X451" s="597"/>
      <c r="Y451" s="597"/>
      <c r="Z451" s="597"/>
      <c r="AA451" s="597"/>
    </row>
    <row r="452" spans="1:27" ht="12" customHeight="1">
      <c r="A452" s="597"/>
      <c r="B452" s="598"/>
      <c r="C452" s="597"/>
      <c r="D452" s="597"/>
      <c r="E452" s="597"/>
      <c r="F452" s="597"/>
      <c r="G452" s="597"/>
      <c r="H452" s="597"/>
      <c r="I452" s="597"/>
      <c r="J452" s="614" t="s">
        <v>1062</v>
      </c>
      <c r="K452" s="615"/>
      <c r="L452" s="610"/>
      <c r="M452" s="611"/>
      <c r="N452" s="616" t="s">
        <v>3823</v>
      </c>
      <c r="O452" s="616" t="s">
        <v>1011</v>
      </c>
      <c r="P452" s="611" t="s">
        <v>3823</v>
      </c>
      <c r="Q452" s="597"/>
      <c r="R452" s="597"/>
      <c r="S452" s="597"/>
      <c r="T452" s="597"/>
      <c r="U452" s="597"/>
      <c r="V452" s="597"/>
      <c r="W452" s="597"/>
      <c r="X452" s="597"/>
      <c r="Y452" s="597"/>
      <c r="Z452" s="597"/>
      <c r="AA452" s="597"/>
    </row>
    <row r="453" spans="1:27" ht="12" customHeight="1">
      <c r="A453" s="597"/>
      <c r="B453" s="598"/>
      <c r="C453" s="597"/>
      <c r="D453" s="597"/>
      <c r="E453" s="597"/>
      <c r="F453" s="597"/>
      <c r="G453" s="597"/>
      <c r="H453" s="597"/>
      <c r="I453" s="597"/>
      <c r="J453" s="614" t="s">
        <v>832</v>
      </c>
      <c r="K453" s="615"/>
      <c r="L453" s="610"/>
      <c r="M453" s="611"/>
      <c r="N453" s="498" t="s">
        <v>2542</v>
      </c>
      <c r="O453" s="498" t="s">
        <v>790</v>
      </c>
      <c r="P453" s="1363" t="s">
        <v>967</v>
      </c>
      <c r="Q453" s="597"/>
      <c r="R453" s="597"/>
      <c r="S453" s="597"/>
      <c r="T453" s="597"/>
      <c r="U453" s="597"/>
      <c r="V453" s="597"/>
      <c r="W453" s="597"/>
      <c r="X453" s="597"/>
      <c r="Y453" s="597"/>
      <c r="Z453" s="597"/>
      <c r="AA453" s="597"/>
    </row>
    <row r="454" spans="1:27" ht="12" customHeight="1">
      <c r="A454" s="597"/>
      <c r="B454" s="598"/>
      <c r="C454" s="597"/>
      <c r="D454" s="597"/>
      <c r="E454" s="597"/>
      <c r="F454" s="597"/>
      <c r="G454" s="597"/>
      <c r="H454" s="597"/>
      <c r="I454" s="597"/>
      <c r="J454" s="614" t="s">
        <v>834</v>
      </c>
      <c r="K454" s="615"/>
      <c r="L454" s="610"/>
      <c r="M454" s="611"/>
      <c r="N454" s="616" t="s">
        <v>1269</v>
      </c>
      <c r="O454" s="616" t="s">
        <v>679</v>
      </c>
      <c r="P454" s="611" t="s">
        <v>1742</v>
      </c>
      <c r="Q454" s="597"/>
      <c r="R454" s="597"/>
      <c r="S454" s="597"/>
      <c r="T454" s="597"/>
      <c r="U454" s="597"/>
      <c r="V454" s="597"/>
      <c r="W454" s="597"/>
      <c r="X454" s="597"/>
      <c r="Y454" s="597"/>
      <c r="Z454" s="597"/>
      <c r="AA454" s="597"/>
    </row>
    <row r="455" spans="1:27" ht="12" customHeight="1">
      <c r="A455" s="597"/>
      <c r="B455" s="598"/>
      <c r="C455" s="597"/>
      <c r="D455" s="597"/>
      <c r="E455" s="597"/>
      <c r="F455" s="597"/>
      <c r="G455" s="597"/>
      <c r="H455" s="597"/>
      <c r="I455" s="597"/>
      <c r="J455" s="614" t="s">
        <v>3395</v>
      </c>
      <c r="K455" s="615"/>
      <c r="L455" s="610"/>
      <c r="M455" s="611"/>
      <c r="N455" s="498" t="s">
        <v>2543</v>
      </c>
      <c r="O455" s="498" t="s">
        <v>3894</v>
      </c>
      <c r="P455" s="1363" t="s">
        <v>967</v>
      </c>
      <c r="Q455" s="597"/>
      <c r="R455" s="597"/>
      <c r="S455" s="597"/>
      <c r="T455" s="597"/>
      <c r="U455" s="597"/>
      <c r="V455" s="597"/>
      <c r="W455" s="597"/>
      <c r="X455" s="597"/>
      <c r="Y455" s="597"/>
      <c r="Z455" s="597"/>
      <c r="AA455" s="597"/>
    </row>
    <row r="456" spans="1:27" ht="12" customHeight="1">
      <c r="A456" s="597"/>
      <c r="B456" s="598"/>
      <c r="C456" s="597"/>
      <c r="D456" s="597"/>
      <c r="E456" s="597"/>
      <c r="F456" s="597"/>
      <c r="G456" s="597"/>
      <c r="H456" s="597"/>
      <c r="I456" s="597"/>
      <c r="J456" s="614" t="s">
        <v>3822</v>
      </c>
      <c r="K456" s="615"/>
      <c r="L456" s="610"/>
      <c r="M456" s="611"/>
      <c r="N456" s="616" t="s">
        <v>1271</v>
      </c>
      <c r="O456" s="616" t="s">
        <v>679</v>
      </c>
      <c r="P456" s="611" t="s">
        <v>1743</v>
      </c>
      <c r="Q456" s="597"/>
      <c r="R456" s="597"/>
      <c r="S456" s="597"/>
      <c r="T456" s="597"/>
      <c r="U456" s="597"/>
      <c r="V456" s="597"/>
      <c r="W456" s="597"/>
      <c r="X456" s="597"/>
      <c r="Y456" s="597"/>
      <c r="Z456" s="597"/>
      <c r="AA456" s="597"/>
    </row>
    <row r="457" spans="1:27" ht="12" customHeight="1">
      <c r="A457" s="597"/>
      <c r="B457" s="598"/>
      <c r="C457" s="597"/>
      <c r="D457" s="597"/>
      <c r="E457" s="597"/>
      <c r="F457" s="597"/>
      <c r="G457" s="597"/>
      <c r="H457" s="597"/>
      <c r="I457" s="597"/>
      <c r="J457" s="614" t="s">
        <v>1219</v>
      </c>
      <c r="K457" s="615"/>
      <c r="L457" s="610"/>
      <c r="M457" s="611"/>
      <c r="N457" s="616" t="s">
        <v>3746</v>
      </c>
      <c r="O457" s="616" t="s">
        <v>2162</v>
      </c>
      <c r="P457" s="611" t="s">
        <v>1600</v>
      </c>
      <c r="Q457" s="597"/>
      <c r="R457" s="597"/>
      <c r="S457" s="597"/>
      <c r="T457" s="597"/>
      <c r="U457" s="597"/>
      <c r="V457" s="597"/>
      <c r="W457" s="597"/>
      <c r="X457" s="597"/>
      <c r="Y457" s="597"/>
      <c r="Z457" s="597"/>
      <c r="AA457" s="597"/>
    </row>
    <row r="458" spans="1:27" ht="12" customHeight="1">
      <c r="A458" s="597"/>
      <c r="B458" s="598"/>
      <c r="C458" s="597"/>
      <c r="D458" s="597"/>
      <c r="E458" s="597"/>
      <c r="F458" s="597"/>
      <c r="G458" s="597"/>
      <c r="H458" s="597"/>
      <c r="I458" s="597"/>
      <c r="J458" s="614" t="s">
        <v>1270</v>
      </c>
      <c r="K458" s="615"/>
      <c r="L458" s="610"/>
      <c r="M458" s="611"/>
      <c r="N458" s="616" t="s">
        <v>2406</v>
      </c>
      <c r="O458" s="616" t="s">
        <v>2747</v>
      </c>
      <c r="P458" s="611" t="s">
        <v>1601</v>
      </c>
      <c r="Q458" s="597"/>
      <c r="R458" s="597"/>
      <c r="S458" s="597"/>
      <c r="T458" s="597"/>
      <c r="U458" s="597"/>
      <c r="V458" s="597"/>
      <c r="W458" s="597"/>
      <c r="X458" s="597"/>
      <c r="Y458" s="597"/>
      <c r="Z458" s="597"/>
      <c r="AA458" s="597"/>
    </row>
    <row r="459" spans="1:27" ht="12" customHeight="1">
      <c r="A459" s="597"/>
      <c r="B459" s="598"/>
      <c r="C459" s="597"/>
      <c r="D459" s="597"/>
      <c r="E459" s="597"/>
      <c r="F459" s="597"/>
      <c r="G459" s="597"/>
      <c r="H459" s="597"/>
      <c r="I459" s="597"/>
      <c r="J459" s="614" t="s">
        <v>1144</v>
      </c>
      <c r="K459" s="615"/>
      <c r="L459" s="610"/>
      <c r="M459" s="611"/>
      <c r="N459" s="616" t="s">
        <v>2468</v>
      </c>
      <c r="O459" s="616" t="s">
        <v>2750</v>
      </c>
      <c r="P459" s="611" t="s">
        <v>1747</v>
      </c>
      <c r="Q459" s="597"/>
      <c r="R459" s="597"/>
      <c r="S459" s="597"/>
      <c r="T459" s="597"/>
      <c r="U459" s="597"/>
      <c r="V459" s="597"/>
      <c r="W459" s="597"/>
      <c r="X459" s="597"/>
      <c r="Y459" s="597"/>
      <c r="Z459" s="597"/>
      <c r="AA459" s="597"/>
    </row>
    <row r="460" spans="1:27" ht="12" customHeight="1">
      <c r="A460" s="597"/>
      <c r="B460" s="598"/>
      <c r="C460" s="597"/>
      <c r="D460" s="597"/>
      <c r="E460" s="597"/>
      <c r="F460" s="597"/>
      <c r="G460" s="597"/>
      <c r="H460" s="597"/>
      <c r="I460" s="597"/>
      <c r="J460" s="614" t="s">
        <v>2405</v>
      </c>
      <c r="K460" s="615"/>
      <c r="L460" s="610"/>
      <c r="M460" s="611"/>
      <c r="N460" s="616" t="s">
        <v>3748</v>
      </c>
      <c r="O460" s="616" t="s">
        <v>2449</v>
      </c>
      <c r="P460" s="611" t="s">
        <v>1748</v>
      </c>
      <c r="Q460" s="597"/>
      <c r="R460" s="597"/>
      <c r="S460" s="597"/>
      <c r="T460" s="597"/>
      <c r="U460" s="597"/>
      <c r="V460" s="597"/>
      <c r="W460" s="597"/>
      <c r="X460" s="597"/>
      <c r="Y460" s="597"/>
      <c r="Z460" s="597"/>
      <c r="AA460" s="597"/>
    </row>
    <row r="461" spans="1:27" ht="12" customHeight="1">
      <c r="A461" s="597"/>
      <c r="B461" s="598"/>
      <c r="C461" s="597"/>
      <c r="D461" s="597"/>
      <c r="E461" s="597"/>
      <c r="F461" s="597"/>
      <c r="G461" s="597"/>
      <c r="H461" s="597"/>
      <c r="I461" s="597"/>
      <c r="J461" s="614" t="s">
        <v>2407</v>
      </c>
      <c r="K461" s="615"/>
      <c r="L461" s="610"/>
      <c r="M461" s="611"/>
      <c r="N461" s="616" t="s">
        <v>3751</v>
      </c>
      <c r="O461" s="616" t="s">
        <v>3746</v>
      </c>
      <c r="P461" s="611" t="s">
        <v>1749</v>
      </c>
      <c r="Q461" s="597"/>
      <c r="R461" s="597"/>
      <c r="S461" s="597"/>
      <c r="T461" s="597"/>
      <c r="U461" s="597"/>
      <c r="V461" s="597"/>
      <c r="W461" s="597"/>
      <c r="X461" s="597"/>
      <c r="Y461" s="597"/>
      <c r="Z461" s="597"/>
      <c r="AA461" s="597"/>
    </row>
    <row r="462" spans="1:27" ht="12" customHeight="1">
      <c r="A462" s="597"/>
      <c r="B462" s="598"/>
      <c r="C462" s="597"/>
      <c r="D462" s="597"/>
      <c r="E462" s="597"/>
      <c r="F462" s="597"/>
      <c r="G462" s="597"/>
      <c r="H462" s="597"/>
      <c r="I462" s="597"/>
      <c r="J462" s="614" t="s">
        <v>2469</v>
      </c>
      <c r="K462" s="615"/>
      <c r="L462" s="610"/>
      <c r="M462" s="611"/>
      <c r="N462" s="616" t="s">
        <v>4040</v>
      </c>
      <c r="O462" s="616" t="s">
        <v>1209</v>
      </c>
      <c r="P462" s="611" t="s">
        <v>1602</v>
      </c>
      <c r="Q462" s="597"/>
      <c r="R462" s="597"/>
      <c r="S462" s="597"/>
      <c r="T462" s="597"/>
      <c r="U462" s="597"/>
      <c r="V462" s="597"/>
      <c r="W462" s="597"/>
      <c r="X462" s="597"/>
      <c r="Y462" s="597"/>
      <c r="Z462" s="597"/>
      <c r="AA462" s="597"/>
    </row>
    <row r="463" spans="1:27" ht="12" customHeight="1">
      <c r="A463" s="597"/>
      <c r="B463" s="598"/>
      <c r="C463" s="597"/>
      <c r="D463" s="597"/>
      <c r="E463" s="597"/>
      <c r="F463" s="597"/>
      <c r="G463" s="597"/>
      <c r="H463" s="597"/>
      <c r="I463" s="597"/>
      <c r="J463" s="614" t="s">
        <v>2470</v>
      </c>
      <c r="K463" s="615"/>
      <c r="L463" s="610"/>
      <c r="M463" s="611"/>
      <c r="N463" s="616" t="s">
        <v>1110</v>
      </c>
      <c r="O463" s="616" t="s">
        <v>2162</v>
      </c>
      <c r="P463" s="611" t="s">
        <v>1603</v>
      </c>
      <c r="Q463" s="597"/>
      <c r="R463" s="597"/>
      <c r="S463" s="597"/>
      <c r="T463" s="597"/>
      <c r="U463" s="597"/>
      <c r="V463" s="597"/>
      <c r="W463" s="597"/>
      <c r="X463" s="597"/>
      <c r="Y463" s="597"/>
      <c r="Z463" s="597"/>
      <c r="AA463" s="597"/>
    </row>
    <row r="464" spans="1:27" ht="12" customHeight="1">
      <c r="A464" s="597"/>
      <c r="B464" s="598"/>
      <c r="C464" s="597"/>
      <c r="D464" s="597"/>
      <c r="E464" s="597"/>
      <c r="F464" s="597"/>
      <c r="G464" s="597"/>
      <c r="H464" s="597"/>
      <c r="I464" s="597"/>
      <c r="J464" s="614" t="s">
        <v>4039</v>
      </c>
      <c r="K464" s="615"/>
      <c r="L464" s="610"/>
      <c r="M464" s="611"/>
      <c r="N464" s="616" t="s">
        <v>1516</v>
      </c>
      <c r="O464" s="616" t="s">
        <v>1177</v>
      </c>
      <c r="P464" s="611" t="s">
        <v>1604</v>
      </c>
      <c r="Q464" s="597"/>
      <c r="R464" s="597"/>
      <c r="S464" s="597"/>
      <c r="T464" s="597"/>
      <c r="U464" s="597"/>
      <c r="V464" s="597"/>
      <c r="W464" s="597"/>
      <c r="X464" s="597"/>
      <c r="Y464" s="597"/>
      <c r="Z464" s="597"/>
      <c r="AA464" s="597"/>
    </row>
    <row r="465" spans="1:27" ht="12" customHeight="1">
      <c r="A465" s="597"/>
      <c r="B465" s="598"/>
      <c r="C465" s="597"/>
      <c r="D465" s="597"/>
      <c r="E465" s="597"/>
      <c r="F465" s="597"/>
      <c r="G465" s="597"/>
      <c r="H465" s="597"/>
      <c r="I465" s="597"/>
      <c r="J465" s="614" t="s">
        <v>3665</v>
      </c>
      <c r="K465" s="615"/>
      <c r="L465" s="610"/>
      <c r="M465" s="611"/>
      <c r="N465" s="616" t="s">
        <v>1518</v>
      </c>
      <c r="O465" s="616" t="s">
        <v>3981</v>
      </c>
      <c r="P465" s="611" t="s">
        <v>1605</v>
      </c>
      <c r="Q465" s="597"/>
      <c r="R465" s="597"/>
      <c r="S465" s="597"/>
      <c r="T465" s="597"/>
      <c r="U465" s="597"/>
      <c r="V465" s="597"/>
      <c r="W465" s="597"/>
      <c r="X465" s="597"/>
      <c r="Y465" s="597"/>
      <c r="Z465" s="597"/>
      <c r="AA465" s="597"/>
    </row>
    <row r="466" spans="1:27" ht="12" customHeight="1">
      <c r="A466" s="597"/>
      <c r="B466" s="598"/>
      <c r="C466" s="597"/>
      <c r="D466" s="597"/>
      <c r="E466" s="597"/>
      <c r="F466" s="597"/>
      <c r="G466" s="597"/>
      <c r="H466" s="597"/>
      <c r="I466" s="597"/>
      <c r="J466" s="614" t="s">
        <v>1109</v>
      </c>
      <c r="K466" s="615"/>
      <c r="L466" s="610"/>
      <c r="M466" s="611"/>
      <c r="N466" s="618" t="s">
        <v>3123</v>
      </c>
      <c r="O466" s="616" t="s">
        <v>2379</v>
      </c>
      <c r="P466" s="611" t="s">
        <v>1606</v>
      </c>
      <c r="Q466" s="597"/>
      <c r="R466" s="597"/>
      <c r="S466" s="597"/>
      <c r="T466" s="597"/>
      <c r="U466" s="597"/>
      <c r="V466" s="597"/>
      <c r="W466" s="597"/>
      <c r="X466" s="597"/>
      <c r="Y466" s="597"/>
      <c r="Z466" s="597"/>
      <c r="AA466" s="597"/>
    </row>
    <row r="467" spans="1:27" ht="12" customHeight="1">
      <c r="A467" s="597"/>
      <c r="B467" s="598"/>
      <c r="C467" s="597"/>
      <c r="D467" s="597"/>
      <c r="E467" s="597"/>
      <c r="F467" s="597"/>
      <c r="G467" s="597"/>
      <c r="H467" s="597"/>
      <c r="I467" s="597"/>
      <c r="J467" s="614" t="s">
        <v>1336</v>
      </c>
      <c r="K467" s="615"/>
      <c r="L467" s="610"/>
      <c r="M467" s="611"/>
      <c r="N467" s="616" t="s">
        <v>845</v>
      </c>
      <c r="O467" s="616" t="s">
        <v>790</v>
      </c>
      <c r="P467" s="611" t="s">
        <v>1607</v>
      </c>
      <c r="Q467" s="597"/>
      <c r="R467" s="597"/>
      <c r="S467" s="597"/>
      <c r="T467" s="597"/>
      <c r="U467" s="597"/>
      <c r="V467" s="597"/>
      <c r="W467" s="597"/>
      <c r="X467" s="597"/>
      <c r="Y467" s="597"/>
      <c r="Z467" s="597"/>
      <c r="AA467" s="597"/>
    </row>
    <row r="468" spans="1:27" ht="12" customHeight="1">
      <c r="A468" s="597"/>
      <c r="B468" s="598"/>
      <c r="C468" s="597"/>
      <c r="D468" s="597"/>
      <c r="E468" s="597"/>
      <c r="F468" s="597"/>
      <c r="G468" s="597"/>
      <c r="H468" s="597"/>
      <c r="I468" s="597"/>
      <c r="J468" s="614" t="s">
        <v>1517</v>
      </c>
      <c r="K468" s="615"/>
      <c r="L468" s="610"/>
      <c r="M468" s="611"/>
      <c r="N468" s="616" t="s">
        <v>847</v>
      </c>
      <c r="O468" s="616" t="s">
        <v>1020</v>
      </c>
      <c r="P468" s="611" t="s">
        <v>847</v>
      </c>
      <c r="Q468" s="597"/>
      <c r="R468" s="597"/>
      <c r="S468" s="597"/>
      <c r="T468" s="597"/>
      <c r="U468" s="597"/>
      <c r="V468" s="597"/>
      <c r="W468" s="597"/>
      <c r="X468" s="597"/>
      <c r="Y468" s="597"/>
      <c r="Z468" s="597"/>
      <c r="AA468" s="597"/>
    </row>
    <row r="469" spans="1:27" ht="12" customHeight="1">
      <c r="A469" s="597"/>
      <c r="B469" s="598"/>
      <c r="C469" s="597"/>
      <c r="D469" s="597"/>
      <c r="E469" s="597"/>
      <c r="F469" s="597"/>
      <c r="G469" s="597"/>
      <c r="H469" s="597"/>
      <c r="I469" s="597"/>
      <c r="J469" s="614" t="s">
        <v>3703</v>
      </c>
      <c r="K469" s="615"/>
      <c r="L469" s="610"/>
      <c r="M469" s="611"/>
      <c r="N469" s="616" t="s">
        <v>3414</v>
      </c>
      <c r="O469" s="616" t="s">
        <v>667</v>
      </c>
      <c r="P469" s="611" t="s">
        <v>1608</v>
      </c>
      <c r="Q469" s="597"/>
      <c r="R469" s="597"/>
      <c r="S469" s="597"/>
      <c r="T469" s="597"/>
      <c r="U469" s="597"/>
      <c r="V469" s="597"/>
      <c r="W469" s="597"/>
      <c r="X469" s="597"/>
      <c r="Y469" s="597"/>
      <c r="Z469" s="597"/>
      <c r="AA469" s="597"/>
    </row>
    <row r="470" spans="1:27" ht="12" customHeight="1">
      <c r="A470" s="597"/>
      <c r="B470" s="598"/>
      <c r="C470" s="597"/>
      <c r="D470" s="597"/>
      <c r="E470" s="597"/>
      <c r="F470" s="597"/>
      <c r="G470" s="597"/>
      <c r="H470" s="597"/>
      <c r="I470" s="597"/>
      <c r="J470" s="614" t="s">
        <v>846</v>
      </c>
      <c r="K470" s="615"/>
      <c r="L470" s="610"/>
      <c r="M470" s="611"/>
      <c r="N470" s="616" t="s">
        <v>3416</v>
      </c>
      <c r="O470" s="616" t="s">
        <v>2160</v>
      </c>
      <c r="P470" s="611" t="s">
        <v>1609</v>
      </c>
      <c r="Q470" s="597"/>
      <c r="R470" s="597"/>
      <c r="S470" s="597"/>
      <c r="T470" s="597"/>
      <c r="U470" s="597"/>
      <c r="V470" s="597"/>
      <c r="W470" s="597"/>
      <c r="X470" s="597"/>
      <c r="Y470" s="597"/>
      <c r="Z470" s="597"/>
      <c r="AA470" s="597"/>
    </row>
    <row r="471" spans="1:27" ht="12" customHeight="1">
      <c r="A471" s="597"/>
      <c r="B471" s="598"/>
      <c r="C471" s="597"/>
      <c r="D471" s="597"/>
      <c r="E471" s="597"/>
      <c r="F471" s="597"/>
      <c r="G471" s="597"/>
      <c r="H471" s="597"/>
      <c r="I471" s="597"/>
      <c r="J471" s="614" t="s">
        <v>3412</v>
      </c>
      <c r="K471" s="615"/>
      <c r="L471" s="610"/>
      <c r="M471" s="611"/>
      <c r="N471" s="498" t="s">
        <v>2544</v>
      </c>
      <c r="O471" s="498" t="s">
        <v>2165</v>
      </c>
      <c r="P471" s="1363" t="s">
        <v>967</v>
      </c>
      <c r="Q471" s="597"/>
      <c r="R471" s="597"/>
      <c r="S471" s="597"/>
      <c r="T471" s="597"/>
      <c r="U471" s="597"/>
      <c r="V471" s="597"/>
      <c r="W471" s="597"/>
      <c r="X471" s="597"/>
      <c r="Y471" s="597"/>
      <c r="Z471" s="597"/>
      <c r="AA471" s="597"/>
    </row>
    <row r="472" spans="1:27" ht="12" customHeight="1">
      <c r="A472" s="597"/>
      <c r="B472" s="598"/>
      <c r="C472" s="597"/>
      <c r="D472" s="597"/>
      <c r="E472" s="597"/>
      <c r="F472" s="597"/>
      <c r="G472" s="597"/>
      <c r="H472" s="597"/>
      <c r="I472" s="597"/>
      <c r="J472" s="614" t="s">
        <v>3413</v>
      </c>
      <c r="K472" s="615"/>
      <c r="L472" s="610"/>
      <c r="M472" s="611"/>
      <c r="N472" s="616" t="s">
        <v>3418</v>
      </c>
      <c r="O472" s="616" t="s">
        <v>2165</v>
      </c>
      <c r="P472" s="611" t="s">
        <v>1610</v>
      </c>
      <c r="Q472" s="597"/>
      <c r="R472" s="597"/>
      <c r="S472" s="597"/>
      <c r="T472" s="597"/>
      <c r="U472" s="597"/>
      <c r="V472" s="597"/>
      <c r="W472" s="597"/>
      <c r="X472" s="597"/>
      <c r="Y472" s="597"/>
      <c r="Z472" s="597"/>
      <c r="AA472" s="597"/>
    </row>
    <row r="473" spans="1:27" ht="12" customHeight="1">
      <c r="A473" s="597"/>
      <c r="B473" s="598"/>
      <c r="C473" s="597"/>
      <c r="D473" s="597"/>
      <c r="E473" s="597"/>
      <c r="F473" s="597"/>
      <c r="G473" s="597"/>
      <c r="H473" s="597"/>
      <c r="I473" s="597"/>
      <c r="J473" s="614" t="s">
        <v>3415</v>
      </c>
      <c r="K473" s="615"/>
      <c r="L473" s="610"/>
      <c r="M473" s="611"/>
      <c r="N473" s="616" t="s">
        <v>2315</v>
      </c>
      <c r="O473" s="616" t="s">
        <v>2145</v>
      </c>
      <c r="P473" s="611" t="s">
        <v>1611</v>
      </c>
      <c r="Q473" s="597"/>
      <c r="R473" s="597"/>
      <c r="S473" s="597"/>
      <c r="T473" s="597"/>
      <c r="U473" s="597"/>
      <c r="V473" s="597"/>
      <c r="W473" s="597"/>
      <c r="X473" s="597"/>
      <c r="Y473" s="597"/>
      <c r="Z473" s="597"/>
      <c r="AA473" s="597"/>
    </row>
    <row r="474" spans="1:27" ht="12" customHeight="1">
      <c r="A474" s="597"/>
      <c r="B474" s="598"/>
      <c r="C474" s="597"/>
      <c r="D474" s="597"/>
      <c r="E474" s="597"/>
      <c r="F474" s="597"/>
      <c r="G474" s="597"/>
      <c r="H474" s="597"/>
      <c r="I474" s="597"/>
      <c r="J474" s="614" t="s">
        <v>3417</v>
      </c>
      <c r="K474" s="615"/>
      <c r="L474" s="610"/>
      <c r="M474" s="611"/>
      <c r="N474" s="616" t="s">
        <v>2317</v>
      </c>
      <c r="O474" s="616" t="s">
        <v>3755</v>
      </c>
      <c r="P474" s="611" t="s">
        <v>1612</v>
      </c>
      <c r="Q474" s="597"/>
      <c r="R474" s="597"/>
      <c r="S474" s="597"/>
      <c r="T474" s="597"/>
      <c r="U474" s="597"/>
      <c r="V474" s="597"/>
      <c r="W474" s="597"/>
      <c r="X474" s="597"/>
      <c r="Y474" s="597"/>
      <c r="Z474" s="597"/>
      <c r="AA474" s="597"/>
    </row>
    <row r="475" spans="1:27" ht="12" customHeight="1">
      <c r="A475" s="597"/>
      <c r="B475" s="598"/>
      <c r="C475" s="597"/>
      <c r="D475" s="597"/>
      <c r="E475" s="597"/>
      <c r="F475" s="597"/>
      <c r="G475" s="597"/>
      <c r="H475" s="597"/>
      <c r="I475" s="597"/>
      <c r="J475" s="614" t="s">
        <v>2314</v>
      </c>
      <c r="K475" s="615"/>
      <c r="L475" s="610"/>
      <c r="M475" s="611"/>
      <c r="N475" s="616" t="s">
        <v>1163</v>
      </c>
      <c r="O475" s="616" t="s">
        <v>1176</v>
      </c>
      <c r="P475" s="611" t="s">
        <v>1613</v>
      </c>
      <c r="Q475" s="597"/>
      <c r="R475" s="597"/>
      <c r="S475" s="597"/>
      <c r="T475" s="597"/>
      <c r="U475" s="597"/>
      <c r="V475" s="597"/>
      <c r="W475" s="597"/>
      <c r="X475" s="597"/>
      <c r="Y475" s="597"/>
      <c r="Z475" s="597"/>
      <c r="AA475" s="597"/>
    </row>
    <row r="476" spans="1:27" ht="12" customHeight="1">
      <c r="A476" s="597"/>
      <c r="B476" s="598"/>
      <c r="C476" s="597"/>
      <c r="D476" s="597"/>
      <c r="E476" s="597"/>
      <c r="F476" s="597"/>
      <c r="G476" s="597"/>
      <c r="H476" s="597"/>
      <c r="I476" s="597"/>
      <c r="J476" s="614" t="s">
        <v>2316</v>
      </c>
      <c r="K476" s="615"/>
      <c r="L476" s="610"/>
      <c r="M476" s="611"/>
      <c r="N476" s="616" t="s">
        <v>4043</v>
      </c>
      <c r="O476" s="616" t="s">
        <v>1334</v>
      </c>
      <c r="P476" s="611" t="s">
        <v>1614</v>
      </c>
      <c r="Q476" s="597"/>
      <c r="R476" s="597"/>
      <c r="S476" s="597"/>
      <c r="T476" s="597"/>
      <c r="U476" s="597"/>
      <c r="V476" s="597"/>
      <c r="W476" s="597"/>
      <c r="X476" s="597"/>
      <c r="Y476" s="597"/>
      <c r="Z476" s="597"/>
      <c r="AA476" s="597"/>
    </row>
    <row r="477" spans="1:27" ht="12" customHeight="1">
      <c r="A477" s="597"/>
      <c r="B477" s="598"/>
      <c r="C477" s="597"/>
      <c r="D477" s="597"/>
      <c r="E477" s="597"/>
      <c r="F477" s="597"/>
      <c r="G477" s="597"/>
      <c r="H477" s="597"/>
      <c r="I477" s="597"/>
      <c r="J477" s="614" t="s">
        <v>1161</v>
      </c>
      <c r="K477" s="615"/>
      <c r="L477" s="610"/>
      <c r="M477" s="611"/>
      <c r="N477" s="616" t="s">
        <v>3229</v>
      </c>
      <c r="O477" s="616" t="s">
        <v>790</v>
      </c>
      <c r="P477" s="611" t="s">
        <v>3229</v>
      </c>
      <c r="Q477" s="597"/>
      <c r="R477" s="597"/>
      <c r="S477" s="597"/>
      <c r="T477" s="597"/>
      <c r="U477" s="597"/>
      <c r="V477" s="597"/>
      <c r="W477" s="597"/>
      <c r="X477" s="597"/>
      <c r="Y477" s="597"/>
      <c r="Z477" s="597"/>
      <c r="AA477" s="597"/>
    </row>
    <row r="478" spans="1:27" ht="12" customHeight="1">
      <c r="A478" s="597"/>
      <c r="B478" s="598"/>
      <c r="C478" s="597"/>
      <c r="D478" s="597"/>
      <c r="E478" s="597"/>
      <c r="F478" s="597"/>
      <c r="G478" s="597"/>
      <c r="H478" s="597"/>
      <c r="I478" s="597"/>
      <c r="J478" s="614" t="s">
        <v>1162</v>
      </c>
      <c r="K478" s="615"/>
      <c r="L478" s="610"/>
      <c r="M478" s="611"/>
      <c r="N478" s="616" t="s">
        <v>4045</v>
      </c>
      <c r="O478" s="616" t="s">
        <v>3811</v>
      </c>
      <c r="P478" s="611" t="s">
        <v>1615</v>
      </c>
      <c r="Q478" s="597"/>
      <c r="R478" s="597"/>
      <c r="S478" s="597"/>
      <c r="T478" s="597"/>
      <c r="U478" s="597"/>
      <c r="V478" s="597"/>
      <c r="W478" s="597"/>
      <c r="X478" s="597"/>
      <c r="Y478" s="597"/>
      <c r="Z478" s="597"/>
      <c r="AA478" s="597"/>
    </row>
    <row r="479" spans="1:27" ht="12" customHeight="1">
      <c r="A479" s="597"/>
      <c r="B479" s="598"/>
      <c r="C479" s="597"/>
      <c r="D479" s="597"/>
      <c r="E479" s="597"/>
      <c r="F479" s="597"/>
      <c r="G479" s="597"/>
      <c r="H479" s="597"/>
      <c r="I479" s="597"/>
      <c r="J479" s="614" t="s">
        <v>4042</v>
      </c>
      <c r="K479" s="615"/>
      <c r="L479" s="610"/>
      <c r="M479" s="611"/>
      <c r="N479" s="616" t="s">
        <v>578</v>
      </c>
      <c r="O479" s="616" t="s">
        <v>2055</v>
      </c>
      <c r="P479" s="611" t="s">
        <v>1616</v>
      </c>
      <c r="Q479" s="597"/>
      <c r="R479" s="597"/>
      <c r="S479" s="597"/>
      <c r="T479" s="597"/>
      <c r="U479" s="597"/>
      <c r="V479" s="597"/>
      <c r="W479" s="597"/>
      <c r="X479" s="597"/>
      <c r="Y479" s="597"/>
      <c r="Z479" s="597"/>
      <c r="AA479" s="597"/>
    </row>
    <row r="480" spans="1:27" ht="12" customHeight="1">
      <c r="A480" s="597"/>
      <c r="B480" s="598"/>
      <c r="C480" s="597"/>
      <c r="D480" s="597"/>
      <c r="E480" s="597"/>
      <c r="F480" s="597"/>
      <c r="G480" s="597"/>
      <c r="H480" s="597"/>
      <c r="I480" s="597"/>
      <c r="J480" s="614" t="s">
        <v>4044</v>
      </c>
      <c r="K480" s="615"/>
      <c r="L480" s="610"/>
      <c r="M480" s="611"/>
      <c r="N480" s="498" t="s">
        <v>2545</v>
      </c>
      <c r="O480" s="498" t="s">
        <v>1920</v>
      </c>
      <c r="P480" s="1363" t="s">
        <v>967</v>
      </c>
      <c r="Q480" s="597"/>
      <c r="R480" s="597"/>
      <c r="S480" s="597"/>
      <c r="T480" s="597"/>
      <c r="U480" s="597"/>
      <c r="V480" s="597"/>
      <c r="W480" s="597"/>
      <c r="X480" s="597"/>
      <c r="Y480" s="597"/>
      <c r="Z480" s="597"/>
      <c r="AA480" s="597"/>
    </row>
    <row r="481" spans="1:27" ht="12" customHeight="1">
      <c r="A481" s="597"/>
      <c r="B481" s="598"/>
      <c r="C481" s="597"/>
      <c r="D481" s="597"/>
      <c r="E481" s="597"/>
      <c r="F481" s="597"/>
      <c r="G481" s="597"/>
      <c r="H481" s="597"/>
      <c r="I481" s="597"/>
      <c r="J481" s="614" t="s">
        <v>577</v>
      </c>
      <c r="K481" s="615"/>
      <c r="L481" s="610"/>
      <c r="M481" s="611"/>
      <c r="N481" s="498" t="s">
        <v>2546</v>
      </c>
      <c r="O481" s="498" t="s">
        <v>2466</v>
      </c>
      <c r="P481" s="1363" t="s">
        <v>967</v>
      </c>
      <c r="Q481" s="597"/>
      <c r="R481" s="597"/>
      <c r="S481" s="597"/>
      <c r="T481" s="597"/>
      <c r="U481" s="597"/>
      <c r="V481" s="597"/>
      <c r="W481" s="597"/>
      <c r="X481" s="597"/>
      <c r="Y481" s="597"/>
      <c r="Z481" s="597"/>
      <c r="AA481" s="597"/>
    </row>
    <row r="482" spans="1:27" ht="12" customHeight="1">
      <c r="A482" s="597"/>
      <c r="B482" s="598"/>
      <c r="C482" s="597"/>
      <c r="D482" s="597"/>
      <c r="E482" s="597"/>
      <c r="F482" s="597"/>
      <c r="G482" s="597"/>
      <c r="H482" s="597"/>
      <c r="I482" s="597"/>
      <c r="J482" s="614" t="s">
        <v>913</v>
      </c>
      <c r="K482" s="615"/>
      <c r="L482" s="610"/>
      <c r="M482" s="611"/>
      <c r="N482" s="616" t="s">
        <v>3217</v>
      </c>
      <c r="O482" s="616" t="s">
        <v>3078</v>
      </c>
      <c r="P482" s="611" t="s">
        <v>1617</v>
      </c>
      <c r="Q482" s="597"/>
      <c r="R482" s="597"/>
      <c r="S482" s="597"/>
      <c r="T482" s="597"/>
      <c r="U482" s="597"/>
      <c r="V482" s="597"/>
      <c r="W482" s="597"/>
      <c r="X482" s="597"/>
      <c r="Y482" s="597"/>
      <c r="Z482" s="597"/>
      <c r="AA482" s="597"/>
    </row>
    <row r="483" spans="1:27" ht="12" customHeight="1">
      <c r="A483" s="597"/>
      <c r="B483" s="598"/>
      <c r="C483" s="597"/>
      <c r="D483" s="597"/>
      <c r="E483" s="597"/>
      <c r="F483" s="597"/>
      <c r="G483" s="597"/>
      <c r="H483" s="597"/>
      <c r="I483" s="597"/>
      <c r="J483" s="614" t="s">
        <v>914</v>
      </c>
      <c r="K483" s="615"/>
      <c r="L483" s="610"/>
      <c r="M483" s="611"/>
      <c r="N483" s="616" t="s">
        <v>2568</v>
      </c>
      <c r="O483" s="616" t="s">
        <v>3994</v>
      </c>
      <c r="P483" s="611" t="s">
        <v>1618</v>
      </c>
      <c r="Q483" s="597"/>
      <c r="R483" s="597"/>
      <c r="S483" s="597"/>
      <c r="T483" s="597"/>
      <c r="U483" s="597"/>
      <c r="V483" s="597"/>
      <c r="W483" s="597"/>
      <c r="X483" s="597"/>
      <c r="Y483" s="597"/>
      <c r="Z483" s="597"/>
      <c r="AA483" s="597"/>
    </row>
    <row r="484" spans="1:27" ht="12" customHeight="1">
      <c r="A484" s="597"/>
      <c r="B484" s="598"/>
      <c r="C484" s="597"/>
      <c r="D484" s="597"/>
      <c r="E484" s="597"/>
      <c r="F484" s="597"/>
      <c r="G484" s="597"/>
      <c r="H484" s="597"/>
      <c r="I484" s="597"/>
      <c r="J484" s="614" t="s">
        <v>2567</v>
      </c>
      <c r="K484" s="615"/>
      <c r="L484" s="610"/>
      <c r="M484" s="611"/>
      <c r="N484" s="616" t="s">
        <v>2570</v>
      </c>
      <c r="O484" s="616" t="s">
        <v>2163</v>
      </c>
      <c r="P484" s="611" t="s">
        <v>1619</v>
      </c>
      <c r="Q484" s="597"/>
      <c r="R484" s="597"/>
      <c r="S484" s="597"/>
      <c r="T484" s="597"/>
      <c r="U484" s="597"/>
      <c r="V484" s="597"/>
      <c r="W484" s="597"/>
      <c r="X484" s="597"/>
      <c r="Y484" s="597"/>
      <c r="Z484" s="597"/>
      <c r="AA484" s="597"/>
    </row>
    <row r="485" spans="1:27" ht="12" customHeight="1">
      <c r="A485" s="597"/>
      <c r="B485" s="598"/>
      <c r="C485" s="597"/>
      <c r="D485" s="597"/>
      <c r="E485" s="597"/>
      <c r="F485" s="597"/>
      <c r="G485" s="597"/>
      <c r="H485" s="597"/>
      <c r="I485" s="597"/>
      <c r="J485" s="614" t="s">
        <v>2569</v>
      </c>
      <c r="K485" s="615"/>
      <c r="L485" s="610"/>
      <c r="M485" s="611"/>
      <c r="N485" s="616" t="s">
        <v>2003</v>
      </c>
      <c r="O485" s="616" t="s">
        <v>2058</v>
      </c>
      <c r="P485" s="611" t="s">
        <v>1620</v>
      </c>
      <c r="Q485" s="597"/>
      <c r="R485" s="597"/>
      <c r="S485" s="597"/>
      <c r="T485" s="597"/>
      <c r="U485" s="597"/>
      <c r="V485" s="597"/>
      <c r="W485" s="597"/>
      <c r="X485" s="597"/>
      <c r="Y485" s="597"/>
      <c r="Z485" s="597"/>
      <c r="AA485" s="597"/>
    </row>
    <row r="486" spans="1:27" ht="12" customHeight="1">
      <c r="A486" s="597"/>
      <c r="B486" s="598"/>
      <c r="C486" s="597"/>
      <c r="D486" s="597"/>
      <c r="E486" s="597"/>
      <c r="F486" s="597"/>
      <c r="G486" s="597"/>
      <c r="H486" s="597"/>
      <c r="I486" s="597"/>
      <c r="J486" s="614" t="s">
        <v>2001</v>
      </c>
      <c r="K486" s="615"/>
      <c r="L486" s="610"/>
      <c r="M486" s="611"/>
      <c r="N486" s="616" t="s">
        <v>2005</v>
      </c>
      <c r="O486" s="616" t="s">
        <v>522</v>
      </c>
      <c r="P486" s="611" t="s">
        <v>1621</v>
      </c>
      <c r="Q486" s="597"/>
      <c r="R486" s="597"/>
      <c r="S486" s="597"/>
      <c r="T486" s="597"/>
      <c r="U486" s="597"/>
      <c r="V486" s="597"/>
      <c r="W486" s="597"/>
      <c r="X486" s="597"/>
      <c r="Y486" s="597"/>
      <c r="Z486" s="597"/>
      <c r="AA486" s="597"/>
    </row>
    <row r="487" spans="1:27" ht="12" customHeight="1">
      <c r="A487" s="597"/>
      <c r="B487" s="598"/>
      <c r="C487" s="597"/>
      <c r="D487" s="597"/>
      <c r="E487" s="597"/>
      <c r="F487" s="597"/>
      <c r="G487" s="597"/>
      <c r="H487" s="597"/>
      <c r="I487" s="597"/>
      <c r="J487" s="614" t="s">
        <v>2002</v>
      </c>
      <c r="K487" s="615"/>
      <c r="L487" s="610"/>
      <c r="M487" s="611"/>
      <c r="N487" s="616" t="s">
        <v>2007</v>
      </c>
      <c r="O487" s="616" t="s">
        <v>1018</v>
      </c>
      <c r="P487" s="611" t="s">
        <v>1622</v>
      </c>
      <c r="Q487" s="597"/>
      <c r="R487" s="597"/>
      <c r="S487" s="597"/>
      <c r="T487" s="597"/>
      <c r="U487" s="597"/>
      <c r="V487" s="597"/>
      <c r="W487" s="597"/>
      <c r="X487" s="597"/>
      <c r="Y487" s="597"/>
      <c r="Z487" s="597"/>
      <c r="AA487" s="597"/>
    </row>
    <row r="488" spans="1:27" ht="12" customHeight="1">
      <c r="A488" s="597"/>
      <c r="B488" s="598"/>
      <c r="C488" s="597"/>
      <c r="D488" s="597"/>
      <c r="E488" s="597"/>
      <c r="F488" s="597"/>
      <c r="G488" s="597"/>
      <c r="H488" s="597"/>
      <c r="I488" s="597"/>
      <c r="J488" s="614" t="s">
        <v>2004</v>
      </c>
      <c r="K488" s="615"/>
      <c r="L488" s="610"/>
      <c r="M488" s="611"/>
      <c r="N488" s="616" t="s">
        <v>871</v>
      </c>
      <c r="O488" s="616" t="s">
        <v>492</v>
      </c>
      <c r="P488" s="611" t="s">
        <v>1623</v>
      </c>
      <c r="Q488" s="597"/>
      <c r="R488" s="597"/>
      <c r="S488" s="597"/>
      <c r="T488" s="597"/>
      <c r="U488" s="597"/>
      <c r="V488" s="597"/>
      <c r="W488" s="597"/>
      <c r="X488" s="597"/>
      <c r="Y488" s="597"/>
      <c r="Z488" s="597"/>
      <c r="AA488" s="597"/>
    </row>
    <row r="489" spans="1:27" ht="12" customHeight="1">
      <c r="A489" s="597"/>
      <c r="B489" s="598"/>
      <c r="C489" s="597"/>
      <c r="D489" s="597"/>
      <c r="E489" s="597"/>
      <c r="F489" s="597"/>
      <c r="G489" s="597"/>
      <c r="H489" s="597"/>
      <c r="I489" s="597"/>
      <c r="J489" s="614" t="s">
        <v>2006</v>
      </c>
      <c r="K489" s="615"/>
      <c r="L489" s="610"/>
      <c r="M489" s="611"/>
      <c r="N489" s="616" t="s">
        <v>873</v>
      </c>
      <c r="O489" s="616" t="s">
        <v>3994</v>
      </c>
      <c r="P489" s="611" t="s">
        <v>1624</v>
      </c>
      <c r="Q489" s="597"/>
      <c r="R489" s="597"/>
      <c r="S489" s="597"/>
      <c r="T489" s="597"/>
      <c r="U489" s="597"/>
      <c r="V489" s="597"/>
      <c r="W489" s="597"/>
      <c r="X489" s="597"/>
      <c r="Y489" s="597"/>
      <c r="Z489" s="597"/>
      <c r="AA489" s="597"/>
    </row>
    <row r="490" spans="1:27" ht="12" customHeight="1">
      <c r="A490" s="597"/>
      <c r="B490" s="598"/>
      <c r="C490" s="597"/>
      <c r="D490" s="597"/>
      <c r="E490" s="597"/>
      <c r="F490" s="597"/>
      <c r="G490" s="597"/>
      <c r="H490" s="597"/>
      <c r="I490" s="597"/>
      <c r="J490" s="614" t="s">
        <v>2008</v>
      </c>
      <c r="K490" s="615"/>
      <c r="L490" s="610"/>
      <c r="M490" s="611"/>
      <c r="N490" s="616" t="s">
        <v>2249</v>
      </c>
      <c r="O490" s="616" t="s">
        <v>2643</v>
      </c>
      <c r="P490" s="611" t="s">
        <v>1625</v>
      </c>
      <c r="Q490" s="597"/>
      <c r="R490" s="597"/>
      <c r="S490" s="597"/>
      <c r="T490" s="597"/>
      <c r="U490" s="597"/>
      <c r="V490" s="597"/>
      <c r="W490" s="597"/>
      <c r="X490" s="597"/>
      <c r="Y490" s="597"/>
      <c r="Z490" s="597"/>
      <c r="AA490" s="597"/>
    </row>
    <row r="491" spans="1:27" ht="12" customHeight="1">
      <c r="A491" s="597"/>
      <c r="B491" s="598"/>
      <c r="C491" s="597"/>
      <c r="D491" s="597"/>
      <c r="E491" s="597"/>
      <c r="F491" s="597"/>
      <c r="G491" s="597"/>
      <c r="H491" s="597"/>
      <c r="I491" s="597"/>
      <c r="J491" s="614" t="s">
        <v>872</v>
      </c>
      <c r="K491" s="615"/>
      <c r="L491" s="610"/>
      <c r="M491" s="611"/>
      <c r="N491" s="498" t="s">
        <v>2547</v>
      </c>
      <c r="O491" s="498" t="s">
        <v>1174</v>
      </c>
      <c r="P491" s="1363" t="s">
        <v>967</v>
      </c>
      <c r="Q491" s="597"/>
      <c r="R491" s="597"/>
      <c r="S491" s="597"/>
      <c r="T491" s="597"/>
      <c r="U491" s="597"/>
      <c r="V491" s="597"/>
      <c r="W491" s="597"/>
      <c r="X491" s="597"/>
      <c r="Y491" s="597"/>
      <c r="Z491" s="597"/>
      <c r="AA491" s="597"/>
    </row>
    <row r="492" spans="1:27" ht="12" customHeight="1">
      <c r="A492" s="597"/>
      <c r="B492" s="598"/>
      <c r="C492" s="597"/>
      <c r="D492" s="597"/>
      <c r="E492" s="597"/>
      <c r="F492" s="597"/>
      <c r="G492" s="597"/>
      <c r="H492" s="597"/>
      <c r="I492" s="597"/>
      <c r="J492" s="614" t="s">
        <v>497</v>
      </c>
      <c r="K492" s="615"/>
      <c r="L492" s="610"/>
      <c r="M492" s="611"/>
      <c r="N492" s="616" t="s">
        <v>2251</v>
      </c>
      <c r="O492" s="616" t="s">
        <v>2060</v>
      </c>
      <c r="P492" s="611" t="s">
        <v>1626</v>
      </c>
      <c r="Q492" s="597"/>
      <c r="R492" s="597"/>
      <c r="S492" s="597"/>
      <c r="T492" s="597"/>
      <c r="U492" s="597"/>
      <c r="V492" s="597"/>
      <c r="W492" s="597"/>
      <c r="X492" s="597"/>
      <c r="Y492" s="597"/>
      <c r="Z492" s="597"/>
      <c r="AA492" s="597"/>
    </row>
    <row r="493" spans="1:27" ht="12" customHeight="1">
      <c r="A493" s="597"/>
      <c r="B493" s="598"/>
      <c r="C493" s="597"/>
      <c r="D493" s="597"/>
      <c r="E493" s="597"/>
      <c r="F493" s="597"/>
      <c r="G493" s="597"/>
      <c r="H493" s="597"/>
      <c r="I493" s="597"/>
      <c r="J493" s="614" t="s">
        <v>2250</v>
      </c>
      <c r="K493" s="615"/>
      <c r="L493" s="610"/>
      <c r="M493" s="611"/>
      <c r="N493" s="616" t="s">
        <v>2849</v>
      </c>
      <c r="O493" s="616" t="s">
        <v>1176</v>
      </c>
      <c r="P493" s="1362" t="s">
        <v>2846</v>
      </c>
      <c r="Q493" s="597"/>
      <c r="R493" s="597"/>
      <c r="S493" s="597"/>
      <c r="T493" s="597"/>
      <c r="U493" s="597"/>
      <c r="V493" s="597"/>
      <c r="W493" s="597"/>
      <c r="X493" s="597"/>
      <c r="Y493" s="597"/>
      <c r="Z493" s="597"/>
      <c r="AA493" s="597"/>
    </row>
    <row r="494" spans="1:27" ht="12" customHeight="1">
      <c r="A494" s="597"/>
      <c r="B494" s="598"/>
      <c r="C494" s="597"/>
      <c r="D494" s="597"/>
      <c r="E494" s="597"/>
      <c r="F494" s="597"/>
      <c r="G494" s="597"/>
      <c r="H494" s="597"/>
      <c r="I494" s="597"/>
      <c r="J494" s="614" t="s">
        <v>1901</v>
      </c>
      <c r="K494" s="615"/>
      <c r="L494" s="610"/>
      <c r="M494" s="611"/>
      <c r="N494" s="616" t="s">
        <v>2850</v>
      </c>
      <c r="O494" s="616" t="s">
        <v>2749</v>
      </c>
      <c r="P494" s="1362" t="s">
        <v>2846</v>
      </c>
      <c r="Q494" s="597"/>
      <c r="R494" s="597"/>
      <c r="S494" s="597"/>
      <c r="T494" s="597"/>
      <c r="U494" s="597"/>
      <c r="V494" s="597"/>
      <c r="W494" s="597"/>
      <c r="X494" s="597"/>
      <c r="Y494" s="597"/>
      <c r="Z494" s="597"/>
      <c r="AA494" s="597"/>
    </row>
    <row r="495" spans="1:27" ht="12" customHeight="1">
      <c r="A495" s="597"/>
      <c r="B495" s="598"/>
      <c r="C495" s="597"/>
      <c r="D495" s="597"/>
      <c r="E495" s="597"/>
      <c r="F495" s="597"/>
      <c r="G495" s="597"/>
      <c r="H495" s="597"/>
      <c r="I495" s="597"/>
      <c r="J495" s="614" t="s">
        <v>2839</v>
      </c>
      <c r="K495" s="615"/>
      <c r="L495" s="610"/>
      <c r="M495" s="611"/>
      <c r="N495" s="616" t="s">
        <v>2841</v>
      </c>
      <c r="O495" s="616" t="s">
        <v>3225</v>
      </c>
      <c r="P495" s="611" t="s">
        <v>1627</v>
      </c>
      <c r="Q495" s="597"/>
      <c r="R495" s="597"/>
      <c r="S495" s="597"/>
      <c r="T495" s="597"/>
      <c r="U495" s="597"/>
      <c r="V495" s="597"/>
      <c r="W495" s="597"/>
      <c r="X495" s="597"/>
      <c r="Y495" s="597"/>
      <c r="Z495" s="597"/>
      <c r="AA495" s="597"/>
    </row>
    <row r="496" spans="1:27" ht="12" customHeight="1">
      <c r="A496" s="597"/>
      <c r="B496" s="598"/>
      <c r="C496" s="597"/>
      <c r="D496" s="597"/>
      <c r="E496" s="597"/>
      <c r="F496" s="597"/>
      <c r="G496" s="597"/>
      <c r="H496" s="597"/>
      <c r="I496" s="597"/>
      <c r="J496" s="614" t="s">
        <v>2840</v>
      </c>
      <c r="K496" s="615"/>
      <c r="L496" s="610"/>
      <c r="M496" s="611"/>
      <c r="N496" s="616" t="s">
        <v>2845</v>
      </c>
      <c r="O496" s="616" t="s">
        <v>3742</v>
      </c>
      <c r="P496" s="611" t="s">
        <v>1628</v>
      </c>
      <c r="Q496" s="597"/>
      <c r="R496" s="597"/>
      <c r="S496" s="597"/>
      <c r="T496" s="597"/>
      <c r="U496" s="597"/>
      <c r="V496" s="597"/>
      <c r="W496" s="597"/>
      <c r="X496" s="597"/>
      <c r="Y496" s="597"/>
      <c r="Z496" s="597"/>
      <c r="AA496" s="597"/>
    </row>
    <row r="497" spans="1:27" ht="12" customHeight="1">
      <c r="A497" s="597"/>
      <c r="B497" s="598"/>
      <c r="C497" s="597"/>
      <c r="D497" s="597"/>
      <c r="E497" s="597"/>
      <c r="F497" s="597"/>
      <c r="G497" s="597"/>
      <c r="H497" s="597"/>
      <c r="I497" s="597"/>
      <c r="J497" s="614" t="s">
        <v>2842</v>
      </c>
      <c r="K497" s="615"/>
      <c r="L497" s="610"/>
      <c r="M497" s="611"/>
      <c r="N497" s="616" t="s">
        <v>3993</v>
      </c>
      <c r="O497" s="616" t="s">
        <v>1177</v>
      </c>
      <c r="P497" s="611" t="s">
        <v>1629</v>
      </c>
      <c r="Q497" s="597"/>
      <c r="R497" s="597"/>
      <c r="S497" s="597"/>
      <c r="T497" s="597"/>
      <c r="U497" s="597"/>
      <c r="V497" s="597"/>
      <c r="W497" s="597"/>
      <c r="X497" s="597"/>
      <c r="Y497" s="597"/>
      <c r="Z497" s="597"/>
      <c r="AA497" s="597"/>
    </row>
    <row r="498" spans="1:27" ht="12" customHeight="1">
      <c r="A498" s="597"/>
      <c r="B498" s="598"/>
      <c r="C498" s="597"/>
      <c r="D498" s="597"/>
      <c r="E498" s="597"/>
      <c r="F498" s="597"/>
      <c r="G498" s="597"/>
      <c r="H498" s="597"/>
      <c r="I498" s="597"/>
      <c r="J498" s="614" t="s">
        <v>2844</v>
      </c>
      <c r="K498" s="615"/>
      <c r="L498" s="610"/>
      <c r="M498" s="611"/>
      <c r="N498" s="616" t="s">
        <v>3650</v>
      </c>
      <c r="O498" s="616" t="s">
        <v>1296</v>
      </c>
      <c r="P498" s="611" t="s">
        <v>1630</v>
      </c>
      <c r="Q498" s="597"/>
      <c r="R498" s="597"/>
      <c r="S498" s="597"/>
      <c r="T498" s="597"/>
      <c r="U498" s="597"/>
      <c r="V498" s="597"/>
      <c r="W498" s="597"/>
      <c r="X498" s="597"/>
      <c r="Y498" s="597"/>
      <c r="Z498" s="597"/>
      <c r="AA498" s="597"/>
    </row>
    <row r="499" spans="1:27" ht="12" customHeight="1">
      <c r="A499" s="597"/>
      <c r="B499" s="598"/>
      <c r="C499" s="597"/>
      <c r="D499" s="597"/>
      <c r="E499" s="597"/>
      <c r="F499" s="597"/>
      <c r="G499" s="597"/>
      <c r="H499" s="597"/>
      <c r="I499" s="597"/>
      <c r="J499" s="614" t="s">
        <v>3992</v>
      </c>
      <c r="K499" s="615"/>
      <c r="L499" s="610"/>
      <c r="M499" s="611"/>
      <c r="N499" s="616" t="s">
        <v>2021</v>
      </c>
      <c r="O499" s="616" t="s">
        <v>1176</v>
      </c>
      <c r="P499" s="611" t="s">
        <v>1631</v>
      </c>
      <c r="Q499" s="597"/>
      <c r="R499" s="597"/>
      <c r="S499" s="597"/>
      <c r="T499" s="597"/>
      <c r="U499" s="597"/>
      <c r="V499" s="597"/>
      <c r="W499" s="597"/>
      <c r="X499" s="597"/>
      <c r="Y499" s="597"/>
      <c r="Z499" s="597"/>
      <c r="AA499" s="597"/>
    </row>
    <row r="500" spans="1:27" ht="12" customHeight="1">
      <c r="A500" s="597"/>
      <c r="B500" s="598"/>
      <c r="C500" s="597"/>
      <c r="D500" s="597"/>
      <c r="E500" s="597"/>
      <c r="F500" s="597"/>
      <c r="G500" s="597"/>
      <c r="H500" s="597"/>
      <c r="I500" s="597"/>
      <c r="J500" s="614" t="s">
        <v>3649</v>
      </c>
      <c r="K500" s="615"/>
      <c r="L500" s="610"/>
      <c r="M500" s="611"/>
      <c r="N500" s="616" t="s">
        <v>1902</v>
      </c>
      <c r="O500" s="616" t="s">
        <v>3751</v>
      </c>
      <c r="P500" s="611" t="s">
        <v>1632</v>
      </c>
      <c r="Q500" s="597"/>
      <c r="R500" s="597"/>
      <c r="S500" s="597"/>
      <c r="T500" s="597"/>
      <c r="U500" s="597"/>
      <c r="V500" s="597"/>
      <c r="W500" s="597"/>
      <c r="X500" s="597"/>
      <c r="Y500" s="597"/>
      <c r="Z500" s="597"/>
      <c r="AA500" s="597"/>
    </row>
    <row r="501" spans="1:27" ht="12" customHeight="1">
      <c r="A501" s="597"/>
      <c r="B501" s="598"/>
      <c r="C501" s="597"/>
      <c r="D501" s="597"/>
      <c r="E501" s="597"/>
      <c r="F501" s="597"/>
      <c r="G501" s="597"/>
      <c r="H501" s="597"/>
      <c r="I501" s="597"/>
      <c r="J501" s="614" t="s">
        <v>2020</v>
      </c>
      <c r="K501" s="615"/>
      <c r="L501" s="610"/>
      <c r="M501" s="611"/>
      <c r="N501" s="616" t="s">
        <v>2024</v>
      </c>
      <c r="O501" s="616" t="s">
        <v>790</v>
      </c>
      <c r="P501" s="611" t="s">
        <v>1633</v>
      </c>
      <c r="Q501" s="597"/>
      <c r="R501" s="597"/>
      <c r="S501" s="597"/>
      <c r="T501" s="597"/>
      <c r="U501" s="597"/>
      <c r="V501" s="597"/>
      <c r="W501" s="597"/>
      <c r="X501" s="597"/>
      <c r="Y501" s="597"/>
      <c r="Z501" s="597"/>
      <c r="AA501" s="597"/>
    </row>
    <row r="502" spans="1:27" ht="12" customHeight="1">
      <c r="A502" s="597"/>
      <c r="B502" s="598"/>
      <c r="C502" s="597"/>
      <c r="D502" s="597"/>
      <c r="E502" s="597"/>
      <c r="F502" s="597"/>
      <c r="G502" s="597"/>
      <c r="H502" s="597"/>
      <c r="I502" s="597"/>
      <c r="J502" s="614" t="s">
        <v>3646</v>
      </c>
      <c r="K502" s="615"/>
      <c r="L502" s="610"/>
      <c r="M502" s="611"/>
      <c r="N502" s="616" t="s">
        <v>3327</v>
      </c>
      <c r="O502" s="616" t="s">
        <v>2062</v>
      </c>
      <c r="P502" s="611" t="s">
        <v>1634</v>
      </c>
      <c r="Q502" s="597"/>
      <c r="R502" s="597"/>
      <c r="S502" s="597"/>
      <c r="T502" s="597"/>
      <c r="U502" s="597"/>
      <c r="V502" s="597"/>
      <c r="W502" s="597"/>
      <c r="X502" s="597"/>
      <c r="Y502" s="597"/>
      <c r="Z502" s="597"/>
      <c r="AA502" s="597"/>
    </row>
    <row r="503" spans="1:27" ht="12" customHeight="1">
      <c r="A503" s="597"/>
      <c r="B503" s="598"/>
      <c r="C503" s="597"/>
      <c r="D503" s="597"/>
      <c r="E503" s="597"/>
      <c r="F503" s="597"/>
      <c r="G503" s="597"/>
      <c r="H503" s="597"/>
      <c r="I503" s="597"/>
      <c r="J503" s="614" t="s">
        <v>1908</v>
      </c>
      <c r="K503" s="615"/>
      <c r="L503" s="610"/>
      <c r="M503" s="611"/>
      <c r="N503" s="616" t="s">
        <v>2086</v>
      </c>
      <c r="O503" s="616" t="s">
        <v>3734</v>
      </c>
      <c r="P503" s="611" t="s">
        <v>1635</v>
      </c>
      <c r="Q503" s="597"/>
      <c r="R503" s="597"/>
      <c r="S503" s="597"/>
      <c r="T503" s="597"/>
      <c r="U503" s="597"/>
      <c r="V503" s="597"/>
      <c r="W503" s="597"/>
      <c r="X503" s="597"/>
      <c r="Y503" s="597"/>
      <c r="Z503" s="597"/>
      <c r="AA503" s="597"/>
    </row>
    <row r="504" spans="1:27" ht="12" customHeight="1">
      <c r="A504" s="597"/>
      <c r="B504" s="598"/>
      <c r="C504" s="597"/>
      <c r="D504" s="597"/>
      <c r="E504" s="597"/>
      <c r="F504" s="597"/>
      <c r="G504" s="597"/>
      <c r="H504" s="597"/>
      <c r="I504" s="597"/>
      <c r="J504" s="614" t="s">
        <v>1912</v>
      </c>
      <c r="K504" s="615"/>
      <c r="L504" s="610"/>
      <c r="M504" s="611"/>
      <c r="N504" s="616" t="s">
        <v>2088</v>
      </c>
      <c r="O504" s="616" t="s">
        <v>2747</v>
      </c>
      <c r="P504" s="611" t="s">
        <v>2088</v>
      </c>
      <c r="Q504" s="597"/>
      <c r="R504" s="597"/>
      <c r="S504" s="597"/>
      <c r="T504" s="597"/>
      <c r="U504" s="597"/>
      <c r="V504" s="597"/>
      <c r="W504" s="597"/>
      <c r="X504" s="597"/>
      <c r="Y504" s="597"/>
      <c r="Z504" s="597"/>
      <c r="AA504" s="597"/>
    </row>
    <row r="505" spans="1:27" ht="12" customHeight="1">
      <c r="A505" s="597"/>
      <c r="B505" s="598"/>
      <c r="C505" s="597"/>
      <c r="D505" s="597"/>
      <c r="E505" s="597"/>
      <c r="F505" s="597"/>
      <c r="G505" s="597"/>
      <c r="H505" s="597"/>
      <c r="I505" s="597"/>
      <c r="J505" s="614" t="s">
        <v>2085</v>
      </c>
      <c r="K505" s="615"/>
      <c r="L505" s="610"/>
      <c r="M505" s="611"/>
      <c r="N505" s="616" t="s">
        <v>3812</v>
      </c>
      <c r="O505" s="616" t="s">
        <v>1016</v>
      </c>
      <c r="P505" s="611" t="s">
        <v>1636</v>
      </c>
      <c r="Q505" s="597"/>
      <c r="R505" s="597"/>
      <c r="S505" s="597"/>
      <c r="T505" s="597"/>
      <c r="U505" s="597"/>
      <c r="V505" s="597"/>
      <c r="W505" s="597"/>
      <c r="X505" s="597"/>
      <c r="Y505" s="597"/>
      <c r="Z505" s="597"/>
      <c r="AA505" s="597"/>
    </row>
    <row r="506" spans="1:27" ht="12" customHeight="1">
      <c r="A506" s="597"/>
      <c r="B506" s="598"/>
      <c r="C506" s="597"/>
      <c r="D506" s="597"/>
      <c r="E506" s="597"/>
      <c r="F506" s="597"/>
      <c r="G506" s="597"/>
      <c r="H506" s="597"/>
      <c r="I506" s="597"/>
      <c r="J506" s="614" t="s">
        <v>2087</v>
      </c>
      <c r="K506" s="615"/>
      <c r="L506" s="610"/>
      <c r="M506" s="611"/>
      <c r="N506" s="616" t="s">
        <v>2091</v>
      </c>
      <c r="O506" s="616" t="s">
        <v>1296</v>
      </c>
      <c r="P506" s="611" t="s">
        <v>1637</v>
      </c>
      <c r="Q506" s="597"/>
      <c r="R506" s="597"/>
      <c r="S506" s="597"/>
      <c r="T506" s="597"/>
      <c r="U506" s="597"/>
      <c r="V506" s="597"/>
      <c r="W506" s="597"/>
      <c r="X506" s="597"/>
      <c r="Y506" s="597"/>
      <c r="Z506" s="597"/>
      <c r="AA506" s="597"/>
    </row>
    <row r="507" spans="1:27" ht="12" customHeight="1">
      <c r="A507" s="597"/>
      <c r="B507" s="598"/>
      <c r="C507" s="597"/>
      <c r="D507" s="597"/>
      <c r="E507" s="597"/>
      <c r="F507" s="597"/>
      <c r="G507" s="597"/>
      <c r="H507" s="597"/>
      <c r="I507" s="597"/>
      <c r="J507" s="614" t="s">
        <v>2089</v>
      </c>
      <c r="K507" s="615"/>
      <c r="L507" s="610"/>
      <c r="M507" s="611"/>
      <c r="N507" s="616" t="s">
        <v>2093</v>
      </c>
      <c r="O507" s="616" t="s">
        <v>3897</v>
      </c>
      <c r="P507" s="611" t="s">
        <v>1638</v>
      </c>
      <c r="Q507" s="597"/>
      <c r="R507" s="597"/>
      <c r="S507" s="597"/>
      <c r="T507" s="597"/>
      <c r="U507" s="597"/>
      <c r="V507" s="597"/>
      <c r="W507" s="597"/>
      <c r="X507" s="597"/>
      <c r="Y507" s="597"/>
      <c r="Z507" s="597"/>
      <c r="AA507" s="597"/>
    </row>
    <row r="508" spans="1:27" ht="12" customHeight="1">
      <c r="A508" s="597"/>
      <c r="B508" s="598"/>
      <c r="C508" s="597"/>
      <c r="D508" s="597"/>
      <c r="E508" s="597"/>
      <c r="F508" s="597"/>
      <c r="G508" s="597"/>
      <c r="H508" s="597"/>
      <c r="I508" s="597"/>
      <c r="J508" s="614" t="s">
        <v>2090</v>
      </c>
      <c r="K508" s="615"/>
      <c r="L508" s="610"/>
      <c r="M508" s="611"/>
      <c r="N508" s="616" t="s">
        <v>569</v>
      </c>
      <c r="O508" s="616" t="s">
        <v>1328</v>
      </c>
      <c r="P508" s="611" t="s">
        <v>1639</v>
      </c>
      <c r="Q508" s="597"/>
      <c r="R508" s="597"/>
      <c r="S508" s="597"/>
      <c r="T508" s="597"/>
      <c r="U508" s="597"/>
      <c r="V508" s="597"/>
      <c r="W508" s="597"/>
      <c r="X508" s="597"/>
      <c r="Y508" s="597"/>
      <c r="Z508" s="597"/>
      <c r="AA508" s="597"/>
    </row>
    <row r="509" spans="1:27" ht="12" customHeight="1">
      <c r="A509" s="597"/>
      <c r="B509" s="598"/>
      <c r="C509" s="597"/>
      <c r="D509" s="597"/>
      <c r="E509" s="597"/>
      <c r="F509" s="597"/>
      <c r="G509" s="597"/>
      <c r="H509" s="597"/>
      <c r="I509" s="597"/>
      <c r="J509" s="614" t="s">
        <v>2092</v>
      </c>
      <c r="K509" s="615"/>
      <c r="L509" s="610"/>
      <c r="M509" s="611"/>
      <c r="N509" s="498" t="s">
        <v>2548</v>
      </c>
      <c r="O509" s="498" t="s">
        <v>667</v>
      </c>
      <c r="P509" s="1363" t="s">
        <v>967</v>
      </c>
      <c r="Q509" s="597"/>
      <c r="R509" s="597"/>
      <c r="S509" s="597"/>
      <c r="T509" s="597"/>
      <c r="U509" s="597"/>
      <c r="V509" s="597"/>
      <c r="W509" s="597"/>
      <c r="X509" s="597"/>
      <c r="Y509" s="597"/>
      <c r="Z509" s="597"/>
      <c r="AA509" s="597"/>
    </row>
    <row r="510" spans="1:27" ht="12" customHeight="1">
      <c r="A510" s="597"/>
      <c r="B510" s="598"/>
      <c r="C510" s="597"/>
      <c r="D510" s="597"/>
      <c r="E510" s="597"/>
      <c r="F510" s="597"/>
      <c r="G510" s="597"/>
      <c r="H510" s="597"/>
      <c r="I510" s="597"/>
      <c r="J510" s="614" t="s">
        <v>2094</v>
      </c>
      <c r="K510" s="615"/>
      <c r="L510" s="610"/>
      <c r="M510" s="611"/>
      <c r="N510" s="616" t="s">
        <v>2151</v>
      </c>
      <c r="O510" s="616" t="s">
        <v>2150</v>
      </c>
      <c r="P510" s="611" t="s">
        <v>1640</v>
      </c>
      <c r="Q510" s="597"/>
      <c r="R510" s="597"/>
      <c r="S510" s="597"/>
      <c r="T510" s="597"/>
      <c r="U510" s="597"/>
      <c r="V510" s="597"/>
      <c r="W510" s="597"/>
      <c r="X510" s="597"/>
      <c r="Y510" s="597"/>
      <c r="Z510" s="597"/>
      <c r="AA510" s="597"/>
    </row>
    <row r="511" spans="1:27" ht="12" customHeight="1">
      <c r="A511" s="597"/>
      <c r="B511" s="598"/>
      <c r="C511" s="597"/>
      <c r="D511" s="597"/>
      <c r="E511" s="597"/>
      <c r="F511" s="597"/>
      <c r="G511" s="597"/>
      <c r="H511" s="597"/>
      <c r="I511" s="597"/>
      <c r="J511" s="614" t="s">
        <v>1835</v>
      </c>
      <c r="K511" s="615"/>
      <c r="L511" s="610"/>
      <c r="M511" s="611"/>
      <c r="N511" s="616" t="s">
        <v>3815</v>
      </c>
      <c r="O511" s="616" t="s">
        <v>418</v>
      </c>
      <c r="P511" s="611" t="s">
        <v>1641</v>
      </c>
      <c r="Q511" s="597"/>
      <c r="R511" s="597"/>
      <c r="S511" s="597"/>
      <c r="T511" s="597"/>
      <c r="U511" s="597"/>
      <c r="V511" s="597"/>
      <c r="W511" s="597"/>
      <c r="X511" s="597"/>
      <c r="Y511" s="597"/>
      <c r="Z511" s="597"/>
      <c r="AA511" s="597"/>
    </row>
    <row r="512" spans="1:27" ht="12" customHeight="1">
      <c r="A512" s="597"/>
      <c r="B512" s="598"/>
      <c r="C512" s="597"/>
      <c r="D512" s="597"/>
      <c r="E512" s="597"/>
      <c r="F512" s="597"/>
      <c r="G512" s="597"/>
      <c r="H512" s="597"/>
      <c r="I512" s="597"/>
      <c r="J512" s="614" t="s">
        <v>1971</v>
      </c>
      <c r="K512" s="615"/>
      <c r="L512" s="610"/>
      <c r="M512" s="611"/>
      <c r="N512" s="616" t="s">
        <v>1973</v>
      </c>
      <c r="O512" s="616" t="s">
        <v>1024</v>
      </c>
      <c r="P512" s="611" t="s">
        <v>1865</v>
      </c>
      <c r="Q512" s="597"/>
      <c r="R512" s="597"/>
      <c r="S512" s="597"/>
      <c r="T512" s="597"/>
      <c r="U512" s="597"/>
      <c r="V512" s="597"/>
      <c r="W512" s="597"/>
      <c r="X512" s="597"/>
      <c r="Y512" s="597"/>
      <c r="Z512" s="597"/>
      <c r="AA512" s="597"/>
    </row>
    <row r="513" spans="1:27" ht="12" customHeight="1">
      <c r="A513" s="597"/>
      <c r="B513" s="598"/>
      <c r="C513" s="597"/>
      <c r="D513" s="597"/>
      <c r="E513" s="597"/>
      <c r="F513" s="597"/>
      <c r="G513" s="597"/>
      <c r="H513" s="597"/>
      <c r="I513" s="597"/>
      <c r="J513" s="614" t="s">
        <v>1841</v>
      </c>
      <c r="K513" s="615"/>
      <c r="L513" s="610"/>
      <c r="M513" s="611"/>
      <c r="N513" s="616" t="s">
        <v>1846</v>
      </c>
      <c r="O513" s="616" t="s">
        <v>1296</v>
      </c>
      <c r="P513" s="611" t="s">
        <v>1866</v>
      </c>
      <c r="Q513" s="597"/>
      <c r="R513" s="597"/>
      <c r="S513" s="597"/>
      <c r="T513" s="597"/>
      <c r="U513" s="597"/>
      <c r="V513" s="597"/>
      <c r="W513" s="597"/>
      <c r="X513" s="597"/>
      <c r="Y513" s="597"/>
      <c r="Z513" s="597"/>
      <c r="AA513" s="597"/>
    </row>
    <row r="514" spans="1:27" ht="12" customHeight="1">
      <c r="A514" s="597"/>
      <c r="B514" s="598"/>
      <c r="C514" s="597"/>
      <c r="D514" s="597"/>
      <c r="E514" s="597"/>
      <c r="F514" s="597"/>
      <c r="G514" s="597"/>
      <c r="H514" s="597"/>
      <c r="I514" s="597"/>
      <c r="J514" s="614" t="s">
        <v>1972</v>
      </c>
      <c r="K514" s="615"/>
      <c r="L514" s="610"/>
      <c r="M514" s="611"/>
      <c r="N514" s="616" t="s">
        <v>1849</v>
      </c>
      <c r="O514" s="616" t="s">
        <v>423</v>
      </c>
      <c r="P514" s="611" t="s">
        <v>1867</v>
      </c>
      <c r="Q514" s="597"/>
      <c r="R514" s="597"/>
      <c r="S514" s="597"/>
      <c r="T514" s="597"/>
      <c r="U514" s="597"/>
      <c r="V514" s="597"/>
      <c r="W514" s="597"/>
      <c r="X514" s="597"/>
      <c r="Y514" s="597"/>
      <c r="Z514" s="597"/>
      <c r="AA514" s="597"/>
    </row>
    <row r="515" spans="1:27" ht="12" customHeight="1">
      <c r="A515" s="597"/>
      <c r="B515" s="598"/>
      <c r="C515" s="597"/>
      <c r="D515" s="597"/>
      <c r="E515" s="597"/>
      <c r="F515" s="597"/>
      <c r="G515" s="597"/>
      <c r="H515" s="597"/>
      <c r="I515" s="597"/>
      <c r="J515" s="614" t="s">
        <v>1845</v>
      </c>
      <c r="K515" s="615"/>
      <c r="L515" s="610"/>
      <c r="M515" s="611"/>
      <c r="N515" s="616" t="s">
        <v>3675</v>
      </c>
      <c r="O515" s="616" t="s">
        <v>667</v>
      </c>
      <c r="P515" s="611" t="s">
        <v>1868</v>
      </c>
      <c r="Q515" s="597"/>
      <c r="R515" s="597"/>
      <c r="S515" s="597"/>
      <c r="T515" s="597"/>
      <c r="U515" s="597"/>
      <c r="V515" s="597"/>
      <c r="W515" s="597"/>
      <c r="X515" s="597"/>
      <c r="Y515" s="597"/>
      <c r="Z515" s="597"/>
      <c r="AA515" s="597"/>
    </row>
    <row r="516" spans="1:27" ht="12" customHeight="1">
      <c r="A516" s="597"/>
      <c r="B516" s="598"/>
      <c r="C516" s="597"/>
      <c r="D516" s="597"/>
      <c r="E516" s="597"/>
      <c r="F516" s="597"/>
      <c r="G516" s="597"/>
      <c r="H516" s="597"/>
      <c r="I516" s="597"/>
      <c r="J516" s="614" t="s">
        <v>1847</v>
      </c>
      <c r="K516" s="615"/>
      <c r="L516" s="610"/>
      <c r="M516" s="611"/>
      <c r="N516" s="616" t="s">
        <v>3677</v>
      </c>
      <c r="O516" s="616" t="s">
        <v>2151</v>
      </c>
      <c r="P516" s="611" t="s">
        <v>3040</v>
      </c>
      <c r="Q516" s="597"/>
      <c r="R516" s="597"/>
      <c r="S516" s="597"/>
      <c r="T516" s="597"/>
      <c r="U516" s="597"/>
      <c r="V516" s="597"/>
      <c r="W516" s="597"/>
      <c r="X516" s="597"/>
      <c r="Y516" s="597"/>
      <c r="Z516" s="597"/>
      <c r="AA516" s="597"/>
    </row>
    <row r="517" spans="1:27" ht="12" customHeight="1">
      <c r="A517" s="597"/>
      <c r="B517" s="598"/>
      <c r="C517" s="597"/>
      <c r="D517" s="597"/>
      <c r="E517" s="597"/>
      <c r="F517" s="597"/>
      <c r="G517" s="597"/>
      <c r="H517" s="597"/>
      <c r="I517" s="597"/>
      <c r="J517" s="614" t="s">
        <v>1848</v>
      </c>
      <c r="K517" s="615"/>
      <c r="L517" s="610"/>
      <c r="M517" s="611"/>
      <c r="N517" s="616" t="s">
        <v>3777</v>
      </c>
      <c r="O517" s="616" t="s">
        <v>1014</v>
      </c>
      <c r="P517" s="611" t="s">
        <v>3041</v>
      </c>
      <c r="Q517" s="597"/>
      <c r="R517" s="597"/>
      <c r="S517" s="597"/>
      <c r="T517" s="597"/>
      <c r="U517" s="597"/>
      <c r="V517" s="597"/>
      <c r="W517" s="597"/>
      <c r="X517" s="597"/>
      <c r="Y517" s="597"/>
      <c r="Z517" s="597"/>
      <c r="AA517" s="597"/>
    </row>
    <row r="518" spans="1:27" ht="12" customHeight="1">
      <c r="A518" s="597"/>
      <c r="B518" s="598"/>
      <c r="C518" s="597"/>
      <c r="D518" s="597"/>
      <c r="E518" s="597"/>
      <c r="F518" s="597"/>
      <c r="G518" s="597"/>
      <c r="H518" s="597"/>
      <c r="I518" s="597"/>
      <c r="J518" s="614" t="s">
        <v>1850</v>
      </c>
      <c r="K518" s="615"/>
      <c r="L518" s="610"/>
      <c r="M518" s="611"/>
      <c r="N518" s="498" t="s">
        <v>1883</v>
      </c>
      <c r="O518" s="498" t="s">
        <v>521</v>
      </c>
      <c r="P518" s="1363" t="s">
        <v>967</v>
      </c>
      <c r="Q518" s="597"/>
      <c r="R518" s="597"/>
      <c r="S518" s="597"/>
      <c r="T518" s="597"/>
      <c r="U518" s="597"/>
      <c r="V518" s="597"/>
      <c r="W518" s="597"/>
      <c r="X518" s="597"/>
      <c r="Y518" s="597"/>
      <c r="Z518" s="597"/>
      <c r="AA518" s="597"/>
    </row>
    <row r="519" spans="1:27" ht="12" customHeight="1">
      <c r="A519" s="597"/>
      <c r="B519" s="598"/>
      <c r="C519" s="597"/>
      <c r="D519" s="597"/>
      <c r="E519" s="597"/>
      <c r="F519" s="597"/>
      <c r="G519" s="597"/>
      <c r="H519" s="597"/>
      <c r="I519" s="597"/>
      <c r="J519" s="614" t="s">
        <v>3676</v>
      </c>
      <c r="K519" s="615"/>
      <c r="L519" s="610"/>
      <c r="M519" s="611"/>
      <c r="N519" s="616" t="s">
        <v>2442</v>
      </c>
      <c r="O519" s="616" t="s">
        <v>492</v>
      </c>
      <c r="P519" s="611" t="s">
        <v>3042</v>
      </c>
      <c r="Q519" s="597"/>
      <c r="R519" s="597"/>
      <c r="S519" s="597"/>
      <c r="T519" s="597"/>
      <c r="U519" s="597"/>
      <c r="V519" s="597"/>
      <c r="W519" s="597"/>
      <c r="X519" s="597"/>
      <c r="Y519" s="597"/>
      <c r="Z519" s="597"/>
      <c r="AA519" s="597"/>
    </row>
    <row r="520" spans="1:27" ht="12" customHeight="1">
      <c r="A520" s="597"/>
      <c r="B520" s="598"/>
      <c r="C520" s="597"/>
      <c r="D520" s="597"/>
      <c r="E520" s="597"/>
      <c r="F520" s="597"/>
      <c r="G520" s="597"/>
      <c r="H520" s="597"/>
      <c r="I520" s="597"/>
      <c r="J520" s="614" t="s">
        <v>3776</v>
      </c>
      <c r="K520" s="615"/>
      <c r="L520" s="610"/>
      <c r="M520" s="611"/>
      <c r="N520" s="616" t="s">
        <v>2444</v>
      </c>
      <c r="O520" s="616" t="s">
        <v>2141</v>
      </c>
      <c r="P520" s="611" t="s">
        <v>3043</v>
      </c>
      <c r="Q520" s="597"/>
      <c r="R520" s="597"/>
      <c r="S520" s="597"/>
      <c r="T520" s="597"/>
      <c r="U520" s="597"/>
      <c r="V520" s="597"/>
      <c r="W520" s="597"/>
      <c r="X520" s="597"/>
      <c r="Y520" s="597"/>
      <c r="Z520" s="597"/>
      <c r="AA520" s="597"/>
    </row>
    <row r="521" spans="1:27" ht="12" customHeight="1">
      <c r="A521" s="597"/>
      <c r="B521" s="598"/>
      <c r="C521" s="597"/>
      <c r="D521" s="597"/>
      <c r="E521" s="597"/>
      <c r="F521" s="597"/>
      <c r="G521" s="597"/>
      <c r="H521" s="597"/>
      <c r="I521" s="597"/>
      <c r="J521" s="614" t="s">
        <v>3778</v>
      </c>
      <c r="K521" s="615"/>
      <c r="L521" s="610"/>
      <c r="M521" s="611"/>
      <c r="N521" s="616" t="s">
        <v>2446</v>
      </c>
      <c r="O521" s="616" t="s">
        <v>3073</v>
      </c>
      <c r="P521" s="611" t="s">
        <v>3044</v>
      </c>
      <c r="Q521" s="597"/>
      <c r="R521" s="597"/>
      <c r="S521" s="597"/>
      <c r="T521" s="597"/>
      <c r="U521" s="597"/>
      <c r="V521" s="597"/>
      <c r="W521" s="597"/>
      <c r="X521" s="597"/>
      <c r="Y521" s="597"/>
      <c r="Z521" s="597"/>
      <c r="AA521" s="597"/>
    </row>
    <row r="522" spans="1:27" ht="12" customHeight="1">
      <c r="A522" s="597"/>
      <c r="B522" s="598"/>
      <c r="C522" s="597"/>
      <c r="D522" s="597"/>
      <c r="E522" s="597"/>
      <c r="F522" s="597"/>
      <c r="G522" s="597"/>
      <c r="H522" s="597"/>
      <c r="I522" s="597"/>
      <c r="J522" s="614" t="s">
        <v>4087</v>
      </c>
      <c r="K522" s="615"/>
      <c r="L522" s="610"/>
      <c r="M522" s="611"/>
      <c r="N522" s="616" t="s">
        <v>3792</v>
      </c>
      <c r="O522" s="616" t="s">
        <v>3742</v>
      </c>
      <c r="P522" s="611" t="s">
        <v>3045</v>
      </c>
      <c r="Q522" s="597"/>
      <c r="R522" s="597"/>
      <c r="S522" s="597"/>
      <c r="T522" s="597"/>
      <c r="U522" s="597"/>
      <c r="V522" s="597"/>
      <c r="W522" s="597"/>
      <c r="X522" s="597"/>
      <c r="Y522" s="597"/>
      <c r="Z522" s="597"/>
      <c r="AA522" s="597"/>
    </row>
    <row r="523" spans="1:27" ht="12" customHeight="1">
      <c r="A523" s="597"/>
      <c r="B523" s="598"/>
      <c r="C523" s="597"/>
      <c r="D523" s="597"/>
      <c r="E523" s="597"/>
      <c r="F523" s="597"/>
      <c r="G523" s="597"/>
      <c r="H523" s="597"/>
      <c r="I523" s="597"/>
      <c r="J523" s="614" t="s">
        <v>2441</v>
      </c>
      <c r="K523" s="615"/>
      <c r="L523" s="610"/>
      <c r="M523" s="611"/>
      <c r="N523" s="616" t="s">
        <v>3794</v>
      </c>
      <c r="O523" s="616" t="s">
        <v>679</v>
      </c>
      <c r="P523" s="611" t="s">
        <v>3046</v>
      </c>
      <c r="Q523" s="597"/>
      <c r="R523" s="597"/>
      <c r="S523" s="597"/>
      <c r="T523" s="597"/>
      <c r="U523" s="597"/>
      <c r="V523" s="597"/>
      <c r="W523" s="597"/>
      <c r="X523" s="597"/>
      <c r="Y523" s="597"/>
      <c r="Z523" s="597"/>
      <c r="AA523" s="597"/>
    </row>
    <row r="524" spans="1:27" ht="12" customHeight="1">
      <c r="A524" s="597"/>
      <c r="B524" s="598"/>
      <c r="C524" s="597"/>
      <c r="D524" s="597"/>
      <c r="E524" s="597"/>
      <c r="F524" s="597"/>
      <c r="G524" s="597"/>
      <c r="H524" s="597"/>
      <c r="I524" s="597"/>
      <c r="J524" s="614" t="s">
        <v>2443</v>
      </c>
      <c r="K524" s="615"/>
      <c r="L524" s="610"/>
      <c r="M524" s="611"/>
      <c r="N524" s="616" t="s">
        <v>1701</v>
      </c>
      <c r="O524" s="616" t="s">
        <v>2747</v>
      </c>
      <c r="P524" s="611" t="s">
        <v>3047</v>
      </c>
      <c r="Q524" s="597"/>
      <c r="R524" s="597"/>
      <c r="S524" s="597"/>
      <c r="T524" s="597"/>
      <c r="U524" s="597"/>
      <c r="V524" s="597"/>
      <c r="W524" s="597"/>
      <c r="X524" s="597"/>
      <c r="Y524" s="597"/>
      <c r="Z524" s="597"/>
      <c r="AA524" s="597"/>
    </row>
    <row r="525" spans="1:27" ht="12" customHeight="1">
      <c r="A525" s="597"/>
      <c r="B525" s="598"/>
      <c r="C525" s="597"/>
      <c r="D525" s="597"/>
      <c r="E525" s="597"/>
      <c r="F525" s="597"/>
      <c r="G525" s="597"/>
      <c r="H525" s="597"/>
      <c r="I525" s="597"/>
      <c r="J525" s="614" t="s">
        <v>2445</v>
      </c>
      <c r="K525" s="615"/>
      <c r="L525" s="610"/>
      <c r="M525" s="611"/>
      <c r="N525" s="616" t="s">
        <v>764</v>
      </c>
      <c r="O525" s="616" t="s">
        <v>2452</v>
      </c>
      <c r="P525" s="611" t="s">
        <v>3048</v>
      </c>
      <c r="Q525" s="597"/>
      <c r="R525" s="597"/>
      <c r="S525" s="597"/>
      <c r="T525" s="597"/>
      <c r="U525" s="597"/>
      <c r="V525" s="597"/>
      <c r="W525" s="597"/>
      <c r="X525" s="597"/>
      <c r="Y525" s="597"/>
      <c r="Z525" s="597"/>
      <c r="AA525" s="597"/>
    </row>
    <row r="526" spans="1:27" ht="12" customHeight="1">
      <c r="A526" s="597"/>
      <c r="B526" s="598"/>
      <c r="C526" s="597"/>
      <c r="D526" s="597"/>
      <c r="E526" s="597"/>
      <c r="F526" s="597"/>
      <c r="G526" s="597"/>
      <c r="H526" s="597"/>
      <c r="I526" s="597"/>
      <c r="J526" s="614" t="s">
        <v>3791</v>
      </c>
      <c r="K526" s="615"/>
      <c r="L526" s="610"/>
      <c r="M526" s="611"/>
      <c r="N526" s="616" t="s">
        <v>3326</v>
      </c>
      <c r="O526" s="616" t="s">
        <v>1542</v>
      </c>
      <c r="P526" s="611" t="s">
        <v>3049</v>
      </c>
      <c r="Q526" s="597"/>
      <c r="R526" s="597"/>
      <c r="S526" s="597"/>
      <c r="T526" s="597"/>
      <c r="U526" s="597"/>
      <c r="V526" s="597"/>
      <c r="W526" s="597"/>
      <c r="X526" s="597"/>
      <c r="Y526" s="597"/>
      <c r="Z526" s="597"/>
      <c r="AA526" s="597"/>
    </row>
    <row r="527" spans="1:27" ht="12" customHeight="1">
      <c r="A527" s="597"/>
      <c r="B527" s="598"/>
      <c r="C527" s="597"/>
      <c r="D527" s="597"/>
      <c r="E527" s="597"/>
      <c r="F527" s="597"/>
      <c r="G527" s="597"/>
      <c r="H527" s="597"/>
      <c r="I527" s="597"/>
      <c r="J527" s="614" t="s">
        <v>3793</v>
      </c>
      <c r="K527" s="615"/>
      <c r="L527" s="610"/>
      <c r="M527" s="611"/>
      <c r="N527" s="616" t="s">
        <v>3117</v>
      </c>
      <c r="O527" s="616" t="s">
        <v>3897</v>
      </c>
      <c r="P527" s="611" t="s">
        <v>3050</v>
      </c>
      <c r="Q527" s="597"/>
      <c r="R527" s="597"/>
      <c r="S527" s="597"/>
      <c r="T527" s="597"/>
      <c r="U527" s="597"/>
      <c r="V527" s="597"/>
      <c r="W527" s="597"/>
      <c r="X527" s="597"/>
      <c r="Y527" s="597"/>
      <c r="Z527" s="597"/>
      <c r="AA527" s="597"/>
    </row>
    <row r="528" spans="1:27" ht="12" customHeight="1">
      <c r="A528" s="597"/>
      <c r="B528" s="598"/>
      <c r="C528" s="597"/>
      <c r="D528" s="597"/>
      <c r="E528" s="597"/>
      <c r="F528" s="597"/>
      <c r="G528" s="597"/>
      <c r="H528" s="597"/>
      <c r="I528" s="597"/>
      <c r="J528" s="614" t="s">
        <v>1700</v>
      </c>
      <c r="K528" s="615"/>
      <c r="L528" s="610"/>
      <c r="M528" s="611"/>
      <c r="N528" s="616" t="s">
        <v>3289</v>
      </c>
      <c r="O528" s="616" t="s">
        <v>2823</v>
      </c>
      <c r="P528" s="611" t="s">
        <v>3051</v>
      </c>
      <c r="Q528" s="597"/>
      <c r="R528" s="597"/>
      <c r="S528" s="597"/>
      <c r="T528" s="597"/>
      <c r="U528" s="597"/>
      <c r="V528" s="597"/>
      <c r="W528" s="597"/>
      <c r="X528" s="597"/>
      <c r="Y528" s="597"/>
      <c r="Z528" s="597"/>
      <c r="AA528" s="597"/>
    </row>
    <row r="529" spans="1:27" ht="12" customHeight="1">
      <c r="A529" s="597"/>
      <c r="B529" s="598"/>
      <c r="C529" s="597"/>
      <c r="D529" s="597"/>
      <c r="E529" s="597"/>
      <c r="F529" s="597"/>
      <c r="G529" s="597"/>
      <c r="H529" s="597"/>
      <c r="I529" s="597"/>
      <c r="J529" s="614" t="s">
        <v>763</v>
      </c>
      <c r="K529" s="615"/>
      <c r="L529" s="610"/>
      <c r="M529" s="611"/>
      <c r="N529" s="616" t="s">
        <v>3291</v>
      </c>
      <c r="O529" s="616" t="s">
        <v>2160</v>
      </c>
      <c r="P529" s="611" t="s">
        <v>3052</v>
      </c>
      <c r="Q529" s="597"/>
      <c r="R529" s="597"/>
      <c r="S529" s="597"/>
      <c r="T529" s="597"/>
      <c r="U529" s="597"/>
      <c r="V529" s="597"/>
      <c r="W529" s="597"/>
      <c r="X529" s="597"/>
      <c r="Y529" s="597"/>
      <c r="Z529" s="597"/>
      <c r="AA529" s="597"/>
    </row>
    <row r="530" spans="1:27" ht="12" customHeight="1">
      <c r="A530" s="597"/>
      <c r="B530" s="598"/>
      <c r="C530" s="597"/>
      <c r="D530" s="597"/>
      <c r="E530" s="597"/>
      <c r="F530" s="597"/>
      <c r="G530" s="597"/>
      <c r="H530" s="597"/>
      <c r="I530" s="597"/>
      <c r="J530" s="614" t="s">
        <v>3325</v>
      </c>
      <c r="K530" s="615"/>
      <c r="L530" s="610"/>
      <c r="M530" s="611"/>
      <c r="N530" s="616" t="s">
        <v>3293</v>
      </c>
      <c r="O530" s="616" t="s">
        <v>2059</v>
      </c>
      <c r="P530" s="611" t="s">
        <v>3053</v>
      </c>
      <c r="Q530" s="597"/>
      <c r="R530" s="597"/>
      <c r="S530" s="597"/>
      <c r="T530" s="597"/>
      <c r="U530" s="597"/>
      <c r="V530" s="597"/>
      <c r="W530" s="597"/>
      <c r="X530" s="597"/>
      <c r="Y530" s="597"/>
      <c r="Z530" s="597"/>
      <c r="AA530" s="597"/>
    </row>
    <row r="531" spans="1:27" ht="12" customHeight="1">
      <c r="A531" s="597"/>
      <c r="B531" s="598"/>
      <c r="C531" s="597"/>
      <c r="D531" s="597"/>
      <c r="E531" s="597"/>
      <c r="F531" s="597"/>
      <c r="G531" s="597"/>
      <c r="H531" s="597"/>
      <c r="I531" s="597"/>
      <c r="J531" s="614" t="s">
        <v>2132</v>
      </c>
      <c r="K531" s="615"/>
      <c r="L531" s="610"/>
      <c r="M531" s="611"/>
      <c r="N531" s="616" t="s">
        <v>3295</v>
      </c>
      <c r="O531" s="616" t="s">
        <v>2747</v>
      </c>
      <c r="P531" s="611" t="s">
        <v>3054</v>
      </c>
      <c r="Q531" s="597"/>
      <c r="R531" s="597"/>
      <c r="S531" s="597"/>
      <c r="T531" s="597"/>
      <c r="U531" s="597"/>
      <c r="V531" s="597"/>
      <c r="W531" s="597"/>
      <c r="X531" s="597"/>
      <c r="Y531" s="597"/>
      <c r="Z531" s="597"/>
      <c r="AA531" s="597"/>
    </row>
    <row r="532" spans="1:27" ht="12" customHeight="1">
      <c r="A532" s="597"/>
      <c r="B532" s="598"/>
      <c r="C532" s="597"/>
      <c r="D532" s="597"/>
      <c r="E532" s="597"/>
      <c r="F532" s="597"/>
      <c r="G532" s="597"/>
      <c r="H532" s="597"/>
      <c r="I532" s="597"/>
      <c r="J532" s="614" t="s">
        <v>3164</v>
      </c>
      <c r="K532" s="615"/>
      <c r="L532" s="610"/>
      <c r="M532" s="611"/>
      <c r="N532" s="616" t="s">
        <v>3297</v>
      </c>
      <c r="O532" s="616" t="s">
        <v>1408</v>
      </c>
      <c r="P532" s="611" t="s">
        <v>3055</v>
      </c>
      <c r="Q532" s="597"/>
      <c r="R532" s="597"/>
      <c r="S532" s="597"/>
      <c r="T532" s="597"/>
      <c r="U532" s="597"/>
      <c r="V532" s="597"/>
      <c r="W532" s="597"/>
      <c r="X532" s="597"/>
      <c r="Y532" s="597"/>
      <c r="Z532" s="597"/>
      <c r="AA532" s="597"/>
    </row>
    <row r="533" spans="1:27" ht="12" customHeight="1">
      <c r="A533" s="597"/>
      <c r="B533" s="598"/>
      <c r="C533" s="597"/>
      <c r="D533" s="597"/>
      <c r="E533" s="597"/>
      <c r="F533" s="597"/>
      <c r="G533" s="597"/>
      <c r="H533" s="597"/>
      <c r="I533" s="597"/>
      <c r="J533" s="614" t="s">
        <v>3118</v>
      </c>
      <c r="K533" s="615"/>
      <c r="L533" s="610"/>
      <c r="M533" s="611"/>
      <c r="N533" s="616" t="s">
        <v>3311</v>
      </c>
      <c r="O533" s="616" t="s">
        <v>3753</v>
      </c>
      <c r="P533" s="611" t="s">
        <v>3056</v>
      </c>
      <c r="Q533" s="597"/>
      <c r="R533" s="597"/>
      <c r="S533" s="597"/>
      <c r="T533" s="597"/>
      <c r="U533" s="597"/>
      <c r="V533" s="597"/>
      <c r="W533" s="597"/>
      <c r="X533" s="597"/>
      <c r="Y533" s="597"/>
      <c r="Z533" s="597"/>
      <c r="AA533" s="597"/>
    </row>
    <row r="534" spans="1:27" ht="12" customHeight="1">
      <c r="A534" s="597"/>
      <c r="B534" s="598"/>
      <c r="C534" s="597"/>
      <c r="D534" s="597"/>
      <c r="E534" s="597"/>
      <c r="F534" s="597"/>
      <c r="G534" s="597"/>
      <c r="H534" s="597"/>
      <c r="I534" s="597"/>
      <c r="J534" s="614" t="s">
        <v>3119</v>
      </c>
      <c r="K534" s="615"/>
      <c r="L534" s="610"/>
      <c r="M534" s="611"/>
      <c r="N534" s="616" t="s">
        <v>3313</v>
      </c>
      <c r="O534" s="616" t="s">
        <v>3531</v>
      </c>
      <c r="P534" s="611" t="s">
        <v>3057</v>
      </c>
      <c r="Q534" s="597"/>
      <c r="R534" s="597"/>
      <c r="S534" s="597"/>
      <c r="T534" s="597"/>
      <c r="U534" s="597"/>
      <c r="V534" s="597"/>
      <c r="W534" s="597"/>
      <c r="X534" s="597"/>
      <c r="Y534" s="597"/>
      <c r="Z534" s="597"/>
      <c r="AA534" s="597"/>
    </row>
    <row r="535" spans="1:27" ht="12" customHeight="1">
      <c r="A535" s="597"/>
      <c r="B535" s="598"/>
      <c r="C535" s="597"/>
      <c r="D535" s="597"/>
      <c r="E535" s="597"/>
      <c r="F535" s="597"/>
      <c r="G535" s="597"/>
      <c r="H535" s="597"/>
      <c r="I535" s="597"/>
      <c r="J535" s="614" t="s">
        <v>3290</v>
      </c>
      <c r="K535" s="615"/>
      <c r="L535" s="610"/>
      <c r="M535" s="611"/>
      <c r="N535" s="618" t="s">
        <v>3124</v>
      </c>
      <c r="O535" s="616" t="s">
        <v>2379</v>
      </c>
      <c r="P535" s="611" t="s">
        <v>3058</v>
      </c>
      <c r="Q535" s="597"/>
      <c r="R535" s="597"/>
      <c r="S535" s="597"/>
      <c r="T535" s="597"/>
      <c r="U535" s="597"/>
      <c r="V535" s="597"/>
      <c r="W535" s="597"/>
      <c r="X535" s="597"/>
      <c r="Y535" s="597"/>
      <c r="Z535" s="597"/>
      <c r="AA535" s="597"/>
    </row>
    <row r="536" spans="1:27" ht="12" customHeight="1">
      <c r="A536" s="597"/>
      <c r="B536" s="598"/>
      <c r="C536" s="597"/>
      <c r="D536" s="597"/>
      <c r="E536" s="597"/>
      <c r="F536" s="597"/>
      <c r="G536" s="597"/>
      <c r="H536" s="597"/>
      <c r="I536" s="597"/>
      <c r="J536" s="614" t="s">
        <v>3292</v>
      </c>
      <c r="K536" s="615"/>
      <c r="L536" s="610"/>
      <c r="M536" s="611"/>
      <c r="N536" s="619" t="s">
        <v>2851</v>
      </c>
      <c r="O536" s="616" t="s">
        <v>3073</v>
      </c>
      <c r="P536" s="1362" t="s">
        <v>2846</v>
      </c>
      <c r="Q536" s="597"/>
      <c r="R536" s="597"/>
      <c r="S536" s="597"/>
      <c r="T536" s="597"/>
      <c r="U536" s="597"/>
      <c r="V536" s="597"/>
      <c r="W536" s="597"/>
      <c r="X536" s="597"/>
      <c r="Y536" s="597"/>
      <c r="Z536" s="597"/>
      <c r="AA536" s="597"/>
    </row>
    <row r="537" spans="1:27" ht="12" customHeight="1">
      <c r="A537" s="597"/>
      <c r="B537" s="598"/>
      <c r="C537" s="597"/>
      <c r="D537" s="597"/>
      <c r="E537" s="597"/>
      <c r="F537" s="597"/>
      <c r="G537" s="597"/>
      <c r="H537" s="597"/>
      <c r="I537" s="597"/>
      <c r="J537" s="614" t="s">
        <v>3294</v>
      </c>
      <c r="K537" s="615"/>
      <c r="L537" s="610"/>
      <c r="M537" s="611"/>
      <c r="N537" s="616" t="s">
        <v>1706</v>
      </c>
      <c r="O537" s="616" t="s">
        <v>3173</v>
      </c>
      <c r="P537" s="611" t="s">
        <v>3059</v>
      </c>
      <c r="Q537" s="597"/>
      <c r="R537" s="597"/>
      <c r="S537" s="597"/>
      <c r="T537" s="597"/>
      <c r="U537" s="597"/>
      <c r="V537" s="597"/>
      <c r="W537" s="597"/>
      <c r="X537" s="597"/>
      <c r="Y537" s="597"/>
      <c r="Z537" s="597"/>
      <c r="AA537" s="597"/>
    </row>
    <row r="538" spans="1:27" ht="12" customHeight="1">
      <c r="A538" s="597"/>
      <c r="B538" s="598"/>
      <c r="C538" s="597"/>
      <c r="D538" s="597"/>
      <c r="E538" s="597"/>
      <c r="F538" s="597"/>
      <c r="G538" s="597"/>
      <c r="H538" s="597"/>
      <c r="I538" s="597"/>
      <c r="J538" s="614" t="s">
        <v>3296</v>
      </c>
      <c r="K538" s="615"/>
      <c r="L538" s="610"/>
      <c r="M538" s="611"/>
      <c r="N538" s="616" t="s">
        <v>1040</v>
      </c>
      <c r="O538" s="616" t="s">
        <v>2452</v>
      </c>
      <c r="P538" s="611" t="s">
        <v>3060</v>
      </c>
      <c r="Q538" s="597"/>
      <c r="R538" s="597"/>
      <c r="S538" s="597"/>
      <c r="T538" s="597"/>
      <c r="U538" s="597"/>
      <c r="V538" s="597"/>
      <c r="W538" s="597"/>
      <c r="X538" s="597"/>
      <c r="Y538" s="597"/>
      <c r="Z538" s="597"/>
      <c r="AA538" s="597"/>
    </row>
    <row r="539" spans="1:27" ht="12" customHeight="1">
      <c r="A539" s="597"/>
      <c r="B539" s="598"/>
      <c r="C539" s="597"/>
      <c r="D539" s="597"/>
      <c r="E539" s="597"/>
      <c r="F539" s="597"/>
      <c r="G539" s="597"/>
      <c r="H539" s="597"/>
      <c r="I539" s="597"/>
      <c r="J539" s="614" t="s">
        <v>3310</v>
      </c>
      <c r="K539" s="615"/>
      <c r="L539" s="610"/>
      <c r="M539" s="611"/>
      <c r="N539" s="616" t="s">
        <v>1708</v>
      </c>
      <c r="O539" s="616" t="s">
        <v>1177</v>
      </c>
      <c r="P539" s="611" t="s">
        <v>3061</v>
      </c>
      <c r="Q539" s="597"/>
      <c r="R539" s="597"/>
      <c r="S539" s="597"/>
      <c r="T539" s="597"/>
      <c r="U539" s="597"/>
      <c r="V539" s="597"/>
      <c r="W539" s="597"/>
      <c r="X539" s="597"/>
      <c r="Y539" s="597"/>
      <c r="Z539" s="597"/>
      <c r="AA539" s="597"/>
    </row>
    <row r="540" spans="1:27" ht="12" customHeight="1">
      <c r="A540" s="597"/>
      <c r="B540" s="598"/>
      <c r="C540" s="597"/>
      <c r="D540" s="597"/>
      <c r="E540" s="597"/>
      <c r="F540" s="597"/>
      <c r="G540" s="597"/>
      <c r="H540" s="597"/>
      <c r="I540" s="597"/>
      <c r="J540" s="614" t="s">
        <v>3312</v>
      </c>
      <c r="K540" s="615"/>
      <c r="L540" s="610"/>
      <c r="M540" s="611"/>
      <c r="N540" s="616" t="s">
        <v>3492</v>
      </c>
      <c r="O540" s="616" t="s">
        <v>2151</v>
      </c>
      <c r="P540" s="611" t="s">
        <v>3062</v>
      </c>
      <c r="Q540" s="597"/>
      <c r="R540" s="597"/>
      <c r="S540" s="597"/>
      <c r="T540" s="597"/>
      <c r="U540" s="597"/>
      <c r="V540" s="597"/>
      <c r="W540" s="597"/>
      <c r="X540" s="597"/>
      <c r="Y540" s="597"/>
      <c r="Z540" s="597"/>
      <c r="AA540" s="597"/>
    </row>
    <row r="541" spans="1:27" ht="12" customHeight="1">
      <c r="A541" s="597"/>
      <c r="B541" s="598"/>
      <c r="C541" s="597"/>
      <c r="D541" s="597"/>
      <c r="E541" s="597"/>
      <c r="F541" s="597"/>
      <c r="G541" s="597"/>
      <c r="H541" s="597"/>
      <c r="I541" s="597"/>
      <c r="J541" s="614" t="s">
        <v>3151</v>
      </c>
      <c r="K541" s="615"/>
      <c r="L541" s="610"/>
      <c r="M541" s="611"/>
      <c r="N541" s="498" t="s">
        <v>3820</v>
      </c>
      <c r="O541" s="498" t="s">
        <v>3894</v>
      </c>
      <c r="P541" s="1363" t="s">
        <v>967</v>
      </c>
      <c r="Q541" s="597"/>
      <c r="R541" s="597"/>
      <c r="S541" s="597"/>
      <c r="T541" s="597"/>
      <c r="U541" s="597"/>
      <c r="V541" s="597"/>
      <c r="W541" s="597"/>
      <c r="X541" s="597"/>
      <c r="Y541" s="597"/>
      <c r="Z541" s="597"/>
      <c r="AA541" s="597"/>
    </row>
    <row r="542" spans="1:27" ht="12" customHeight="1">
      <c r="A542" s="597"/>
      <c r="B542" s="598"/>
      <c r="C542" s="597"/>
      <c r="D542" s="597"/>
      <c r="E542" s="597"/>
      <c r="F542" s="597"/>
      <c r="G542" s="597"/>
      <c r="H542" s="597"/>
      <c r="I542" s="597"/>
      <c r="J542" s="614" t="s">
        <v>3167</v>
      </c>
      <c r="K542" s="615"/>
      <c r="L542" s="610"/>
      <c r="M542" s="611"/>
      <c r="N542" s="616" t="s">
        <v>2233</v>
      </c>
      <c r="O542" s="616" t="s">
        <v>3748</v>
      </c>
      <c r="P542" s="611" t="s">
        <v>3063</v>
      </c>
      <c r="Q542" s="597"/>
      <c r="R542" s="597"/>
      <c r="S542" s="597"/>
      <c r="T542" s="597"/>
      <c r="U542" s="597"/>
      <c r="V542" s="597"/>
      <c r="W542" s="597"/>
      <c r="X542" s="597"/>
      <c r="Y542" s="597"/>
      <c r="Z542" s="597"/>
      <c r="AA542" s="597"/>
    </row>
    <row r="543" spans="1:27" ht="12" customHeight="1">
      <c r="A543" s="597"/>
      <c r="B543" s="598"/>
      <c r="C543" s="597"/>
      <c r="D543" s="597"/>
      <c r="E543" s="597"/>
      <c r="F543" s="597"/>
      <c r="G543" s="597"/>
      <c r="H543" s="597"/>
      <c r="I543" s="597"/>
      <c r="J543" s="614" t="s">
        <v>3168</v>
      </c>
      <c r="K543" s="615"/>
      <c r="L543" s="610"/>
      <c r="M543" s="611"/>
      <c r="N543" s="616" t="s">
        <v>2599</v>
      </c>
      <c r="O543" s="616" t="s">
        <v>2056</v>
      </c>
      <c r="P543" s="611" t="s">
        <v>3064</v>
      </c>
      <c r="Q543" s="597"/>
      <c r="R543" s="597"/>
      <c r="S543" s="597"/>
      <c r="T543" s="597"/>
      <c r="U543" s="597"/>
      <c r="V543" s="597"/>
      <c r="W543" s="597"/>
      <c r="X543" s="597"/>
      <c r="Y543" s="597"/>
      <c r="Z543" s="597"/>
      <c r="AA543" s="597"/>
    </row>
    <row r="544" spans="1:27" ht="12" customHeight="1">
      <c r="A544" s="597"/>
      <c r="B544" s="598"/>
      <c r="C544" s="597"/>
      <c r="D544" s="597"/>
      <c r="E544" s="597"/>
      <c r="F544" s="597"/>
      <c r="G544" s="597"/>
      <c r="H544" s="597"/>
      <c r="I544" s="597"/>
      <c r="J544" s="614" t="s">
        <v>1039</v>
      </c>
      <c r="K544" s="615"/>
      <c r="L544" s="610"/>
      <c r="M544" s="611"/>
      <c r="N544" s="498" t="s">
        <v>2550</v>
      </c>
      <c r="O544" s="498" t="s">
        <v>3811</v>
      </c>
      <c r="P544" s="1363" t="s">
        <v>967</v>
      </c>
      <c r="Q544" s="597"/>
      <c r="R544" s="597"/>
      <c r="S544" s="597"/>
      <c r="T544" s="597"/>
      <c r="U544" s="597"/>
      <c r="V544" s="597"/>
      <c r="W544" s="597"/>
      <c r="X544" s="597"/>
      <c r="Y544" s="597"/>
      <c r="Z544" s="597"/>
      <c r="AA544" s="597"/>
    </row>
    <row r="545" spans="1:27" ht="12" customHeight="1">
      <c r="A545" s="597"/>
      <c r="B545" s="598"/>
      <c r="C545" s="597"/>
      <c r="D545" s="597"/>
      <c r="E545" s="597"/>
      <c r="F545" s="597"/>
      <c r="G545" s="597"/>
      <c r="H545" s="597"/>
      <c r="I545" s="597"/>
      <c r="J545" s="614" t="s">
        <v>3490</v>
      </c>
      <c r="K545" s="615"/>
      <c r="L545" s="610"/>
      <c r="M545" s="611"/>
      <c r="N545" s="616" t="s">
        <v>3923</v>
      </c>
      <c r="O545" s="616" t="s">
        <v>524</v>
      </c>
      <c r="P545" s="611" t="s">
        <v>3065</v>
      </c>
      <c r="Q545" s="597"/>
      <c r="R545" s="597"/>
      <c r="S545" s="597"/>
      <c r="T545" s="597"/>
      <c r="U545" s="597"/>
      <c r="V545" s="597"/>
      <c r="W545" s="597"/>
      <c r="X545" s="597"/>
      <c r="Y545" s="597"/>
      <c r="Z545" s="597"/>
      <c r="AA545" s="597"/>
    </row>
    <row r="546" spans="1:27" ht="12" customHeight="1">
      <c r="A546" s="597"/>
      <c r="B546" s="598"/>
      <c r="C546" s="597"/>
      <c r="D546" s="597"/>
      <c r="E546" s="597"/>
      <c r="F546" s="597"/>
      <c r="G546" s="597"/>
      <c r="H546" s="597"/>
      <c r="I546" s="597"/>
      <c r="J546" s="614" t="s">
        <v>3491</v>
      </c>
      <c r="K546" s="615"/>
      <c r="L546" s="610"/>
      <c r="M546" s="611"/>
      <c r="N546" s="616" t="s">
        <v>418</v>
      </c>
      <c r="O546" s="616" t="s">
        <v>2163</v>
      </c>
      <c r="P546" s="611" t="s">
        <v>3066</v>
      </c>
      <c r="Q546" s="597"/>
      <c r="R546" s="597"/>
      <c r="S546" s="597"/>
      <c r="T546" s="597"/>
      <c r="U546" s="597"/>
      <c r="V546" s="597"/>
      <c r="W546" s="597"/>
      <c r="X546" s="597"/>
      <c r="Y546" s="597"/>
      <c r="Z546" s="597"/>
      <c r="AA546" s="597"/>
    </row>
    <row r="547" spans="1:27" ht="12" customHeight="1">
      <c r="A547" s="597"/>
      <c r="B547" s="598"/>
      <c r="C547" s="597"/>
      <c r="D547" s="597"/>
      <c r="E547" s="597"/>
      <c r="F547" s="597"/>
      <c r="G547" s="597"/>
      <c r="H547" s="597"/>
      <c r="I547" s="597"/>
      <c r="J547" s="614" t="s">
        <v>2232</v>
      </c>
      <c r="K547" s="615"/>
      <c r="L547" s="610"/>
      <c r="M547" s="611"/>
      <c r="N547" s="616" t="s">
        <v>3926</v>
      </c>
      <c r="O547" s="616" t="s">
        <v>3073</v>
      </c>
      <c r="P547" s="611" t="s">
        <v>2910</v>
      </c>
      <c r="Q547" s="597"/>
      <c r="R547" s="597"/>
      <c r="S547" s="597"/>
      <c r="T547" s="597"/>
      <c r="U547" s="597"/>
      <c r="V547" s="597"/>
      <c r="W547" s="597"/>
      <c r="X547" s="597"/>
      <c r="Y547" s="597"/>
      <c r="Z547" s="597"/>
      <c r="AA547" s="597"/>
    </row>
    <row r="548" spans="1:27" ht="12" customHeight="1">
      <c r="A548" s="597"/>
      <c r="B548" s="598"/>
      <c r="C548" s="597"/>
      <c r="D548" s="597"/>
      <c r="E548" s="597"/>
      <c r="F548" s="597"/>
      <c r="G548" s="597"/>
      <c r="H548" s="597"/>
      <c r="I548" s="597"/>
      <c r="J548" s="614" t="s">
        <v>2598</v>
      </c>
      <c r="K548" s="615"/>
      <c r="L548" s="610"/>
      <c r="M548" s="611"/>
      <c r="N548" s="616" t="s">
        <v>3928</v>
      </c>
      <c r="O548" s="616" t="s">
        <v>790</v>
      </c>
      <c r="P548" s="611" t="s">
        <v>2911</v>
      </c>
      <c r="Q548" s="597"/>
      <c r="R548" s="597"/>
      <c r="S548" s="597"/>
      <c r="T548" s="597"/>
      <c r="U548" s="597"/>
      <c r="V548" s="597"/>
      <c r="W548" s="597"/>
      <c r="X548" s="597"/>
      <c r="Y548" s="597"/>
      <c r="Z548" s="597"/>
      <c r="AA548" s="597"/>
    </row>
    <row r="549" spans="1:27" ht="12" customHeight="1">
      <c r="A549" s="597"/>
      <c r="B549" s="598"/>
      <c r="C549" s="597"/>
      <c r="D549" s="597"/>
      <c r="E549" s="597"/>
      <c r="F549" s="597"/>
      <c r="G549" s="597"/>
      <c r="H549" s="597"/>
      <c r="I549" s="597"/>
      <c r="J549" s="614" t="s">
        <v>2600</v>
      </c>
      <c r="K549" s="615"/>
      <c r="L549" s="610"/>
      <c r="M549" s="611"/>
      <c r="N549" s="616" t="s">
        <v>496</v>
      </c>
      <c r="O549" s="616" t="s">
        <v>2155</v>
      </c>
      <c r="P549" s="611" t="s">
        <v>2912</v>
      </c>
      <c r="Q549" s="597"/>
      <c r="R549" s="597"/>
      <c r="S549" s="597"/>
      <c r="T549" s="597"/>
      <c r="U549" s="597"/>
      <c r="V549" s="597"/>
      <c r="W549" s="597"/>
      <c r="X549" s="597"/>
      <c r="Y549" s="597"/>
      <c r="Z549" s="597"/>
      <c r="AA549" s="597"/>
    </row>
    <row r="550" spans="1:27" ht="12" customHeight="1">
      <c r="A550" s="597"/>
      <c r="B550" s="598"/>
      <c r="C550" s="597"/>
      <c r="D550" s="597"/>
      <c r="E550" s="597"/>
      <c r="F550" s="597"/>
      <c r="G550" s="597"/>
      <c r="H550" s="597"/>
      <c r="I550" s="597"/>
      <c r="J550" s="614" t="s">
        <v>2601</v>
      </c>
      <c r="K550" s="615"/>
      <c r="L550" s="610"/>
      <c r="M550" s="611"/>
      <c r="N550" s="616" t="s">
        <v>1070</v>
      </c>
      <c r="O550" s="616" t="s">
        <v>670</v>
      </c>
      <c r="P550" s="611" t="s">
        <v>2913</v>
      </c>
      <c r="Q550" s="597"/>
      <c r="R550" s="597"/>
      <c r="S550" s="597"/>
      <c r="T550" s="597"/>
      <c r="U550" s="597"/>
      <c r="V550" s="597"/>
      <c r="W550" s="597"/>
      <c r="X550" s="597"/>
      <c r="Y550" s="597"/>
      <c r="Z550" s="597"/>
      <c r="AA550" s="597"/>
    </row>
    <row r="551" spans="1:27" ht="12" customHeight="1">
      <c r="A551" s="597"/>
      <c r="B551" s="598"/>
      <c r="C551" s="597"/>
      <c r="D551" s="597"/>
      <c r="E551" s="597"/>
      <c r="F551" s="597"/>
      <c r="G551" s="597"/>
      <c r="H551" s="597"/>
      <c r="I551" s="597"/>
      <c r="J551" s="614" t="s">
        <v>3924</v>
      </c>
      <c r="K551" s="615"/>
      <c r="L551" s="610"/>
      <c r="M551" s="611"/>
      <c r="N551" s="616" t="s">
        <v>3016</v>
      </c>
      <c r="O551" s="616" t="s">
        <v>3995</v>
      </c>
      <c r="P551" s="611" t="s">
        <v>2914</v>
      </c>
      <c r="Q551" s="597"/>
      <c r="R551" s="597"/>
      <c r="S551" s="597"/>
      <c r="T551" s="597"/>
      <c r="U551" s="597"/>
      <c r="V551" s="597"/>
      <c r="W551" s="597"/>
      <c r="X551" s="597"/>
      <c r="Y551" s="597"/>
      <c r="Z551" s="597"/>
      <c r="AA551" s="597"/>
    </row>
    <row r="552" spans="1:27" ht="12" customHeight="1">
      <c r="A552" s="597"/>
      <c r="B552" s="598"/>
      <c r="C552" s="597"/>
      <c r="D552" s="597"/>
      <c r="E552" s="597"/>
      <c r="F552" s="597"/>
      <c r="G552" s="597"/>
      <c r="H552" s="597"/>
      <c r="I552" s="597"/>
      <c r="J552" s="614" t="s">
        <v>3925</v>
      </c>
      <c r="K552" s="615"/>
      <c r="L552" s="610"/>
      <c r="M552" s="611"/>
      <c r="N552" s="616" t="s">
        <v>3017</v>
      </c>
      <c r="O552" s="616" t="s">
        <v>3820</v>
      </c>
      <c r="P552" s="611" t="s">
        <v>2915</v>
      </c>
      <c r="Q552" s="597"/>
      <c r="R552" s="597"/>
      <c r="S552" s="597"/>
      <c r="T552" s="597"/>
      <c r="U552" s="597"/>
      <c r="V552" s="597"/>
      <c r="W552" s="597"/>
      <c r="X552" s="597"/>
      <c r="Y552" s="597"/>
      <c r="Z552" s="597"/>
      <c r="AA552" s="597"/>
    </row>
    <row r="553" spans="1:27" ht="12" customHeight="1">
      <c r="A553" s="597"/>
      <c r="B553" s="598"/>
      <c r="C553" s="597"/>
      <c r="D553" s="597"/>
      <c r="E553" s="597"/>
      <c r="F553" s="597"/>
      <c r="G553" s="597"/>
      <c r="H553" s="597"/>
      <c r="I553" s="597"/>
      <c r="J553" s="614" t="s">
        <v>3927</v>
      </c>
      <c r="K553" s="615"/>
      <c r="L553" s="610"/>
      <c r="M553" s="611"/>
      <c r="N553" s="616" t="s">
        <v>3003</v>
      </c>
      <c r="O553" s="616" t="s">
        <v>2825</v>
      </c>
      <c r="P553" s="611" t="s">
        <v>2916</v>
      </c>
      <c r="Q553" s="597"/>
      <c r="R553" s="597"/>
      <c r="S553" s="597"/>
      <c r="T553" s="597"/>
      <c r="U553" s="597"/>
      <c r="V553" s="597"/>
      <c r="W553" s="597"/>
      <c r="X553" s="597"/>
      <c r="Y553" s="597"/>
      <c r="Z553" s="597"/>
      <c r="AA553" s="597"/>
    </row>
    <row r="554" spans="1:27" ht="12" customHeight="1">
      <c r="A554" s="597"/>
      <c r="B554" s="598"/>
      <c r="C554" s="597"/>
      <c r="D554" s="597"/>
      <c r="E554" s="597"/>
      <c r="F554" s="597"/>
      <c r="G554" s="597"/>
      <c r="H554" s="597"/>
      <c r="I554" s="597"/>
      <c r="J554" s="614" t="s">
        <v>495</v>
      </c>
      <c r="K554" s="615"/>
      <c r="L554" s="610"/>
      <c r="M554" s="611"/>
      <c r="N554" s="616" t="s">
        <v>3005</v>
      </c>
      <c r="O554" s="616" t="s">
        <v>2461</v>
      </c>
      <c r="P554" s="611" t="s">
        <v>3005</v>
      </c>
      <c r="Q554" s="597"/>
      <c r="R554" s="597"/>
      <c r="S554" s="597"/>
      <c r="T554" s="597"/>
      <c r="U554" s="597"/>
      <c r="V554" s="597"/>
      <c r="W554" s="597"/>
      <c r="X554" s="597"/>
      <c r="Y554" s="597"/>
      <c r="Z554" s="597"/>
      <c r="AA554" s="597"/>
    </row>
    <row r="555" spans="1:27" ht="12" customHeight="1">
      <c r="A555" s="597"/>
      <c r="B555" s="598"/>
      <c r="C555" s="597"/>
      <c r="D555" s="597"/>
      <c r="E555" s="597"/>
      <c r="F555" s="597"/>
      <c r="G555" s="597"/>
      <c r="H555" s="597"/>
      <c r="I555" s="597"/>
      <c r="J555" s="614" t="s">
        <v>1069</v>
      </c>
      <c r="K555" s="615"/>
      <c r="L555" s="610"/>
      <c r="M555" s="611"/>
      <c r="N555" s="616" t="s">
        <v>922</v>
      </c>
      <c r="O555" s="616" t="s">
        <v>2379</v>
      </c>
      <c r="P555" s="611" t="s">
        <v>2917</v>
      </c>
      <c r="Q555" s="597"/>
      <c r="R555" s="597"/>
      <c r="S555" s="597"/>
      <c r="T555" s="597"/>
      <c r="U555" s="597"/>
      <c r="V555" s="597"/>
      <c r="W555" s="597"/>
      <c r="X555" s="597"/>
      <c r="Y555" s="597"/>
      <c r="Z555" s="597"/>
      <c r="AA555" s="597"/>
    </row>
    <row r="556" spans="1:27" ht="12" customHeight="1">
      <c r="A556" s="597"/>
      <c r="B556" s="598"/>
      <c r="C556" s="597"/>
      <c r="D556" s="597"/>
      <c r="E556" s="597"/>
      <c r="F556" s="597"/>
      <c r="G556" s="597"/>
      <c r="H556" s="597"/>
      <c r="I556" s="597"/>
      <c r="J556" s="614" t="s">
        <v>1071</v>
      </c>
      <c r="K556" s="615"/>
      <c r="L556" s="610"/>
      <c r="M556" s="611"/>
      <c r="N556" s="498" t="s">
        <v>922</v>
      </c>
      <c r="O556" s="498" t="s">
        <v>2379</v>
      </c>
      <c r="P556" s="1363" t="s">
        <v>967</v>
      </c>
      <c r="Q556" s="597"/>
      <c r="R556" s="597"/>
      <c r="S556" s="597"/>
      <c r="T556" s="597"/>
      <c r="U556" s="597"/>
      <c r="V556" s="597"/>
      <c r="W556" s="597"/>
      <c r="X556" s="597"/>
      <c r="Y556" s="597"/>
      <c r="Z556" s="597"/>
      <c r="AA556" s="597"/>
    </row>
    <row r="557" spans="1:27" ht="12" customHeight="1">
      <c r="A557" s="597"/>
      <c r="B557" s="598"/>
      <c r="C557" s="597"/>
      <c r="D557" s="597"/>
      <c r="E557" s="597"/>
      <c r="F557" s="597"/>
      <c r="G557" s="597"/>
      <c r="H557" s="597"/>
      <c r="I557" s="597"/>
      <c r="J557" s="614" t="s">
        <v>3169</v>
      </c>
      <c r="K557" s="615"/>
      <c r="L557" s="610"/>
      <c r="M557" s="611"/>
      <c r="N557" s="616" t="s">
        <v>4006</v>
      </c>
      <c r="O557" s="616" t="s">
        <v>2154</v>
      </c>
      <c r="P557" s="611" t="s">
        <v>2918</v>
      </c>
      <c r="Q557" s="597"/>
      <c r="R557" s="597"/>
      <c r="S557" s="597"/>
      <c r="T557" s="597"/>
      <c r="U557" s="597"/>
      <c r="V557" s="597"/>
      <c r="W557" s="597"/>
      <c r="X557" s="597"/>
      <c r="Y557" s="597"/>
      <c r="Z557" s="597"/>
      <c r="AA557" s="597"/>
    </row>
    <row r="558" spans="1:27" ht="12" customHeight="1">
      <c r="A558" s="597"/>
      <c r="B558" s="598"/>
      <c r="C558" s="597"/>
      <c r="D558" s="597"/>
      <c r="E558" s="597"/>
      <c r="F558" s="597"/>
      <c r="G558" s="597"/>
      <c r="H558" s="597"/>
      <c r="I558" s="597"/>
      <c r="J558" s="614" t="s">
        <v>876</v>
      </c>
      <c r="K558" s="615"/>
      <c r="L558" s="610"/>
      <c r="M558" s="611"/>
      <c r="N558" s="616" t="s">
        <v>1108</v>
      </c>
      <c r="O558" s="616" t="s">
        <v>2148</v>
      </c>
      <c r="P558" s="611" t="s">
        <v>2919</v>
      </c>
      <c r="Q558" s="597"/>
      <c r="R558" s="597"/>
      <c r="S558" s="597"/>
      <c r="T558" s="597"/>
      <c r="U558" s="597"/>
      <c r="V558" s="597"/>
      <c r="W558" s="597"/>
      <c r="X558" s="597"/>
      <c r="Y558" s="597"/>
      <c r="Z558" s="597"/>
      <c r="AA558" s="597"/>
    </row>
    <row r="559" spans="1:27" ht="12" customHeight="1">
      <c r="A559" s="597"/>
      <c r="B559" s="598"/>
      <c r="C559" s="597"/>
      <c r="D559" s="597"/>
      <c r="E559" s="597"/>
      <c r="F559" s="597"/>
      <c r="G559" s="597"/>
      <c r="H559" s="597"/>
      <c r="I559" s="597"/>
      <c r="J559" s="614" t="s">
        <v>3002</v>
      </c>
      <c r="K559" s="615"/>
      <c r="L559" s="610"/>
      <c r="M559" s="611"/>
      <c r="N559" s="616" t="s">
        <v>2852</v>
      </c>
      <c r="O559" s="616" t="s">
        <v>3811</v>
      </c>
      <c r="P559" s="1362" t="s">
        <v>2846</v>
      </c>
      <c r="Q559" s="597"/>
      <c r="R559" s="597"/>
      <c r="S559" s="597"/>
      <c r="T559" s="597"/>
      <c r="U559" s="597"/>
      <c r="V559" s="597"/>
      <c r="W559" s="597"/>
      <c r="X559" s="597"/>
      <c r="Y559" s="597"/>
      <c r="Z559" s="597"/>
      <c r="AA559" s="597"/>
    </row>
    <row r="560" spans="1:27" ht="12" customHeight="1">
      <c r="A560" s="597"/>
      <c r="B560" s="598"/>
      <c r="C560" s="597"/>
      <c r="D560" s="597"/>
      <c r="E560" s="597"/>
      <c r="F560" s="597"/>
      <c r="G560" s="597"/>
      <c r="H560" s="597"/>
      <c r="I560" s="597"/>
      <c r="J560" s="614" t="s">
        <v>3004</v>
      </c>
      <c r="K560" s="615"/>
      <c r="L560" s="610"/>
      <c r="M560" s="611"/>
      <c r="N560" s="616" t="s">
        <v>2517</v>
      </c>
      <c r="O560" s="616" t="s">
        <v>2449</v>
      </c>
      <c r="P560" s="611" t="s">
        <v>2920</v>
      </c>
      <c r="Q560" s="597"/>
      <c r="R560" s="597"/>
      <c r="S560" s="597"/>
      <c r="T560" s="597"/>
      <c r="U560" s="597"/>
      <c r="V560" s="597"/>
      <c r="W560" s="597"/>
      <c r="X560" s="597"/>
      <c r="Y560" s="597"/>
      <c r="Z560" s="597"/>
      <c r="AA560" s="597"/>
    </row>
    <row r="561" spans="1:27" ht="12" customHeight="1">
      <c r="A561" s="597"/>
      <c r="B561" s="598"/>
      <c r="C561" s="597"/>
      <c r="D561" s="597"/>
      <c r="E561" s="597"/>
      <c r="F561" s="597"/>
      <c r="G561" s="597"/>
      <c r="H561" s="597"/>
      <c r="I561" s="597"/>
      <c r="J561" s="614" t="s">
        <v>921</v>
      </c>
      <c r="K561" s="615"/>
      <c r="L561" s="610"/>
      <c r="M561" s="611"/>
      <c r="N561" s="616" t="s">
        <v>3692</v>
      </c>
      <c r="O561" s="616" t="s">
        <v>423</v>
      </c>
      <c r="P561" s="611" t="s">
        <v>2921</v>
      </c>
      <c r="Q561" s="597"/>
      <c r="R561" s="597"/>
      <c r="S561" s="597"/>
      <c r="T561" s="597"/>
      <c r="U561" s="597"/>
      <c r="V561" s="597"/>
      <c r="W561" s="597"/>
      <c r="X561" s="597"/>
      <c r="Y561" s="597"/>
      <c r="Z561" s="597"/>
      <c r="AA561" s="597"/>
    </row>
    <row r="562" spans="1:27" ht="12" customHeight="1">
      <c r="A562" s="597"/>
      <c r="B562" s="598"/>
      <c r="C562" s="597"/>
      <c r="D562" s="597"/>
      <c r="E562" s="597"/>
      <c r="F562" s="597"/>
      <c r="G562" s="597"/>
      <c r="H562" s="597"/>
      <c r="I562" s="597"/>
      <c r="J562" s="614" t="s">
        <v>4004</v>
      </c>
      <c r="K562" s="615"/>
      <c r="L562" s="610"/>
      <c r="M562" s="611"/>
      <c r="N562" s="616" t="s">
        <v>3694</v>
      </c>
      <c r="O562" s="616" t="s">
        <v>1009</v>
      </c>
      <c r="P562" s="611" t="s">
        <v>2922</v>
      </c>
      <c r="Q562" s="597"/>
      <c r="R562" s="597"/>
      <c r="S562" s="597"/>
      <c r="T562" s="597"/>
      <c r="U562" s="597"/>
      <c r="V562" s="597"/>
      <c r="W562" s="597"/>
      <c r="X562" s="597"/>
      <c r="Y562" s="597"/>
      <c r="Z562" s="597"/>
      <c r="AA562" s="597"/>
    </row>
    <row r="563" spans="1:27" ht="12" customHeight="1">
      <c r="A563" s="597"/>
      <c r="B563" s="598"/>
      <c r="C563" s="597"/>
      <c r="D563" s="597"/>
      <c r="E563" s="597"/>
      <c r="F563" s="597"/>
      <c r="G563" s="597"/>
      <c r="H563" s="597"/>
      <c r="I563" s="597"/>
      <c r="J563" s="614" t="s">
        <v>4005</v>
      </c>
      <c r="K563" s="615"/>
      <c r="L563" s="610"/>
      <c r="M563" s="611"/>
      <c r="N563" s="616" t="s">
        <v>3696</v>
      </c>
      <c r="O563" s="616" t="s">
        <v>524</v>
      </c>
      <c r="P563" s="611" t="s">
        <v>2923</v>
      </c>
      <c r="Q563" s="597"/>
      <c r="R563" s="597"/>
      <c r="S563" s="597"/>
      <c r="T563" s="597"/>
      <c r="U563" s="597"/>
      <c r="V563" s="597"/>
      <c r="W563" s="597"/>
      <c r="X563" s="597"/>
      <c r="Y563" s="597"/>
      <c r="Z563" s="597"/>
      <c r="AA563" s="597"/>
    </row>
    <row r="564" spans="1:27" ht="12" customHeight="1">
      <c r="A564" s="597"/>
      <c r="B564" s="598"/>
      <c r="C564" s="597"/>
      <c r="D564" s="597"/>
      <c r="E564" s="597"/>
      <c r="F564" s="597"/>
      <c r="G564" s="597"/>
      <c r="H564" s="597"/>
      <c r="I564" s="597"/>
      <c r="J564" s="614" t="s">
        <v>1107</v>
      </c>
      <c r="K564" s="615"/>
      <c r="L564" s="610"/>
      <c r="M564" s="611"/>
      <c r="N564" s="616" t="s">
        <v>423</v>
      </c>
      <c r="O564" s="616" t="s">
        <v>1406</v>
      </c>
      <c r="P564" s="611" t="s">
        <v>2924</v>
      </c>
      <c r="Q564" s="597"/>
      <c r="R564" s="597"/>
      <c r="S564" s="597"/>
      <c r="T564" s="597"/>
      <c r="U564" s="597"/>
      <c r="V564" s="597"/>
      <c r="W564" s="597"/>
      <c r="X564" s="597"/>
      <c r="Y564" s="597"/>
      <c r="Z564" s="597"/>
      <c r="AA564" s="597"/>
    </row>
    <row r="565" spans="1:27" ht="12" customHeight="1">
      <c r="A565" s="597"/>
      <c r="B565" s="598"/>
      <c r="C565" s="597"/>
      <c r="D565" s="597"/>
      <c r="E565" s="597"/>
      <c r="F565" s="597"/>
      <c r="G565" s="597"/>
      <c r="H565" s="597"/>
      <c r="I565" s="597"/>
      <c r="J565" s="614" t="s">
        <v>816</v>
      </c>
      <c r="K565" s="615"/>
      <c r="L565" s="610"/>
      <c r="M565" s="611"/>
      <c r="N565" s="616" t="s">
        <v>1855</v>
      </c>
      <c r="O565" s="616" t="s">
        <v>668</v>
      </c>
      <c r="P565" s="611" t="s">
        <v>2925</v>
      </c>
      <c r="Q565" s="597"/>
      <c r="R565" s="597"/>
      <c r="S565" s="597"/>
      <c r="T565" s="597"/>
      <c r="U565" s="597"/>
      <c r="V565" s="597"/>
      <c r="W565" s="597"/>
      <c r="X565" s="597"/>
      <c r="Y565" s="597"/>
      <c r="Z565" s="597"/>
      <c r="AA565" s="597"/>
    </row>
    <row r="566" spans="1:27" ht="12" customHeight="1">
      <c r="A566" s="597"/>
      <c r="B566" s="598"/>
      <c r="C566" s="597"/>
      <c r="D566" s="597"/>
      <c r="E566" s="597"/>
      <c r="F566" s="597"/>
      <c r="G566" s="597"/>
      <c r="H566" s="597"/>
      <c r="I566" s="597"/>
      <c r="J566" s="614" t="s">
        <v>3691</v>
      </c>
      <c r="K566" s="615"/>
      <c r="L566" s="610"/>
      <c r="M566" s="611"/>
      <c r="N566" s="616" t="s">
        <v>1857</v>
      </c>
      <c r="O566" s="616" t="s">
        <v>3746</v>
      </c>
      <c r="P566" s="611" t="s">
        <v>2926</v>
      </c>
      <c r="Q566" s="597"/>
      <c r="R566" s="597"/>
      <c r="S566" s="597"/>
      <c r="T566" s="597"/>
      <c r="U566" s="597"/>
      <c r="V566" s="597"/>
      <c r="W566" s="597"/>
      <c r="X566" s="597"/>
      <c r="Y566" s="597"/>
      <c r="Z566" s="597"/>
      <c r="AA566" s="597"/>
    </row>
    <row r="567" spans="1:27" ht="12" customHeight="1">
      <c r="A567" s="597"/>
      <c r="B567" s="598"/>
      <c r="C567" s="597"/>
      <c r="D567" s="597"/>
      <c r="E567" s="597"/>
      <c r="F567" s="597"/>
      <c r="G567" s="597"/>
      <c r="H567" s="597"/>
      <c r="I567" s="597"/>
      <c r="J567" s="614" t="s">
        <v>3693</v>
      </c>
      <c r="K567" s="615"/>
      <c r="L567" s="610"/>
      <c r="M567" s="611"/>
      <c r="N567" s="616" t="s">
        <v>2039</v>
      </c>
      <c r="O567" s="616" t="s">
        <v>3994</v>
      </c>
      <c r="P567" s="611" t="s">
        <v>3079</v>
      </c>
      <c r="Q567" s="597"/>
      <c r="R567" s="597"/>
      <c r="S567" s="597"/>
      <c r="T567" s="597"/>
      <c r="U567" s="597"/>
      <c r="V567" s="597"/>
      <c r="W567" s="597"/>
      <c r="X567" s="597"/>
      <c r="Y567" s="597"/>
      <c r="Z567" s="597"/>
      <c r="AA567" s="597"/>
    </row>
    <row r="568" spans="1:27" ht="12" customHeight="1">
      <c r="A568" s="597"/>
      <c r="B568" s="598"/>
      <c r="C568" s="597"/>
      <c r="D568" s="597"/>
      <c r="E568" s="597"/>
      <c r="F568" s="597"/>
      <c r="G568" s="597"/>
      <c r="H568" s="597"/>
      <c r="I568" s="597"/>
      <c r="J568" s="614" t="s">
        <v>3695</v>
      </c>
      <c r="K568" s="615"/>
      <c r="L568" s="610"/>
      <c r="M568" s="611"/>
      <c r="N568" s="616" t="s">
        <v>744</v>
      </c>
      <c r="O568" s="616" t="s">
        <v>670</v>
      </c>
      <c r="P568" s="611" t="s">
        <v>3080</v>
      </c>
      <c r="Q568" s="597"/>
      <c r="R568" s="597"/>
      <c r="S568" s="597"/>
      <c r="T568" s="597"/>
      <c r="U568" s="597"/>
      <c r="V568" s="597"/>
      <c r="W568" s="597"/>
      <c r="X568" s="597"/>
      <c r="Y568" s="597"/>
      <c r="Z568" s="597"/>
      <c r="AA568" s="597"/>
    </row>
    <row r="569" spans="1:27" ht="12" customHeight="1">
      <c r="A569" s="597"/>
      <c r="B569" s="598"/>
      <c r="C569" s="597"/>
      <c r="D569" s="597"/>
      <c r="E569" s="597"/>
      <c r="F569" s="597"/>
      <c r="G569" s="597"/>
      <c r="H569" s="597"/>
      <c r="I569" s="597"/>
      <c r="J569" s="614" t="s">
        <v>3697</v>
      </c>
      <c r="K569" s="615"/>
      <c r="L569" s="610"/>
      <c r="M569" s="611"/>
      <c r="N569" s="498" t="s">
        <v>2551</v>
      </c>
      <c r="O569" s="498" t="s">
        <v>3225</v>
      </c>
      <c r="P569" s="1363" t="s">
        <v>967</v>
      </c>
      <c r="Q569" s="597"/>
      <c r="R569" s="597"/>
      <c r="S569" s="597"/>
      <c r="T569" s="597"/>
      <c r="U569" s="597"/>
      <c r="V569" s="597"/>
      <c r="W569" s="597"/>
      <c r="X569" s="597"/>
      <c r="Y569" s="597"/>
      <c r="Z569" s="597"/>
      <c r="AA569" s="597"/>
    </row>
    <row r="570" spans="1:27" ht="12" customHeight="1">
      <c r="A570" s="597"/>
      <c r="B570" s="598"/>
      <c r="C570" s="597"/>
      <c r="D570" s="597"/>
      <c r="E570" s="597"/>
      <c r="F570" s="597"/>
      <c r="G570" s="597"/>
      <c r="H570" s="597"/>
      <c r="I570" s="597"/>
      <c r="J570" s="614" t="s">
        <v>1854</v>
      </c>
      <c r="K570" s="615"/>
      <c r="L570" s="610"/>
      <c r="M570" s="611"/>
      <c r="N570" s="498" t="s">
        <v>2425</v>
      </c>
      <c r="O570" s="498" t="s">
        <v>3225</v>
      </c>
      <c r="P570" s="1363" t="s">
        <v>967</v>
      </c>
      <c r="Q570" s="597"/>
      <c r="R570" s="597"/>
      <c r="S570" s="597"/>
      <c r="T570" s="597"/>
      <c r="U570" s="597"/>
      <c r="V570" s="597"/>
      <c r="W570" s="597"/>
      <c r="X570" s="597"/>
      <c r="Y570" s="597"/>
      <c r="Z570" s="597"/>
      <c r="AA570" s="597"/>
    </row>
    <row r="571" spans="1:27" ht="12" customHeight="1">
      <c r="A571" s="597"/>
      <c r="B571" s="598"/>
      <c r="C571" s="597"/>
      <c r="D571" s="597"/>
      <c r="E571" s="597"/>
      <c r="F571" s="597"/>
      <c r="G571" s="597"/>
      <c r="H571" s="597"/>
      <c r="I571" s="597"/>
      <c r="J571" s="614" t="s">
        <v>1856</v>
      </c>
      <c r="K571" s="615"/>
      <c r="L571" s="610"/>
      <c r="M571" s="611"/>
      <c r="N571" s="498" t="s">
        <v>2426</v>
      </c>
      <c r="O571" s="498" t="s">
        <v>3225</v>
      </c>
      <c r="P571" s="1363" t="s">
        <v>967</v>
      </c>
      <c r="Q571" s="597"/>
      <c r="R571" s="597"/>
      <c r="S571" s="597"/>
      <c r="T571" s="597"/>
      <c r="U571" s="597"/>
      <c r="V571" s="597"/>
      <c r="W571" s="597"/>
      <c r="X571" s="597"/>
      <c r="Y571" s="597"/>
      <c r="Z571" s="597"/>
      <c r="AA571" s="597"/>
    </row>
    <row r="572" spans="1:27" ht="12" customHeight="1">
      <c r="A572" s="597"/>
      <c r="B572" s="598"/>
      <c r="C572" s="597"/>
      <c r="D572" s="597"/>
      <c r="E572" s="597"/>
      <c r="F572" s="597"/>
      <c r="G572" s="597"/>
      <c r="H572" s="597"/>
      <c r="I572" s="597"/>
      <c r="J572" s="614" t="s">
        <v>1858</v>
      </c>
      <c r="K572" s="615"/>
      <c r="L572" s="610"/>
      <c r="M572" s="611"/>
      <c r="N572" s="616" t="s">
        <v>1337</v>
      </c>
      <c r="O572" s="616" t="s">
        <v>424</v>
      </c>
      <c r="P572" s="611" t="s">
        <v>3081</v>
      </c>
      <c r="Q572" s="597"/>
      <c r="R572" s="597"/>
      <c r="S572" s="597"/>
      <c r="T572" s="597"/>
      <c r="U572" s="597"/>
      <c r="V572" s="597"/>
      <c r="W572" s="597"/>
      <c r="X572" s="597"/>
      <c r="Y572" s="597"/>
      <c r="Z572" s="597"/>
      <c r="AA572" s="597"/>
    </row>
    <row r="573" spans="1:27" ht="12" customHeight="1">
      <c r="A573" s="597"/>
      <c r="B573" s="598"/>
      <c r="C573" s="597"/>
      <c r="D573" s="597"/>
      <c r="E573" s="597"/>
      <c r="F573" s="597"/>
      <c r="G573" s="597"/>
      <c r="H573" s="597"/>
      <c r="I573" s="597"/>
      <c r="J573" s="614" t="s">
        <v>494</v>
      </c>
      <c r="K573" s="615"/>
      <c r="L573" s="610"/>
      <c r="M573" s="611"/>
      <c r="N573" s="616" t="s">
        <v>1348</v>
      </c>
      <c r="O573" s="616" t="s">
        <v>3977</v>
      </c>
      <c r="P573" s="611" t="s">
        <v>3082</v>
      </c>
      <c r="Q573" s="597"/>
      <c r="R573" s="597"/>
      <c r="S573" s="597"/>
      <c r="T573" s="597"/>
      <c r="U573" s="597"/>
      <c r="V573" s="597"/>
      <c r="W573" s="597"/>
      <c r="X573" s="597"/>
      <c r="Y573" s="597"/>
      <c r="Z573" s="597"/>
      <c r="AA573" s="597"/>
    </row>
    <row r="574" spans="1:27" ht="12" customHeight="1">
      <c r="A574" s="597"/>
      <c r="B574" s="598"/>
      <c r="C574" s="597"/>
      <c r="D574" s="597"/>
      <c r="E574" s="597"/>
      <c r="F574" s="597"/>
      <c r="G574" s="597"/>
      <c r="H574" s="597"/>
      <c r="I574" s="597"/>
      <c r="J574" s="614" t="s">
        <v>739</v>
      </c>
      <c r="K574" s="615"/>
      <c r="L574" s="610"/>
      <c r="M574" s="611"/>
      <c r="N574" s="616" t="s">
        <v>1350</v>
      </c>
      <c r="O574" s="616" t="s">
        <v>998</v>
      </c>
      <c r="P574" s="611" t="s">
        <v>3083</v>
      </c>
      <c r="Q574" s="597"/>
      <c r="R574" s="597"/>
      <c r="S574" s="597"/>
      <c r="T574" s="597"/>
      <c r="U574" s="597"/>
      <c r="V574" s="597"/>
      <c r="W574" s="597"/>
      <c r="X574" s="597"/>
      <c r="Y574" s="597"/>
      <c r="Z574" s="597"/>
      <c r="AA574" s="597"/>
    </row>
    <row r="575" spans="1:27" ht="12" customHeight="1">
      <c r="A575" s="597"/>
      <c r="B575" s="598"/>
      <c r="C575" s="597"/>
      <c r="D575" s="597"/>
      <c r="E575" s="597"/>
      <c r="F575" s="597"/>
      <c r="G575" s="597"/>
      <c r="H575" s="597"/>
      <c r="I575" s="597"/>
      <c r="J575" s="614" t="s">
        <v>1347</v>
      </c>
      <c r="K575" s="615"/>
      <c r="L575" s="610"/>
      <c r="M575" s="611"/>
      <c r="N575" s="616" t="s">
        <v>1353</v>
      </c>
      <c r="O575" s="616" t="s">
        <v>998</v>
      </c>
      <c r="P575" s="611" t="s">
        <v>3084</v>
      </c>
      <c r="Q575" s="597"/>
      <c r="R575" s="597"/>
      <c r="S575" s="597"/>
      <c r="T575" s="597"/>
      <c r="U575" s="597"/>
      <c r="V575" s="597"/>
      <c r="W575" s="597"/>
      <c r="X575" s="597"/>
      <c r="Y575" s="597"/>
      <c r="Z575" s="597"/>
      <c r="AA575" s="597"/>
    </row>
    <row r="576" spans="1:27" ht="12" customHeight="1">
      <c r="A576" s="597"/>
      <c r="B576" s="598"/>
      <c r="C576" s="597"/>
      <c r="D576" s="597"/>
      <c r="E576" s="597"/>
      <c r="F576" s="597"/>
      <c r="G576" s="597"/>
      <c r="H576" s="597"/>
      <c r="I576" s="597"/>
      <c r="J576" s="614" t="s">
        <v>1349</v>
      </c>
      <c r="K576" s="615"/>
      <c r="L576" s="610"/>
      <c r="M576" s="611"/>
      <c r="N576" s="616" t="s">
        <v>1355</v>
      </c>
      <c r="O576" s="616" t="s">
        <v>3734</v>
      </c>
      <c r="P576" s="611" t="s">
        <v>3085</v>
      </c>
      <c r="Q576" s="597"/>
      <c r="R576" s="597"/>
      <c r="S576" s="597"/>
      <c r="T576" s="597"/>
      <c r="U576" s="597"/>
      <c r="V576" s="597"/>
      <c r="W576" s="597"/>
      <c r="X576" s="597"/>
      <c r="Y576" s="597"/>
      <c r="Z576" s="597"/>
      <c r="AA576" s="597"/>
    </row>
    <row r="577" spans="1:27" ht="12" customHeight="1">
      <c r="A577" s="597"/>
      <c r="B577" s="598"/>
      <c r="C577" s="597"/>
      <c r="D577" s="597"/>
      <c r="E577" s="597"/>
      <c r="F577" s="597"/>
      <c r="G577" s="597"/>
      <c r="H577" s="597"/>
      <c r="I577" s="597"/>
      <c r="J577" s="614" t="s">
        <v>1351</v>
      </c>
      <c r="K577" s="615"/>
      <c r="L577" s="610"/>
      <c r="M577" s="611"/>
      <c r="N577" s="616" t="s">
        <v>1357</v>
      </c>
      <c r="O577" s="616" t="s">
        <v>1542</v>
      </c>
      <c r="P577" s="611" t="s">
        <v>3086</v>
      </c>
      <c r="Q577" s="597"/>
      <c r="R577" s="597"/>
      <c r="S577" s="597"/>
      <c r="T577" s="597"/>
      <c r="U577" s="597"/>
      <c r="V577" s="597"/>
      <c r="W577" s="597"/>
      <c r="X577" s="597"/>
      <c r="Y577" s="597"/>
      <c r="Z577" s="597"/>
      <c r="AA577" s="597"/>
    </row>
    <row r="578" spans="1:27" ht="12" customHeight="1">
      <c r="A578" s="597"/>
      <c r="B578" s="598"/>
      <c r="C578" s="597"/>
      <c r="D578" s="597"/>
      <c r="E578" s="597"/>
      <c r="F578" s="597"/>
      <c r="G578" s="597"/>
      <c r="H578" s="597"/>
      <c r="I578" s="597"/>
      <c r="J578" s="614" t="s">
        <v>1352</v>
      </c>
      <c r="K578" s="615"/>
      <c r="L578" s="610"/>
      <c r="M578" s="611"/>
      <c r="N578" s="616" t="s">
        <v>1359</v>
      </c>
      <c r="O578" s="616" t="s">
        <v>3744</v>
      </c>
      <c r="P578" s="611" t="s">
        <v>2939</v>
      </c>
      <c r="Q578" s="597"/>
      <c r="R578" s="597"/>
      <c r="S578" s="597"/>
      <c r="T578" s="597"/>
      <c r="U578" s="597"/>
      <c r="V578" s="597"/>
      <c r="W578" s="597"/>
      <c r="X578" s="597"/>
      <c r="Y578" s="597"/>
      <c r="Z578" s="597"/>
      <c r="AA578" s="597"/>
    </row>
    <row r="579" spans="1:27" ht="12" customHeight="1">
      <c r="A579" s="597"/>
      <c r="B579" s="598"/>
      <c r="C579" s="597"/>
      <c r="D579" s="597"/>
      <c r="E579" s="597"/>
      <c r="F579" s="597"/>
      <c r="G579" s="597"/>
      <c r="H579" s="597"/>
      <c r="I579" s="597"/>
      <c r="J579" s="614" t="s">
        <v>1354</v>
      </c>
      <c r="K579" s="615"/>
      <c r="L579" s="610"/>
      <c r="M579" s="611"/>
      <c r="N579" s="616" t="s">
        <v>424</v>
      </c>
      <c r="O579" s="616" t="s">
        <v>3979</v>
      </c>
      <c r="P579" s="611" t="s">
        <v>3087</v>
      </c>
      <c r="Q579" s="597"/>
      <c r="R579" s="597"/>
      <c r="S579" s="597"/>
      <c r="T579" s="597"/>
      <c r="U579" s="597"/>
      <c r="V579" s="597"/>
      <c r="W579" s="597"/>
      <c r="X579" s="597"/>
      <c r="Y579" s="597"/>
      <c r="Z579" s="597"/>
      <c r="AA579" s="597"/>
    </row>
    <row r="580" spans="1:27" ht="12" customHeight="1">
      <c r="A580" s="597"/>
      <c r="B580" s="598"/>
      <c r="C580" s="597"/>
      <c r="D580" s="597"/>
      <c r="E580" s="597"/>
      <c r="F580" s="597"/>
      <c r="G580" s="597"/>
      <c r="H580" s="597"/>
      <c r="I580" s="597"/>
      <c r="J580" s="614" t="s">
        <v>1356</v>
      </c>
      <c r="K580" s="615"/>
      <c r="L580" s="610"/>
      <c r="M580" s="611"/>
      <c r="N580" s="616" t="s">
        <v>1240</v>
      </c>
      <c r="O580" s="616" t="s">
        <v>3981</v>
      </c>
      <c r="P580" s="611" t="s">
        <v>3088</v>
      </c>
      <c r="Q580" s="597"/>
      <c r="R580" s="597"/>
      <c r="S580" s="597"/>
      <c r="T580" s="597"/>
      <c r="U580" s="597"/>
      <c r="V580" s="597"/>
      <c r="W580" s="597"/>
      <c r="X580" s="597"/>
      <c r="Y580" s="597"/>
      <c r="Z580" s="597"/>
      <c r="AA580" s="597"/>
    </row>
    <row r="581" spans="1:27" ht="12" customHeight="1">
      <c r="A581" s="597"/>
      <c r="B581" s="598"/>
      <c r="C581" s="597"/>
      <c r="D581" s="597"/>
      <c r="E581" s="597"/>
      <c r="F581" s="597"/>
      <c r="G581" s="597"/>
      <c r="H581" s="597"/>
      <c r="I581" s="597"/>
      <c r="J581" s="614" t="s">
        <v>1358</v>
      </c>
      <c r="K581" s="615"/>
      <c r="L581" s="610"/>
      <c r="M581" s="611"/>
      <c r="N581" s="616" t="s">
        <v>1441</v>
      </c>
      <c r="O581" s="616" t="s">
        <v>2450</v>
      </c>
      <c r="P581" s="611" t="s">
        <v>3089</v>
      </c>
      <c r="Q581" s="597"/>
      <c r="R581" s="597"/>
      <c r="S581" s="597"/>
      <c r="T581" s="597"/>
      <c r="U581" s="597"/>
      <c r="V581" s="597"/>
      <c r="W581" s="597"/>
      <c r="X581" s="597"/>
      <c r="Y581" s="597"/>
      <c r="Z581" s="597"/>
      <c r="AA581" s="597"/>
    </row>
    <row r="582" spans="1:27" ht="12" customHeight="1">
      <c r="A582" s="597"/>
      <c r="B582" s="598"/>
      <c r="C582" s="597"/>
      <c r="D582" s="597"/>
      <c r="E582" s="597"/>
      <c r="F582" s="597"/>
      <c r="G582" s="597"/>
      <c r="H582" s="597"/>
      <c r="I582" s="597"/>
      <c r="J582" s="614" t="s">
        <v>1360</v>
      </c>
      <c r="K582" s="615"/>
      <c r="L582" s="610"/>
      <c r="M582" s="611"/>
      <c r="N582" s="616" t="s">
        <v>492</v>
      </c>
      <c r="O582" s="616" t="s">
        <v>2151</v>
      </c>
      <c r="P582" s="611" t="s">
        <v>3090</v>
      </c>
      <c r="Q582" s="597"/>
      <c r="R582" s="597"/>
      <c r="S582" s="597"/>
      <c r="T582" s="597"/>
      <c r="U582" s="597"/>
      <c r="V582" s="597"/>
      <c r="W582" s="597"/>
      <c r="X582" s="597"/>
      <c r="Y582" s="597"/>
      <c r="Z582" s="597"/>
      <c r="AA582" s="597"/>
    </row>
    <row r="583" spans="1:27" ht="12" customHeight="1">
      <c r="A583" s="597"/>
      <c r="B583" s="598"/>
      <c r="C583" s="597"/>
      <c r="D583" s="597"/>
      <c r="E583" s="597"/>
      <c r="F583" s="597"/>
      <c r="G583" s="597"/>
      <c r="H583" s="597"/>
      <c r="I583" s="597"/>
      <c r="J583" s="614" t="s">
        <v>1361</v>
      </c>
      <c r="K583" s="615"/>
      <c r="L583" s="610"/>
      <c r="M583" s="611"/>
      <c r="N583" s="616" t="s">
        <v>1646</v>
      </c>
      <c r="O583" s="616" t="s">
        <v>1009</v>
      </c>
      <c r="P583" s="611" t="s">
        <v>3091</v>
      </c>
      <c r="Q583" s="597"/>
      <c r="R583" s="597"/>
      <c r="S583" s="597"/>
      <c r="T583" s="597"/>
      <c r="U583" s="597"/>
      <c r="V583" s="597"/>
      <c r="W583" s="597"/>
      <c r="X583" s="597"/>
      <c r="Y583" s="597"/>
      <c r="Z583" s="597"/>
      <c r="AA583" s="597"/>
    </row>
    <row r="584" spans="1:27" ht="12" customHeight="1">
      <c r="A584" s="597"/>
      <c r="B584" s="598"/>
      <c r="C584" s="597"/>
      <c r="D584" s="597"/>
      <c r="E584" s="597"/>
      <c r="F584" s="597"/>
      <c r="G584" s="597"/>
      <c r="H584" s="597"/>
      <c r="I584" s="597"/>
      <c r="J584" s="614" t="s">
        <v>1440</v>
      </c>
      <c r="K584" s="615"/>
      <c r="L584" s="610"/>
      <c r="M584" s="611"/>
      <c r="N584" s="616" t="s">
        <v>2853</v>
      </c>
      <c r="O584" s="616" t="s">
        <v>1016</v>
      </c>
      <c r="P584" s="1362" t="s">
        <v>2846</v>
      </c>
      <c r="Q584" s="597"/>
      <c r="R584" s="597"/>
      <c r="S584" s="597"/>
      <c r="T584" s="597"/>
      <c r="U584" s="597"/>
      <c r="V584" s="597"/>
      <c r="W584" s="597"/>
      <c r="X584" s="597"/>
      <c r="Y584" s="597"/>
      <c r="Z584" s="597"/>
      <c r="AA584" s="597"/>
    </row>
    <row r="585" spans="1:27" ht="12" customHeight="1">
      <c r="A585" s="597"/>
      <c r="B585" s="598"/>
      <c r="C585" s="597"/>
      <c r="D585" s="597"/>
      <c r="E585" s="597"/>
      <c r="F585" s="597"/>
      <c r="G585" s="597"/>
      <c r="H585" s="597"/>
      <c r="I585" s="597"/>
      <c r="J585" s="614" t="s">
        <v>1644</v>
      </c>
      <c r="K585" s="615"/>
      <c r="L585" s="610"/>
      <c r="M585" s="611"/>
      <c r="N585" s="616" t="s">
        <v>813</v>
      </c>
      <c r="O585" s="616" t="s">
        <v>1544</v>
      </c>
      <c r="P585" s="611" t="s">
        <v>3092</v>
      </c>
      <c r="Q585" s="597"/>
      <c r="R585" s="597"/>
      <c r="S585" s="597"/>
      <c r="T585" s="597"/>
      <c r="U585" s="597"/>
      <c r="V585" s="597"/>
      <c r="W585" s="597"/>
      <c r="X585" s="597"/>
      <c r="Y585" s="597"/>
      <c r="Z585" s="597"/>
      <c r="AA585" s="597"/>
    </row>
    <row r="586" spans="1:27" ht="12" customHeight="1">
      <c r="A586" s="597"/>
      <c r="B586" s="598"/>
      <c r="C586" s="597"/>
      <c r="D586" s="597"/>
      <c r="E586" s="597"/>
      <c r="F586" s="597"/>
      <c r="G586" s="597"/>
      <c r="H586" s="597"/>
      <c r="I586" s="597"/>
      <c r="J586" s="614" t="s">
        <v>1645</v>
      </c>
      <c r="K586" s="615"/>
      <c r="L586" s="610"/>
      <c r="M586" s="611"/>
      <c r="N586" s="616" t="s">
        <v>815</v>
      </c>
      <c r="O586" s="616" t="s">
        <v>1013</v>
      </c>
      <c r="P586" s="611" t="s">
        <v>3093</v>
      </c>
      <c r="Q586" s="597"/>
      <c r="R586" s="597"/>
      <c r="S586" s="597"/>
      <c r="T586" s="597"/>
      <c r="U586" s="597"/>
      <c r="V586" s="597"/>
      <c r="W586" s="597"/>
      <c r="X586" s="597"/>
      <c r="Y586" s="597"/>
      <c r="Z586" s="597"/>
      <c r="AA586" s="597"/>
    </row>
    <row r="587" spans="1:27" ht="12" customHeight="1">
      <c r="A587" s="597"/>
      <c r="B587" s="598"/>
      <c r="C587" s="597"/>
      <c r="D587" s="597"/>
      <c r="E587" s="597"/>
      <c r="F587" s="597"/>
      <c r="G587" s="597"/>
      <c r="H587" s="597"/>
      <c r="I587" s="597"/>
      <c r="J587" s="614" t="s">
        <v>1647</v>
      </c>
      <c r="K587" s="615"/>
      <c r="L587" s="610"/>
      <c r="M587" s="611"/>
      <c r="N587" s="616" t="s">
        <v>3334</v>
      </c>
      <c r="O587" s="616" t="s">
        <v>423</v>
      </c>
      <c r="P587" s="611" t="s">
        <v>3094</v>
      </c>
      <c r="Q587" s="597"/>
      <c r="R587" s="597"/>
      <c r="S587" s="597"/>
      <c r="T587" s="597"/>
      <c r="U587" s="597"/>
      <c r="V587" s="597"/>
      <c r="W587" s="597"/>
      <c r="X587" s="597"/>
      <c r="Y587" s="597"/>
      <c r="Z587" s="597"/>
      <c r="AA587" s="597"/>
    </row>
    <row r="588" spans="1:27" ht="12" customHeight="1">
      <c r="A588" s="597"/>
      <c r="B588" s="598"/>
      <c r="C588" s="597"/>
      <c r="D588" s="597"/>
      <c r="E588" s="597"/>
      <c r="F588" s="597"/>
      <c r="G588" s="597"/>
      <c r="H588" s="597"/>
      <c r="I588" s="597"/>
      <c r="J588" s="614" t="s">
        <v>814</v>
      </c>
      <c r="K588" s="615"/>
      <c r="L588" s="610"/>
      <c r="M588" s="611"/>
      <c r="N588" s="616" t="s">
        <v>3336</v>
      </c>
      <c r="O588" s="616" t="s">
        <v>2379</v>
      </c>
      <c r="P588" s="611" t="s">
        <v>3095</v>
      </c>
      <c r="Q588" s="597"/>
      <c r="R588" s="597"/>
      <c r="S588" s="597"/>
      <c r="T588" s="597"/>
      <c r="U588" s="597"/>
      <c r="V588" s="597"/>
      <c r="W588" s="597"/>
      <c r="X588" s="597"/>
      <c r="Y588" s="597"/>
      <c r="Z588" s="597"/>
      <c r="AA588" s="597"/>
    </row>
    <row r="589" spans="1:27" ht="12" customHeight="1">
      <c r="A589" s="597"/>
      <c r="B589" s="598"/>
      <c r="C589" s="597"/>
      <c r="D589" s="597"/>
      <c r="E589" s="597"/>
      <c r="F589" s="597"/>
      <c r="G589" s="597"/>
      <c r="H589" s="597"/>
      <c r="I589" s="597"/>
      <c r="J589" s="614" t="s">
        <v>3333</v>
      </c>
      <c r="K589" s="615"/>
      <c r="L589" s="610"/>
      <c r="M589" s="611"/>
      <c r="N589" s="498" t="s">
        <v>2554</v>
      </c>
      <c r="O589" s="498" t="s">
        <v>3225</v>
      </c>
      <c r="P589" s="1363" t="s">
        <v>967</v>
      </c>
      <c r="Q589" s="597"/>
      <c r="R589" s="597"/>
      <c r="S589" s="597"/>
      <c r="T589" s="597"/>
      <c r="U589" s="597"/>
      <c r="V589" s="597"/>
      <c r="W589" s="597"/>
      <c r="X589" s="597"/>
      <c r="Y589" s="597"/>
      <c r="Z589" s="597"/>
      <c r="AA589" s="597"/>
    </row>
    <row r="590" spans="1:27" ht="12" customHeight="1">
      <c r="A590" s="597"/>
      <c r="B590" s="598"/>
      <c r="C590" s="597"/>
      <c r="D590" s="597"/>
      <c r="E590" s="597"/>
      <c r="F590" s="597"/>
      <c r="G590" s="597"/>
      <c r="H590" s="597"/>
      <c r="I590" s="597"/>
      <c r="J590" s="614" t="s">
        <v>3335</v>
      </c>
      <c r="K590" s="615"/>
      <c r="L590" s="610"/>
      <c r="M590" s="611"/>
      <c r="N590" s="616" t="s">
        <v>3338</v>
      </c>
      <c r="O590" s="616" t="s">
        <v>1541</v>
      </c>
      <c r="P590" s="611" t="s">
        <v>3096</v>
      </c>
      <c r="Q590" s="597"/>
      <c r="R590" s="597"/>
      <c r="S590" s="597"/>
      <c r="T590" s="597"/>
      <c r="U590" s="597"/>
      <c r="V590" s="597"/>
      <c r="W590" s="597"/>
      <c r="X590" s="597"/>
      <c r="Y590" s="597"/>
      <c r="Z590" s="597"/>
      <c r="AA590" s="597"/>
    </row>
    <row r="591" spans="1:27" ht="12" customHeight="1">
      <c r="A591" s="597"/>
      <c r="B591" s="598"/>
      <c r="C591" s="597"/>
      <c r="D591" s="597"/>
      <c r="E591" s="597"/>
      <c r="F591" s="597"/>
      <c r="G591" s="597"/>
      <c r="H591" s="597"/>
      <c r="I591" s="597"/>
      <c r="J591" s="614" t="s">
        <v>3337</v>
      </c>
      <c r="K591" s="615"/>
      <c r="L591" s="610"/>
      <c r="M591" s="611"/>
      <c r="N591" s="616" t="s">
        <v>2338</v>
      </c>
      <c r="O591" s="616" t="s">
        <v>2450</v>
      </c>
      <c r="P591" s="611" t="s">
        <v>3097</v>
      </c>
      <c r="Q591" s="597"/>
      <c r="R591" s="597"/>
      <c r="S591" s="597"/>
      <c r="T591" s="597"/>
      <c r="U591" s="597"/>
      <c r="V591" s="597"/>
      <c r="W591" s="597"/>
      <c r="X591" s="597"/>
      <c r="Y591" s="597"/>
      <c r="Z591" s="597"/>
      <c r="AA591" s="597"/>
    </row>
    <row r="592" spans="1:27" ht="12" customHeight="1">
      <c r="A592" s="597"/>
      <c r="B592" s="598"/>
      <c r="C592" s="597"/>
      <c r="D592" s="597"/>
      <c r="E592" s="597"/>
      <c r="F592" s="597"/>
      <c r="G592" s="597"/>
      <c r="H592" s="597"/>
      <c r="I592" s="597"/>
      <c r="J592" s="614" t="s">
        <v>1279</v>
      </c>
      <c r="K592" s="615"/>
      <c r="L592" s="610"/>
      <c r="M592" s="611"/>
      <c r="N592" s="616" t="s">
        <v>2050</v>
      </c>
      <c r="O592" s="616" t="s">
        <v>1542</v>
      </c>
      <c r="P592" s="611" t="s">
        <v>3098</v>
      </c>
      <c r="Q592" s="597"/>
      <c r="R592" s="597"/>
      <c r="S592" s="597"/>
      <c r="T592" s="597"/>
      <c r="U592" s="597"/>
      <c r="V592" s="597"/>
      <c r="W592" s="597"/>
      <c r="X592" s="597"/>
      <c r="Y592" s="597"/>
      <c r="Z592" s="597"/>
      <c r="AA592" s="597"/>
    </row>
    <row r="593" spans="1:27" ht="12" customHeight="1">
      <c r="A593" s="597"/>
      <c r="B593" s="598"/>
      <c r="C593" s="597"/>
      <c r="D593" s="597"/>
      <c r="E593" s="597"/>
      <c r="F593" s="597"/>
      <c r="G593" s="597"/>
      <c r="H593" s="597"/>
      <c r="I593" s="597"/>
      <c r="J593" s="614" t="s">
        <v>2049</v>
      </c>
      <c r="K593" s="615"/>
      <c r="L593" s="610"/>
      <c r="M593" s="611"/>
      <c r="N593" s="616" t="s">
        <v>2052</v>
      </c>
      <c r="O593" s="616" t="s">
        <v>2150</v>
      </c>
      <c r="P593" s="611" t="s">
        <v>2052</v>
      </c>
      <c r="Q593" s="597"/>
      <c r="R593" s="597"/>
      <c r="S593" s="597"/>
      <c r="T593" s="597"/>
      <c r="U593" s="597"/>
      <c r="V593" s="597"/>
      <c r="W593" s="597"/>
      <c r="X593" s="597"/>
      <c r="Y593" s="597"/>
      <c r="Z593" s="597"/>
      <c r="AA593" s="597"/>
    </row>
    <row r="594" spans="1:27" ht="12" customHeight="1">
      <c r="A594" s="597"/>
      <c r="B594" s="598"/>
      <c r="C594" s="597"/>
      <c r="D594" s="597"/>
      <c r="E594" s="597"/>
      <c r="F594" s="597"/>
      <c r="G594" s="597"/>
      <c r="H594" s="597"/>
      <c r="I594" s="597"/>
      <c r="J594" s="614" t="s">
        <v>2051</v>
      </c>
      <c r="K594" s="615"/>
      <c r="L594" s="610"/>
      <c r="M594" s="611"/>
      <c r="N594" s="616" t="s">
        <v>2054</v>
      </c>
      <c r="O594" s="616" t="s">
        <v>3075</v>
      </c>
      <c r="P594" s="611" t="s">
        <v>2054</v>
      </c>
      <c r="Q594" s="597"/>
      <c r="R594" s="597"/>
      <c r="S594" s="597"/>
      <c r="T594" s="597"/>
      <c r="U594" s="597"/>
      <c r="V594" s="597"/>
      <c r="W594" s="597"/>
      <c r="X594" s="597"/>
      <c r="Y594" s="597"/>
      <c r="Z594" s="597"/>
      <c r="AA594" s="597"/>
    </row>
    <row r="595" spans="1:27" ht="12" customHeight="1">
      <c r="A595" s="597"/>
      <c r="B595" s="598"/>
      <c r="C595" s="597"/>
      <c r="D595" s="597"/>
      <c r="E595" s="597"/>
      <c r="F595" s="597"/>
      <c r="G595" s="597"/>
      <c r="H595" s="597"/>
      <c r="I595" s="597"/>
      <c r="J595" s="614" t="s">
        <v>2053</v>
      </c>
      <c r="K595" s="615"/>
      <c r="L595" s="610"/>
      <c r="M595" s="611"/>
      <c r="N595" s="616" t="s">
        <v>1853</v>
      </c>
      <c r="O595" s="616" t="s">
        <v>1402</v>
      </c>
      <c r="P595" s="611" t="s">
        <v>3099</v>
      </c>
      <c r="Q595" s="597"/>
      <c r="R595" s="597"/>
      <c r="S595" s="597"/>
      <c r="T595" s="597"/>
      <c r="U595" s="597"/>
      <c r="V595" s="597"/>
      <c r="W595" s="597"/>
      <c r="X595" s="597"/>
      <c r="Y595" s="597"/>
      <c r="Z595" s="597"/>
      <c r="AA595" s="597"/>
    </row>
    <row r="596" spans="1:27" ht="12" customHeight="1">
      <c r="A596" s="597"/>
      <c r="B596" s="598"/>
      <c r="C596" s="597"/>
      <c r="D596" s="597"/>
      <c r="E596" s="597"/>
      <c r="F596" s="597"/>
      <c r="G596" s="597"/>
      <c r="H596" s="597"/>
      <c r="I596" s="597"/>
      <c r="J596" s="614" t="s">
        <v>1852</v>
      </c>
      <c r="K596" s="615"/>
      <c r="L596" s="610"/>
      <c r="M596" s="611"/>
      <c r="N596" s="616" t="s">
        <v>1090</v>
      </c>
      <c r="O596" s="616" t="s">
        <v>1706</v>
      </c>
      <c r="P596" s="611" t="s">
        <v>3100</v>
      </c>
      <c r="Q596" s="597"/>
      <c r="R596" s="597"/>
      <c r="S596" s="597"/>
      <c r="T596" s="597"/>
      <c r="U596" s="597"/>
      <c r="V596" s="597"/>
      <c r="W596" s="597"/>
      <c r="X596" s="597"/>
      <c r="Y596" s="597"/>
      <c r="Z596" s="597"/>
      <c r="AA596" s="597"/>
    </row>
    <row r="597" spans="1:27" ht="12" customHeight="1">
      <c r="A597" s="597"/>
      <c r="B597" s="598"/>
      <c r="C597" s="597"/>
      <c r="D597" s="597"/>
      <c r="E597" s="597"/>
      <c r="F597" s="597"/>
      <c r="G597" s="597"/>
      <c r="H597" s="597"/>
      <c r="I597" s="597"/>
      <c r="J597" s="614" t="s">
        <v>1089</v>
      </c>
      <c r="K597" s="615"/>
      <c r="L597" s="610"/>
      <c r="M597" s="611"/>
      <c r="N597" s="616" t="s">
        <v>1092</v>
      </c>
      <c r="O597" s="616" t="s">
        <v>2156</v>
      </c>
      <c r="P597" s="611" t="s">
        <v>3101</v>
      </c>
      <c r="Q597" s="597"/>
      <c r="R597" s="597"/>
      <c r="S597" s="597"/>
      <c r="T597" s="597"/>
      <c r="U597" s="597"/>
      <c r="V597" s="597"/>
      <c r="W597" s="597"/>
      <c r="X597" s="597"/>
      <c r="Y597" s="597"/>
      <c r="Z597" s="597"/>
      <c r="AA597" s="597"/>
    </row>
    <row r="598" spans="1:27" ht="12" customHeight="1">
      <c r="A598" s="597"/>
      <c r="B598" s="598"/>
      <c r="C598" s="597"/>
      <c r="D598" s="597"/>
      <c r="E598" s="597"/>
      <c r="F598" s="597"/>
      <c r="G598" s="597"/>
      <c r="H598" s="597"/>
      <c r="I598" s="597"/>
      <c r="J598" s="614" t="s">
        <v>1091</v>
      </c>
      <c r="K598" s="615"/>
      <c r="L598" s="610"/>
      <c r="M598" s="611"/>
      <c r="N598" s="616" t="s">
        <v>2040</v>
      </c>
      <c r="O598" s="616" t="s">
        <v>3746</v>
      </c>
      <c r="P598" s="611" t="s">
        <v>3102</v>
      </c>
      <c r="Q598" s="597"/>
      <c r="R598" s="498" t="s">
        <v>3948</v>
      </c>
      <c r="S598" s="498" t="s">
        <v>3950</v>
      </c>
      <c r="T598" s="498" t="s">
        <v>3949</v>
      </c>
      <c r="U598" s="597"/>
      <c r="V598" s="597"/>
      <c r="W598" s="597"/>
      <c r="X598" s="597"/>
      <c r="Y598" s="597"/>
      <c r="Z598" s="597"/>
      <c r="AA598" s="597"/>
    </row>
    <row r="599" spans="1:27" ht="12" customHeight="1">
      <c r="A599" s="597"/>
      <c r="B599" s="598"/>
      <c r="C599" s="597"/>
      <c r="D599" s="597"/>
      <c r="E599" s="597"/>
      <c r="F599" s="597"/>
      <c r="G599" s="597"/>
      <c r="H599" s="597"/>
      <c r="I599" s="597"/>
      <c r="J599" s="614" t="s">
        <v>1093</v>
      </c>
      <c r="K599" s="615"/>
      <c r="L599" s="610"/>
      <c r="M599" s="611"/>
      <c r="N599" s="616" t="s">
        <v>2042</v>
      </c>
      <c r="O599" s="616" t="s">
        <v>3743</v>
      </c>
      <c r="P599" s="611" t="s">
        <v>3103</v>
      </c>
      <c r="Q599" s="597"/>
      <c r="R599" s="498" t="s">
        <v>665</v>
      </c>
      <c r="S599" s="498" t="s">
        <v>3225</v>
      </c>
      <c r="T599" s="1363" t="s">
        <v>967</v>
      </c>
      <c r="U599" s="597"/>
      <c r="V599" s="597"/>
      <c r="W599" s="597"/>
      <c r="X599" s="597"/>
      <c r="Y599" s="597"/>
      <c r="Z599" s="597"/>
      <c r="AA599" s="597"/>
    </row>
    <row r="600" spans="1:27" ht="12" customHeight="1">
      <c r="A600" s="597"/>
      <c r="B600" s="598"/>
      <c r="C600" s="597"/>
      <c r="D600" s="597"/>
      <c r="E600" s="597"/>
      <c r="F600" s="597"/>
      <c r="G600" s="597"/>
      <c r="H600" s="597"/>
      <c r="I600" s="597"/>
      <c r="J600" s="614" t="s">
        <v>2041</v>
      </c>
      <c r="K600" s="615"/>
      <c r="L600" s="610"/>
      <c r="M600" s="611"/>
      <c r="N600" s="498" t="s">
        <v>2555</v>
      </c>
      <c r="O600" s="498" t="s">
        <v>1544</v>
      </c>
      <c r="P600" s="1363" t="s">
        <v>967</v>
      </c>
      <c r="Q600" s="597"/>
      <c r="R600" s="498" t="s">
        <v>666</v>
      </c>
      <c r="S600" s="498" t="s">
        <v>3742</v>
      </c>
      <c r="T600" s="1363" t="s">
        <v>967</v>
      </c>
      <c r="U600" s="597"/>
      <c r="V600" s="597"/>
      <c r="W600" s="597"/>
      <c r="X600" s="597"/>
      <c r="Y600" s="597"/>
      <c r="Z600" s="597"/>
      <c r="AA600" s="597"/>
    </row>
    <row r="601" spans="1:27" ht="12" customHeight="1">
      <c r="A601" s="597"/>
      <c r="B601" s="598"/>
      <c r="C601" s="597"/>
      <c r="D601" s="597"/>
      <c r="E601" s="597"/>
      <c r="F601" s="597"/>
      <c r="G601" s="597"/>
      <c r="H601" s="597"/>
      <c r="I601" s="597"/>
      <c r="J601" s="614" t="s">
        <v>2043</v>
      </c>
      <c r="K601" s="615"/>
      <c r="L601" s="610"/>
      <c r="M601" s="611"/>
      <c r="N601" s="616" t="s">
        <v>2044</v>
      </c>
      <c r="O601" s="616" t="s">
        <v>3225</v>
      </c>
      <c r="P601" s="611" t="s">
        <v>3104</v>
      </c>
      <c r="Q601" s="597"/>
      <c r="R601" s="498" t="s">
        <v>467</v>
      </c>
      <c r="S601" s="498" t="s">
        <v>790</v>
      </c>
      <c r="T601" s="1363" t="s">
        <v>967</v>
      </c>
      <c r="U601" s="597"/>
      <c r="V601" s="597"/>
      <c r="W601" s="597"/>
      <c r="X601" s="597"/>
      <c r="Y601" s="597"/>
      <c r="Z601" s="597"/>
      <c r="AA601" s="597"/>
    </row>
    <row r="602" spans="1:27" ht="12" customHeight="1">
      <c r="A602" s="597"/>
      <c r="B602" s="598"/>
      <c r="C602" s="597"/>
      <c r="D602" s="597"/>
      <c r="E602" s="597"/>
      <c r="F602" s="597"/>
      <c r="G602" s="597"/>
      <c r="H602" s="597"/>
      <c r="I602" s="597"/>
      <c r="J602" s="614" t="s">
        <v>1958</v>
      </c>
      <c r="K602" s="615"/>
      <c r="L602" s="610"/>
      <c r="M602" s="611"/>
      <c r="N602" s="616" t="s">
        <v>1959</v>
      </c>
      <c r="O602" s="616" t="s">
        <v>3738</v>
      </c>
      <c r="P602" s="611" t="s">
        <v>3105</v>
      </c>
      <c r="Q602" s="597"/>
      <c r="R602" s="498" t="s">
        <v>468</v>
      </c>
      <c r="S602" s="498"/>
      <c r="T602" s="1363" t="s">
        <v>967</v>
      </c>
      <c r="U602" s="597"/>
      <c r="V602" s="597"/>
      <c r="W602" s="597"/>
      <c r="X602" s="597"/>
      <c r="Y602" s="597"/>
      <c r="Z602" s="597"/>
      <c r="AA602" s="597"/>
    </row>
    <row r="603" spans="1:27" ht="12" customHeight="1">
      <c r="A603" s="597"/>
      <c r="B603" s="598"/>
      <c r="C603" s="597"/>
      <c r="D603" s="597"/>
      <c r="E603" s="597"/>
      <c r="F603" s="597"/>
      <c r="G603" s="597"/>
      <c r="H603" s="597"/>
      <c r="I603" s="597"/>
      <c r="J603" s="614" t="s">
        <v>1960</v>
      </c>
      <c r="K603" s="615"/>
      <c r="L603" s="610"/>
      <c r="M603" s="611"/>
      <c r="N603" s="616" t="s">
        <v>1278</v>
      </c>
      <c r="O603" s="616" t="s">
        <v>2643</v>
      </c>
      <c r="P603" s="611" t="s">
        <v>2953</v>
      </c>
      <c r="Q603" s="597"/>
      <c r="R603" s="498" t="s">
        <v>469</v>
      </c>
      <c r="S603" s="498" t="s">
        <v>1176</v>
      </c>
      <c r="T603" s="1363" t="s">
        <v>967</v>
      </c>
      <c r="U603" s="597"/>
      <c r="V603" s="597"/>
      <c r="W603" s="597"/>
      <c r="X603" s="597"/>
      <c r="Y603" s="597"/>
      <c r="Z603" s="597"/>
      <c r="AA603" s="597"/>
    </row>
    <row r="604" spans="1:27" ht="12" customHeight="1">
      <c r="A604" s="597"/>
      <c r="B604" s="598"/>
      <c r="C604" s="597"/>
      <c r="D604" s="597"/>
      <c r="E604" s="597"/>
      <c r="F604" s="597"/>
      <c r="G604" s="597"/>
      <c r="H604" s="597"/>
      <c r="I604" s="597"/>
      <c r="J604" s="614" t="s">
        <v>1277</v>
      </c>
      <c r="K604" s="615"/>
      <c r="L604" s="610"/>
      <c r="M604" s="611"/>
      <c r="N604" s="616" t="s">
        <v>1287</v>
      </c>
      <c r="O604" s="616" t="s">
        <v>1245</v>
      </c>
      <c r="P604" s="611" t="s">
        <v>2954</v>
      </c>
      <c r="Q604" s="597"/>
      <c r="R604" s="498" t="s">
        <v>470</v>
      </c>
      <c r="S604" s="498" t="s">
        <v>790</v>
      </c>
      <c r="T604" s="1363" t="s">
        <v>967</v>
      </c>
      <c r="U604" s="597"/>
      <c r="V604" s="597"/>
      <c r="W604" s="597"/>
      <c r="X604" s="597"/>
      <c r="Y604" s="597"/>
      <c r="Z604" s="597"/>
      <c r="AA604" s="597"/>
    </row>
    <row r="605" spans="1:27" ht="12" customHeight="1">
      <c r="A605" s="597"/>
      <c r="B605" s="598"/>
      <c r="C605" s="597"/>
      <c r="D605" s="597"/>
      <c r="E605" s="597"/>
      <c r="F605" s="597"/>
      <c r="G605" s="597"/>
      <c r="H605" s="597"/>
      <c r="I605" s="597"/>
      <c r="J605" s="614" t="s">
        <v>1286</v>
      </c>
      <c r="K605" s="615"/>
      <c r="L605" s="610"/>
      <c r="M605" s="611"/>
      <c r="N605" s="616" t="s">
        <v>3556</v>
      </c>
      <c r="O605" s="616" t="s">
        <v>1245</v>
      </c>
      <c r="P605" s="611" t="s">
        <v>2955</v>
      </c>
      <c r="Q605" s="597"/>
      <c r="R605" s="498" t="s">
        <v>471</v>
      </c>
      <c r="S605" s="498" t="s">
        <v>2158</v>
      </c>
      <c r="T605" s="1363" t="s">
        <v>967</v>
      </c>
      <c r="U605" s="597"/>
      <c r="V605" s="597"/>
      <c r="W605" s="597"/>
      <c r="X605" s="597"/>
      <c r="Y605" s="597"/>
      <c r="Z605" s="597"/>
      <c r="AA605" s="597"/>
    </row>
    <row r="606" spans="1:27" ht="12" customHeight="1">
      <c r="A606" s="597"/>
      <c r="B606" s="598"/>
      <c r="C606" s="597"/>
      <c r="D606" s="597"/>
      <c r="E606" s="597"/>
      <c r="F606" s="597"/>
      <c r="G606" s="597"/>
      <c r="H606" s="597"/>
      <c r="I606" s="597"/>
      <c r="J606" s="614" t="s">
        <v>3555</v>
      </c>
      <c r="K606" s="615"/>
      <c r="L606" s="610"/>
      <c r="M606" s="611"/>
      <c r="N606" s="616" t="s">
        <v>1574</v>
      </c>
      <c r="O606" s="616" t="s">
        <v>1018</v>
      </c>
      <c r="P606" s="611" t="s">
        <v>2956</v>
      </c>
      <c r="Q606" s="597"/>
      <c r="R606" s="498" t="s">
        <v>472</v>
      </c>
      <c r="S606" s="498" t="s">
        <v>1178</v>
      </c>
      <c r="T606" s="1363" t="s">
        <v>967</v>
      </c>
      <c r="U606" s="597"/>
      <c r="V606" s="597"/>
      <c r="W606" s="597"/>
      <c r="X606" s="597"/>
      <c r="Y606" s="597"/>
      <c r="Z606" s="597"/>
      <c r="AA606" s="597"/>
    </row>
    <row r="607" spans="1:27" ht="12" customHeight="1">
      <c r="A607" s="597"/>
      <c r="B607" s="598"/>
      <c r="C607" s="597"/>
      <c r="D607" s="597"/>
      <c r="E607" s="597"/>
      <c r="F607" s="597"/>
      <c r="G607" s="597"/>
      <c r="H607" s="597"/>
      <c r="I607" s="597"/>
      <c r="J607" s="614" t="s">
        <v>1573</v>
      </c>
      <c r="K607" s="615"/>
      <c r="L607" s="610"/>
      <c r="M607" s="611"/>
      <c r="N607" s="616" t="s">
        <v>3796</v>
      </c>
      <c r="O607" s="616" t="s">
        <v>3176</v>
      </c>
      <c r="P607" s="611" t="s">
        <v>2957</v>
      </c>
      <c r="Q607" s="597"/>
      <c r="R607" s="498" t="s">
        <v>473</v>
      </c>
      <c r="S607" s="498" t="s">
        <v>3175</v>
      </c>
      <c r="T607" s="1363" t="s">
        <v>967</v>
      </c>
      <c r="U607" s="597"/>
      <c r="V607" s="597"/>
      <c r="W607" s="597"/>
      <c r="X607" s="597"/>
      <c r="Y607" s="597"/>
      <c r="Z607" s="597"/>
      <c r="AA607" s="597"/>
    </row>
    <row r="608" spans="1:27" ht="12" customHeight="1">
      <c r="A608" s="597"/>
      <c r="B608" s="598"/>
      <c r="C608" s="597"/>
      <c r="D608" s="597"/>
      <c r="E608" s="597"/>
      <c r="F608" s="597"/>
      <c r="G608" s="597"/>
      <c r="H608" s="597"/>
      <c r="I608" s="597"/>
      <c r="J608" s="614" t="s">
        <v>3795</v>
      </c>
      <c r="K608" s="615"/>
      <c r="L608" s="610"/>
      <c r="M608" s="611"/>
      <c r="N608" s="616" t="s">
        <v>2343</v>
      </c>
      <c r="O608" s="616" t="s">
        <v>3894</v>
      </c>
      <c r="P608" s="611" t="s">
        <v>2958</v>
      </c>
      <c r="Q608" s="597"/>
      <c r="R608" s="498" t="s">
        <v>474</v>
      </c>
      <c r="S608" s="498" t="s">
        <v>3225</v>
      </c>
      <c r="T608" s="1363" t="s">
        <v>967</v>
      </c>
      <c r="U608" s="597"/>
      <c r="V608" s="597"/>
      <c r="W608" s="597"/>
      <c r="X608" s="597"/>
      <c r="Y608" s="597"/>
      <c r="Z608" s="597"/>
      <c r="AA608" s="597"/>
    </row>
    <row r="609" spans="1:27" ht="12" customHeight="1">
      <c r="A609" s="597"/>
      <c r="B609" s="598"/>
      <c r="C609" s="597"/>
      <c r="D609" s="597"/>
      <c r="E609" s="597"/>
      <c r="F609" s="597"/>
      <c r="G609" s="597"/>
      <c r="H609" s="597"/>
      <c r="I609" s="597"/>
      <c r="J609" s="614" t="s">
        <v>3704</v>
      </c>
      <c r="K609" s="615"/>
      <c r="L609" s="610"/>
      <c r="M609" s="611"/>
      <c r="N609" s="616" t="s">
        <v>2345</v>
      </c>
      <c r="O609" s="616" t="s">
        <v>3894</v>
      </c>
      <c r="P609" s="611" t="s">
        <v>2959</v>
      </c>
      <c r="Q609" s="597"/>
      <c r="R609" s="498" t="s">
        <v>475</v>
      </c>
      <c r="S609" s="498" t="s">
        <v>1013</v>
      </c>
      <c r="T609" s="1363" t="s">
        <v>967</v>
      </c>
      <c r="U609" s="597"/>
      <c r="V609" s="597"/>
      <c r="W609" s="597"/>
      <c r="X609" s="597"/>
      <c r="Y609" s="597"/>
      <c r="Z609" s="597"/>
      <c r="AA609" s="597"/>
    </row>
    <row r="610" spans="1:27" ht="12" customHeight="1">
      <c r="A610" s="597"/>
      <c r="B610" s="598"/>
      <c r="C610" s="597"/>
      <c r="D610" s="597"/>
      <c r="E610" s="597"/>
      <c r="F610" s="597"/>
      <c r="G610" s="597"/>
      <c r="H610" s="597"/>
      <c r="I610" s="597"/>
      <c r="J610" s="614" t="s">
        <v>2344</v>
      </c>
      <c r="K610" s="615"/>
      <c r="L610" s="610"/>
      <c r="M610" s="611"/>
      <c r="N610" s="616" t="s">
        <v>3007</v>
      </c>
      <c r="O610" s="616" t="s">
        <v>2158</v>
      </c>
      <c r="P610" s="611" t="s">
        <v>2960</v>
      </c>
      <c r="Q610" s="597"/>
      <c r="R610" s="498" t="s">
        <v>476</v>
      </c>
      <c r="S610" s="498" t="s">
        <v>524</v>
      </c>
      <c r="T610" s="1363" t="s">
        <v>967</v>
      </c>
      <c r="U610" s="597"/>
      <c r="V610" s="597"/>
      <c r="W610" s="597"/>
      <c r="X610" s="597"/>
      <c r="Y610" s="597"/>
      <c r="Z610" s="597"/>
      <c r="AA610" s="597"/>
    </row>
    <row r="611" spans="1:27" ht="12" customHeight="1">
      <c r="A611" s="597"/>
      <c r="B611" s="598"/>
      <c r="C611" s="597"/>
      <c r="D611" s="597"/>
      <c r="E611" s="597"/>
      <c r="F611" s="597"/>
      <c r="G611" s="597"/>
      <c r="H611" s="597"/>
      <c r="I611" s="597"/>
      <c r="J611" s="614" t="s">
        <v>3006</v>
      </c>
      <c r="K611" s="615"/>
      <c r="L611" s="610"/>
      <c r="M611" s="611"/>
      <c r="N611" s="616" t="s">
        <v>3647</v>
      </c>
      <c r="O611" s="616" t="s">
        <v>423</v>
      </c>
      <c r="P611" s="611" t="s">
        <v>2961</v>
      </c>
      <c r="Q611" s="597"/>
      <c r="R611" s="498" t="s">
        <v>1000</v>
      </c>
      <c r="S611" s="498" t="s">
        <v>521</v>
      </c>
      <c r="T611" s="1363" t="s">
        <v>967</v>
      </c>
      <c r="U611" s="597"/>
      <c r="V611" s="597"/>
      <c r="W611" s="597"/>
      <c r="X611" s="597"/>
      <c r="Y611" s="597"/>
      <c r="Z611" s="597"/>
      <c r="AA611" s="597"/>
    </row>
    <row r="612" spans="1:27" ht="12" customHeight="1">
      <c r="A612" s="597"/>
      <c r="B612" s="598"/>
      <c r="C612" s="597"/>
      <c r="D612" s="597"/>
      <c r="E612" s="597"/>
      <c r="F612" s="597"/>
      <c r="G612" s="597"/>
      <c r="H612" s="597"/>
      <c r="I612" s="597"/>
      <c r="J612" s="614" t="s">
        <v>3008</v>
      </c>
      <c r="K612" s="615"/>
      <c r="L612" s="610"/>
      <c r="M612" s="611"/>
      <c r="N612" s="616" t="s">
        <v>2512</v>
      </c>
      <c r="O612" s="616" t="s">
        <v>681</v>
      </c>
      <c r="P612" s="611" t="s">
        <v>2962</v>
      </c>
      <c r="Q612" s="597"/>
      <c r="R612" s="498" t="s">
        <v>477</v>
      </c>
      <c r="S612" s="498" t="s">
        <v>1013</v>
      </c>
      <c r="T612" s="1363" t="s">
        <v>967</v>
      </c>
      <c r="U612" s="597"/>
      <c r="V612" s="597"/>
      <c r="W612" s="597"/>
      <c r="X612" s="597"/>
      <c r="Y612" s="597"/>
      <c r="Z612" s="597"/>
      <c r="AA612" s="597"/>
    </row>
    <row r="613" spans="1:27" ht="12" customHeight="1">
      <c r="A613" s="597"/>
      <c r="B613" s="598"/>
      <c r="C613" s="597"/>
      <c r="D613" s="597"/>
      <c r="E613" s="597"/>
      <c r="F613" s="597"/>
      <c r="G613" s="597"/>
      <c r="H613" s="597"/>
      <c r="I613" s="597"/>
      <c r="J613" s="614" t="s">
        <v>2511</v>
      </c>
      <c r="K613" s="615"/>
      <c r="L613" s="610"/>
      <c r="M613" s="611"/>
      <c r="N613" s="616" t="s">
        <v>1512</v>
      </c>
      <c r="O613" s="616" t="s">
        <v>667</v>
      </c>
      <c r="P613" s="611" t="s">
        <v>2963</v>
      </c>
      <c r="Q613" s="597"/>
      <c r="R613" s="498" t="s">
        <v>478</v>
      </c>
      <c r="S613" s="498" t="s">
        <v>667</v>
      </c>
      <c r="T613" s="1363" t="s">
        <v>967</v>
      </c>
      <c r="U613" s="597"/>
      <c r="V613" s="597"/>
      <c r="W613" s="597"/>
      <c r="X613" s="597"/>
      <c r="Y613" s="597"/>
      <c r="Z613" s="597"/>
      <c r="AA613" s="597"/>
    </row>
    <row r="614" spans="1:27" ht="12" customHeight="1">
      <c r="A614" s="597"/>
      <c r="B614" s="598"/>
      <c r="C614" s="597"/>
      <c r="D614" s="597"/>
      <c r="E614" s="597"/>
      <c r="F614" s="597"/>
      <c r="G614" s="597"/>
      <c r="H614" s="597"/>
      <c r="I614" s="597"/>
      <c r="J614" s="614" t="s">
        <v>2513</v>
      </c>
      <c r="K614" s="615"/>
      <c r="L614" s="610"/>
      <c r="M614" s="611"/>
      <c r="N614" s="616" t="s">
        <v>1446</v>
      </c>
      <c r="O614" s="616" t="s">
        <v>3983</v>
      </c>
      <c r="P614" s="1362" t="s">
        <v>2846</v>
      </c>
      <c r="Q614" s="597"/>
      <c r="R614" s="498" t="s">
        <v>479</v>
      </c>
      <c r="S614" s="498" t="s">
        <v>1176</v>
      </c>
      <c r="T614" s="1363" t="s">
        <v>967</v>
      </c>
      <c r="U614" s="597"/>
      <c r="V614" s="597"/>
      <c r="W614" s="597"/>
      <c r="X614" s="597"/>
      <c r="Y614" s="597"/>
      <c r="Z614" s="597"/>
      <c r="AA614" s="597"/>
    </row>
    <row r="615" spans="1:27" ht="12" customHeight="1">
      <c r="A615" s="597"/>
      <c r="B615" s="598"/>
      <c r="C615" s="597"/>
      <c r="D615" s="597"/>
      <c r="E615" s="597"/>
      <c r="F615" s="597"/>
      <c r="G615" s="597"/>
      <c r="H615" s="597"/>
      <c r="I615" s="597"/>
      <c r="J615" s="614" t="s">
        <v>1445</v>
      </c>
      <c r="K615" s="615"/>
      <c r="L615" s="610"/>
      <c r="M615" s="611"/>
      <c r="N615" s="616" t="s">
        <v>2455</v>
      </c>
      <c r="O615" s="616" t="s">
        <v>2823</v>
      </c>
      <c r="P615" s="611" t="s">
        <v>2964</v>
      </c>
      <c r="Q615" s="597"/>
      <c r="R615" s="498" t="s">
        <v>2536</v>
      </c>
      <c r="S615" s="498" t="s">
        <v>2059</v>
      </c>
      <c r="T615" s="1363" t="s">
        <v>967</v>
      </c>
      <c r="U615" s="597"/>
      <c r="V615" s="597"/>
      <c r="W615" s="597"/>
      <c r="X615" s="597"/>
      <c r="Y615" s="597"/>
      <c r="Z615" s="597"/>
      <c r="AA615" s="597"/>
    </row>
    <row r="616" spans="1:27" ht="12" customHeight="1">
      <c r="A616" s="597"/>
      <c r="B616" s="598"/>
      <c r="C616" s="597"/>
      <c r="D616" s="597"/>
      <c r="E616" s="597"/>
      <c r="F616" s="597"/>
      <c r="G616" s="597"/>
      <c r="H616" s="597"/>
      <c r="I616" s="597"/>
      <c r="J616" s="614" t="s">
        <v>1447</v>
      </c>
      <c r="K616" s="615"/>
      <c r="L616" s="610"/>
      <c r="M616" s="611"/>
      <c r="N616" s="498" t="s">
        <v>2556</v>
      </c>
      <c r="O616" s="498" t="s">
        <v>2645</v>
      </c>
      <c r="P616" s="1363" t="s">
        <v>967</v>
      </c>
      <c r="Q616" s="597"/>
      <c r="R616" s="498" t="s">
        <v>2668</v>
      </c>
      <c r="S616" s="498" t="s">
        <v>2459</v>
      </c>
      <c r="T616" s="1363" t="s">
        <v>967</v>
      </c>
      <c r="U616" s="597"/>
      <c r="V616" s="597"/>
      <c r="W616" s="597"/>
      <c r="X616" s="597"/>
      <c r="Y616" s="597"/>
      <c r="Z616" s="597"/>
      <c r="AA616" s="597"/>
    </row>
    <row r="617" spans="1:27" ht="12" customHeight="1">
      <c r="A617" s="597"/>
      <c r="B617" s="598"/>
      <c r="C617" s="597"/>
      <c r="D617" s="597"/>
      <c r="E617" s="597"/>
      <c r="F617" s="597"/>
      <c r="G617" s="597"/>
      <c r="H617" s="597"/>
      <c r="I617" s="597"/>
      <c r="J617" s="614" t="s">
        <v>1448</v>
      </c>
      <c r="K617" s="615"/>
      <c r="L617" s="610"/>
      <c r="M617" s="611"/>
      <c r="N617" s="616" t="s">
        <v>2459</v>
      </c>
      <c r="O617" s="616" t="s">
        <v>2155</v>
      </c>
      <c r="P617" s="611" t="s">
        <v>2965</v>
      </c>
      <c r="Q617" s="597"/>
      <c r="R617" s="498" t="s">
        <v>2537</v>
      </c>
      <c r="S617" s="498" t="s">
        <v>3225</v>
      </c>
      <c r="T617" s="1363" t="s">
        <v>967</v>
      </c>
      <c r="U617" s="597"/>
      <c r="V617" s="597"/>
      <c r="W617" s="597"/>
      <c r="X617" s="597"/>
      <c r="Y617" s="597"/>
      <c r="Z617" s="597"/>
      <c r="AA617" s="597"/>
    </row>
    <row r="618" spans="1:27" ht="12" customHeight="1">
      <c r="A618" s="597"/>
      <c r="B618" s="598"/>
      <c r="C618" s="597"/>
      <c r="D618" s="597"/>
      <c r="E618" s="597"/>
      <c r="F618" s="597"/>
      <c r="G618" s="597"/>
      <c r="H618" s="597"/>
      <c r="I618" s="597"/>
      <c r="J618" s="614" t="s">
        <v>2393</v>
      </c>
      <c r="K618" s="615"/>
      <c r="L618" s="610"/>
      <c r="M618" s="611"/>
      <c r="N618" s="616" t="s">
        <v>3552</v>
      </c>
      <c r="O618" s="616" t="s">
        <v>3176</v>
      </c>
      <c r="P618" s="611" t="s">
        <v>2966</v>
      </c>
      <c r="Q618" s="597"/>
      <c r="R618" s="498" t="s">
        <v>2538</v>
      </c>
      <c r="S618" s="498" t="s">
        <v>1330</v>
      </c>
      <c r="T618" s="1363" t="s">
        <v>967</v>
      </c>
      <c r="U618" s="597"/>
      <c r="V618" s="597"/>
      <c r="W618" s="597"/>
      <c r="X618" s="597"/>
      <c r="Y618" s="597"/>
      <c r="Z618" s="597"/>
      <c r="AA618" s="597"/>
    </row>
    <row r="619" spans="1:27" ht="12" customHeight="1">
      <c r="A619" s="597"/>
      <c r="B619" s="598"/>
      <c r="C619" s="597"/>
      <c r="D619" s="597"/>
      <c r="E619" s="597"/>
      <c r="F619" s="597"/>
      <c r="G619" s="597"/>
      <c r="H619" s="597"/>
      <c r="I619" s="597"/>
      <c r="J619" s="614" t="s">
        <v>3551</v>
      </c>
      <c r="K619" s="615"/>
      <c r="L619" s="610"/>
      <c r="M619" s="611"/>
      <c r="N619" s="498" t="s">
        <v>2557</v>
      </c>
      <c r="O619" s="498" t="s">
        <v>3995</v>
      </c>
      <c r="P619" s="1363" t="s">
        <v>967</v>
      </c>
      <c r="Q619" s="597"/>
      <c r="R619" s="498" t="s">
        <v>2539</v>
      </c>
      <c r="S619" s="498" t="s">
        <v>1174</v>
      </c>
      <c r="T619" s="1363" t="s">
        <v>967</v>
      </c>
      <c r="U619" s="597"/>
      <c r="V619" s="597"/>
      <c r="W619" s="597"/>
      <c r="X619" s="597"/>
      <c r="Y619" s="597"/>
      <c r="Z619" s="597"/>
      <c r="AA619" s="597"/>
    </row>
    <row r="620" spans="1:27" ht="12" customHeight="1">
      <c r="A620" s="597"/>
      <c r="B620" s="598"/>
      <c r="C620" s="597"/>
      <c r="D620" s="597"/>
      <c r="E620" s="597"/>
      <c r="F620" s="597"/>
      <c r="G620" s="597"/>
      <c r="H620" s="597"/>
      <c r="I620" s="597"/>
      <c r="J620" s="614" t="s">
        <v>3957</v>
      </c>
      <c r="K620" s="615"/>
      <c r="L620" s="610"/>
      <c r="M620" s="611"/>
      <c r="N620" s="616" t="s">
        <v>3958</v>
      </c>
      <c r="O620" s="616" t="s">
        <v>2148</v>
      </c>
      <c r="P620" s="611" t="s">
        <v>3958</v>
      </c>
      <c r="Q620" s="597"/>
      <c r="R620" s="498" t="s">
        <v>2540</v>
      </c>
      <c r="S620" s="498" t="s">
        <v>2452</v>
      </c>
      <c r="T620" s="1363" t="s">
        <v>967</v>
      </c>
      <c r="U620" s="597"/>
      <c r="V620" s="597"/>
      <c r="W620" s="597"/>
      <c r="X620" s="597"/>
      <c r="Y620" s="597"/>
      <c r="Z620" s="597"/>
      <c r="AA620" s="597"/>
    </row>
    <row r="621" spans="1:27" ht="12" customHeight="1">
      <c r="A621" s="597"/>
      <c r="B621" s="598"/>
      <c r="C621" s="597"/>
      <c r="D621" s="597"/>
      <c r="E621" s="597"/>
      <c r="F621" s="597"/>
      <c r="G621" s="597"/>
      <c r="H621" s="597"/>
      <c r="I621" s="597"/>
      <c r="J621" s="614" t="s">
        <v>3959</v>
      </c>
      <c r="K621" s="615"/>
      <c r="L621" s="610"/>
      <c r="M621" s="611"/>
      <c r="N621" s="616" t="s">
        <v>3960</v>
      </c>
      <c r="O621" s="616" t="s">
        <v>677</v>
      </c>
      <c r="P621" s="611" t="s">
        <v>2967</v>
      </c>
      <c r="Q621" s="1364"/>
      <c r="R621" s="498" t="s">
        <v>2541</v>
      </c>
      <c r="S621" s="498" t="s">
        <v>1920</v>
      </c>
      <c r="T621" s="1363" t="s">
        <v>967</v>
      </c>
      <c r="U621" s="597"/>
      <c r="V621" s="597"/>
      <c r="W621" s="597"/>
      <c r="X621" s="597"/>
      <c r="Y621" s="597"/>
      <c r="Z621" s="597"/>
      <c r="AA621" s="597"/>
    </row>
    <row r="622" spans="1:27" ht="12" customHeight="1">
      <c r="A622" s="597"/>
      <c r="B622" s="598"/>
      <c r="C622" s="597"/>
      <c r="D622" s="597"/>
      <c r="E622" s="597"/>
      <c r="F622" s="597"/>
      <c r="G622" s="597"/>
      <c r="H622" s="597"/>
      <c r="I622" s="597"/>
      <c r="J622" s="614" t="s">
        <v>3961</v>
      </c>
      <c r="K622" s="615"/>
      <c r="L622" s="610"/>
      <c r="M622" s="611"/>
      <c r="N622" s="616" t="s">
        <v>3962</v>
      </c>
      <c r="O622" s="616" t="s">
        <v>1207</v>
      </c>
      <c r="P622" s="611" t="s">
        <v>2968</v>
      </c>
      <c r="Q622" s="597"/>
      <c r="R622" s="498" t="s">
        <v>2542</v>
      </c>
      <c r="S622" s="498" t="s">
        <v>790</v>
      </c>
      <c r="T622" s="1363" t="s">
        <v>967</v>
      </c>
      <c r="U622" s="597"/>
      <c r="V622" s="597"/>
      <c r="W622" s="597"/>
      <c r="X622" s="597"/>
      <c r="Y622" s="597"/>
      <c r="Z622" s="597"/>
      <c r="AA622" s="597"/>
    </row>
    <row r="623" spans="1:27" ht="12" customHeight="1">
      <c r="A623" s="597"/>
      <c r="B623" s="598"/>
      <c r="C623" s="597"/>
      <c r="D623" s="597"/>
      <c r="E623" s="597"/>
      <c r="F623" s="597"/>
      <c r="G623" s="597"/>
      <c r="H623" s="597"/>
      <c r="I623" s="597"/>
      <c r="J623" s="614" t="s">
        <v>3963</v>
      </c>
      <c r="K623" s="615"/>
      <c r="L623" s="610"/>
      <c r="M623" s="611"/>
      <c r="N623" s="498" t="s">
        <v>2558</v>
      </c>
      <c r="O623" s="498" t="s">
        <v>3225</v>
      </c>
      <c r="P623" s="1363" t="s">
        <v>967</v>
      </c>
      <c r="Q623" s="597"/>
      <c r="R623" s="498" t="s">
        <v>2543</v>
      </c>
      <c r="S623" s="498" t="s">
        <v>3894</v>
      </c>
      <c r="T623" s="1363" t="s">
        <v>967</v>
      </c>
      <c r="U623" s="597"/>
      <c r="V623" s="597"/>
      <c r="W623" s="597"/>
      <c r="X623" s="597"/>
      <c r="Y623" s="597"/>
      <c r="Z623" s="597"/>
      <c r="AA623" s="597"/>
    </row>
    <row r="624" spans="1:27" ht="12" customHeight="1">
      <c r="A624" s="597"/>
      <c r="B624" s="598"/>
      <c r="C624" s="597"/>
      <c r="D624" s="597"/>
      <c r="E624" s="597"/>
      <c r="F624" s="597"/>
      <c r="G624" s="597"/>
      <c r="H624" s="597"/>
      <c r="I624" s="597"/>
      <c r="J624" s="614" t="s">
        <v>970</v>
      </c>
      <c r="K624" s="615"/>
      <c r="L624" s="610"/>
      <c r="M624" s="611"/>
      <c r="N624" s="498" t="s">
        <v>2559</v>
      </c>
      <c r="O624" s="498" t="s">
        <v>3739</v>
      </c>
      <c r="P624" s="1363" t="s">
        <v>967</v>
      </c>
      <c r="Q624" s="597"/>
      <c r="R624" s="498" t="s">
        <v>2544</v>
      </c>
      <c r="S624" s="498" t="s">
        <v>2165</v>
      </c>
      <c r="T624" s="1363" t="s">
        <v>967</v>
      </c>
      <c r="U624" s="597"/>
      <c r="V624" s="597"/>
      <c r="W624" s="597"/>
      <c r="X624" s="597"/>
      <c r="Y624" s="597"/>
      <c r="Z624" s="597"/>
      <c r="AA624" s="597"/>
    </row>
    <row r="625" spans="1:27" ht="12" customHeight="1">
      <c r="A625" s="597"/>
      <c r="B625" s="598"/>
      <c r="C625" s="597"/>
      <c r="D625" s="597"/>
      <c r="E625" s="597"/>
      <c r="F625" s="597"/>
      <c r="G625" s="597"/>
      <c r="H625" s="597"/>
      <c r="I625" s="597"/>
      <c r="J625" s="614" t="s">
        <v>972</v>
      </c>
      <c r="K625" s="615"/>
      <c r="L625" s="610"/>
      <c r="M625" s="611"/>
      <c r="N625" s="616" t="s">
        <v>969</v>
      </c>
      <c r="O625" s="616" t="s">
        <v>2158</v>
      </c>
      <c r="P625" s="611" t="s">
        <v>2969</v>
      </c>
      <c r="Q625" s="597"/>
      <c r="R625" s="498" t="s">
        <v>2545</v>
      </c>
      <c r="S625" s="498" t="s">
        <v>1920</v>
      </c>
      <c r="T625" s="1363" t="s">
        <v>967</v>
      </c>
      <c r="U625" s="597"/>
      <c r="V625" s="597"/>
      <c r="W625" s="597"/>
      <c r="X625" s="597"/>
      <c r="Y625" s="597"/>
      <c r="Z625" s="597"/>
      <c r="AA625" s="597"/>
    </row>
    <row r="626" spans="1:27" ht="12" customHeight="1">
      <c r="A626" s="597"/>
      <c r="B626" s="598"/>
      <c r="C626" s="597"/>
      <c r="D626" s="597"/>
      <c r="E626" s="597"/>
      <c r="F626" s="597"/>
      <c r="G626" s="597"/>
      <c r="H626" s="597"/>
      <c r="I626" s="597"/>
      <c r="J626" s="614" t="s">
        <v>974</v>
      </c>
      <c r="K626" s="615"/>
      <c r="L626" s="610"/>
      <c r="M626" s="611"/>
      <c r="N626" s="616" t="s">
        <v>971</v>
      </c>
      <c r="O626" s="616" t="s">
        <v>1024</v>
      </c>
      <c r="P626" s="611" t="s">
        <v>2970</v>
      </c>
      <c r="Q626" s="597"/>
      <c r="R626" s="498" t="s">
        <v>2546</v>
      </c>
      <c r="S626" s="498" t="s">
        <v>2466</v>
      </c>
      <c r="T626" s="1363" t="s">
        <v>967</v>
      </c>
      <c r="U626" s="597"/>
      <c r="V626" s="597"/>
      <c r="W626" s="597"/>
      <c r="X626" s="597"/>
      <c r="Y626" s="597"/>
      <c r="Z626" s="597"/>
      <c r="AA626" s="597"/>
    </row>
    <row r="627" spans="1:27" ht="12" customHeight="1">
      <c r="A627" s="597"/>
      <c r="B627" s="598"/>
      <c r="C627" s="597"/>
      <c r="D627" s="597"/>
      <c r="E627" s="597"/>
      <c r="F627" s="597"/>
      <c r="G627" s="597"/>
      <c r="H627" s="597"/>
      <c r="I627" s="597"/>
      <c r="J627" s="614" t="s">
        <v>976</v>
      </c>
      <c r="K627" s="615"/>
      <c r="L627" s="610"/>
      <c r="M627" s="611"/>
      <c r="N627" s="616" t="s">
        <v>973</v>
      </c>
      <c r="O627" s="616" t="s">
        <v>3811</v>
      </c>
      <c r="P627" s="611" t="s">
        <v>2971</v>
      </c>
      <c r="Q627" s="597"/>
      <c r="R627" s="498" t="s">
        <v>2547</v>
      </c>
      <c r="S627" s="498" t="s">
        <v>1174</v>
      </c>
      <c r="T627" s="1363" t="s">
        <v>967</v>
      </c>
      <c r="U627" s="597"/>
      <c r="V627" s="597"/>
      <c r="W627" s="597"/>
      <c r="X627" s="597"/>
      <c r="Y627" s="597"/>
      <c r="Z627" s="597"/>
      <c r="AA627" s="597"/>
    </row>
    <row r="628" spans="1:27" ht="12" customHeight="1">
      <c r="A628" s="597"/>
      <c r="B628" s="598"/>
      <c r="C628" s="597"/>
      <c r="D628" s="597"/>
      <c r="E628" s="597"/>
      <c r="F628" s="597"/>
      <c r="G628" s="597"/>
      <c r="H628" s="597"/>
      <c r="I628" s="597"/>
      <c r="J628" s="614" t="s">
        <v>978</v>
      </c>
      <c r="K628" s="615"/>
      <c r="L628" s="610"/>
      <c r="M628" s="611"/>
      <c r="N628" s="616" t="s">
        <v>975</v>
      </c>
      <c r="O628" s="616" t="s">
        <v>2056</v>
      </c>
      <c r="P628" s="611" t="s">
        <v>2972</v>
      </c>
      <c r="Q628" s="597"/>
      <c r="R628" s="616" t="s">
        <v>2850</v>
      </c>
      <c r="S628" s="616" t="s">
        <v>2749</v>
      </c>
      <c r="T628" s="1363" t="s">
        <v>967</v>
      </c>
      <c r="U628" s="597"/>
      <c r="V628" s="597"/>
      <c r="W628" s="597"/>
      <c r="X628" s="597"/>
      <c r="Y628" s="597"/>
      <c r="Z628" s="597"/>
      <c r="AA628" s="597"/>
    </row>
    <row r="629" spans="1:27" ht="12" customHeight="1">
      <c r="A629" s="597"/>
      <c r="B629" s="598"/>
      <c r="C629" s="597"/>
      <c r="D629" s="597"/>
      <c r="E629" s="597"/>
      <c r="F629" s="597"/>
      <c r="G629" s="597"/>
      <c r="H629" s="597"/>
      <c r="I629" s="597"/>
      <c r="J629" s="614" t="s">
        <v>4055</v>
      </c>
      <c r="K629" s="615"/>
      <c r="L629" s="610"/>
      <c r="M629" s="611"/>
      <c r="N629" s="616" t="s">
        <v>977</v>
      </c>
      <c r="O629" s="616" t="s">
        <v>3176</v>
      </c>
      <c r="P629" s="611" t="s">
        <v>2973</v>
      </c>
      <c r="Q629" s="597"/>
      <c r="R629" s="498" t="s">
        <v>2548</v>
      </c>
      <c r="S629" s="498" t="s">
        <v>667</v>
      </c>
      <c r="T629" s="1363" t="s">
        <v>967</v>
      </c>
      <c r="U629" s="597"/>
      <c r="V629" s="597"/>
      <c r="W629" s="597"/>
      <c r="X629" s="597"/>
      <c r="Y629" s="597"/>
      <c r="Z629" s="597"/>
      <c r="AA629" s="597"/>
    </row>
    <row r="630" spans="1:27" ht="12" customHeight="1">
      <c r="A630" s="597"/>
      <c r="B630" s="598"/>
      <c r="C630" s="597"/>
      <c r="D630" s="597"/>
      <c r="E630" s="597"/>
      <c r="F630" s="597"/>
      <c r="G630" s="597"/>
      <c r="H630" s="597"/>
      <c r="I630" s="597"/>
      <c r="J630" s="614" t="s">
        <v>1186</v>
      </c>
      <c r="K630" s="615"/>
      <c r="L630" s="610"/>
      <c r="M630" s="611"/>
      <c r="N630" s="616" t="s">
        <v>4056</v>
      </c>
      <c r="O630" s="616" t="s">
        <v>3994</v>
      </c>
      <c r="P630" s="611" t="s">
        <v>2974</v>
      </c>
      <c r="Q630" s="597"/>
      <c r="R630" s="498" t="s">
        <v>1883</v>
      </c>
      <c r="S630" s="498" t="s">
        <v>521</v>
      </c>
      <c r="T630" s="1363" t="s">
        <v>967</v>
      </c>
      <c r="U630" s="597"/>
      <c r="V630" s="597"/>
      <c r="W630" s="597"/>
      <c r="X630" s="597"/>
      <c r="Y630" s="597"/>
      <c r="Z630" s="597"/>
      <c r="AA630" s="597"/>
    </row>
    <row r="631" spans="1:27" ht="12" customHeight="1">
      <c r="A631" s="597"/>
      <c r="B631" s="598"/>
      <c r="C631" s="597"/>
      <c r="D631" s="597"/>
      <c r="E631" s="597"/>
      <c r="F631" s="597"/>
      <c r="G631" s="597"/>
      <c r="H631" s="597"/>
      <c r="I631" s="597"/>
      <c r="J631" s="614" t="s">
        <v>1914</v>
      </c>
      <c r="K631" s="615"/>
      <c r="L631" s="610"/>
      <c r="M631" s="611"/>
      <c r="N631" s="616" t="s">
        <v>1913</v>
      </c>
      <c r="O631" s="616" t="s">
        <v>898</v>
      </c>
      <c r="P631" s="611" t="s">
        <v>2975</v>
      </c>
      <c r="Q631" s="597"/>
      <c r="R631" s="498" t="s">
        <v>2549</v>
      </c>
      <c r="S631" s="498"/>
      <c r="T631" s="1363" t="s">
        <v>967</v>
      </c>
      <c r="U631" s="597"/>
      <c r="V631" s="597"/>
      <c r="W631" s="597"/>
      <c r="X631" s="597"/>
      <c r="Y631" s="597"/>
      <c r="Z631" s="597"/>
      <c r="AA631" s="597"/>
    </row>
    <row r="632" spans="1:27" ht="12" customHeight="1">
      <c r="A632" s="597"/>
      <c r="B632" s="598"/>
      <c r="C632" s="597"/>
      <c r="D632" s="597"/>
      <c r="E632" s="597"/>
      <c r="F632" s="597"/>
      <c r="G632" s="597"/>
      <c r="H632" s="597"/>
      <c r="I632" s="597"/>
      <c r="J632" s="614" t="s">
        <v>1916</v>
      </c>
      <c r="K632" s="615"/>
      <c r="L632" s="610"/>
      <c r="M632" s="611"/>
      <c r="N632" s="616" t="s">
        <v>1915</v>
      </c>
      <c r="O632" s="616" t="s">
        <v>3836</v>
      </c>
      <c r="P632" s="611" t="s">
        <v>2976</v>
      </c>
      <c r="Q632" s="597"/>
      <c r="R632" s="498" t="s">
        <v>3820</v>
      </c>
      <c r="S632" s="498" t="s">
        <v>3894</v>
      </c>
      <c r="T632" s="1363" t="s">
        <v>967</v>
      </c>
      <c r="U632" s="597"/>
      <c r="V632" s="597"/>
      <c r="W632" s="597"/>
      <c r="X632" s="597"/>
      <c r="Y632" s="597"/>
      <c r="Z632" s="597"/>
      <c r="AA632" s="597"/>
    </row>
    <row r="633" spans="1:27" ht="12" customHeight="1">
      <c r="A633" s="597"/>
      <c r="B633" s="598"/>
      <c r="C633" s="597"/>
      <c r="D633" s="597"/>
      <c r="E633" s="597"/>
      <c r="F633" s="597"/>
      <c r="G633" s="597"/>
      <c r="H633" s="597"/>
      <c r="I633" s="597"/>
      <c r="J633" s="614" t="s">
        <v>1918</v>
      </c>
      <c r="K633" s="615"/>
      <c r="L633" s="610"/>
      <c r="M633" s="611"/>
      <c r="N633" s="616" t="s">
        <v>1917</v>
      </c>
      <c r="O633" s="616" t="s">
        <v>2059</v>
      </c>
      <c r="P633" s="611" t="s">
        <v>2977</v>
      </c>
      <c r="Q633" s="597"/>
      <c r="R633" s="498" t="s">
        <v>2550</v>
      </c>
      <c r="S633" s="498" t="s">
        <v>3811</v>
      </c>
      <c r="T633" s="1363" t="s">
        <v>967</v>
      </c>
      <c r="U633" s="597"/>
      <c r="V633" s="597"/>
      <c r="W633" s="597"/>
      <c r="X633" s="597"/>
      <c r="Y633" s="597"/>
      <c r="Z633" s="597"/>
      <c r="AA633" s="597"/>
    </row>
    <row r="634" spans="1:27" ht="12" customHeight="1">
      <c r="A634" s="597"/>
      <c r="B634" s="598"/>
      <c r="C634" s="597"/>
      <c r="D634" s="597"/>
      <c r="E634" s="597"/>
      <c r="F634" s="597"/>
      <c r="G634" s="597"/>
      <c r="H634" s="597"/>
      <c r="I634" s="597"/>
      <c r="J634" s="614" t="s">
        <v>4029</v>
      </c>
      <c r="K634" s="615"/>
      <c r="L634" s="610"/>
      <c r="M634" s="611"/>
      <c r="N634" s="616" t="s">
        <v>1919</v>
      </c>
      <c r="O634" s="616" t="s">
        <v>1016</v>
      </c>
      <c r="P634" s="611" t="s">
        <v>2978</v>
      </c>
      <c r="Q634" s="597"/>
      <c r="R634" s="498" t="s">
        <v>922</v>
      </c>
      <c r="S634" s="498" t="s">
        <v>2379</v>
      </c>
      <c r="T634" s="1363" t="s">
        <v>967</v>
      </c>
      <c r="U634" s="597"/>
      <c r="V634" s="597"/>
      <c r="W634" s="597"/>
      <c r="X634" s="597"/>
      <c r="Y634" s="597"/>
      <c r="Z634" s="597"/>
      <c r="AA634" s="597"/>
    </row>
    <row r="635" spans="1:27" ht="12" customHeight="1">
      <c r="A635" s="597"/>
      <c r="B635" s="598"/>
      <c r="C635" s="597"/>
      <c r="D635" s="597"/>
      <c r="E635" s="597"/>
      <c r="F635" s="597"/>
      <c r="G635" s="597"/>
      <c r="H635" s="597"/>
      <c r="I635" s="597"/>
      <c r="J635" s="614" t="s">
        <v>4031</v>
      </c>
      <c r="K635" s="615"/>
      <c r="L635" s="610"/>
      <c r="M635" s="611"/>
      <c r="N635" s="616" t="s">
        <v>4030</v>
      </c>
      <c r="O635" s="616" t="s">
        <v>2156</v>
      </c>
      <c r="P635" s="611" t="s">
        <v>2979</v>
      </c>
      <c r="Q635" s="597"/>
      <c r="R635" s="498" t="s">
        <v>2551</v>
      </c>
      <c r="S635" s="498" t="s">
        <v>3225</v>
      </c>
      <c r="T635" s="1363" t="s">
        <v>967</v>
      </c>
      <c r="U635" s="597"/>
      <c r="V635" s="597"/>
      <c r="W635" s="597"/>
      <c r="X635" s="597"/>
      <c r="Y635" s="597"/>
      <c r="Z635" s="597"/>
      <c r="AA635" s="597"/>
    </row>
    <row r="636" spans="1:27" ht="12" customHeight="1">
      <c r="A636" s="597"/>
      <c r="B636" s="598"/>
      <c r="C636" s="597"/>
      <c r="D636" s="597"/>
      <c r="E636" s="597"/>
      <c r="F636" s="597"/>
      <c r="G636" s="597"/>
      <c r="H636" s="597"/>
      <c r="I636" s="597"/>
      <c r="J636" s="614" t="s">
        <v>4033</v>
      </c>
      <c r="K636" s="615"/>
      <c r="L636" s="610"/>
      <c r="M636" s="611"/>
      <c r="N636" s="616" t="s">
        <v>4032</v>
      </c>
      <c r="O636" s="616" t="s">
        <v>3979</v>
      </c>
      <c r="P636" s="611" t="s">
        <v>2980</v>
      </c>
      <c r="Q636" s="597"/>
      <c r="R636" s="498" t="s">
        <v>2425</v>
      </c>
      <c r="S636" s="498" t="s">
        <v>3225</v>
      </c>
      <c r="T636" s="1363" t="s">
        <v>967</v>
      </c>
      <c r="U636" s="597"/>
      <c r="V636" s="597"/>
      <c r="W636" s="597"/>
      <c r="X636" s="597"/>
      <c r="Y636" s="597"/>
      <c r="Z636" s="597"/>
      <c r="AA636" s="597"/>
    </row>
    <row r="637" spans="1:27" ht="12" customHeight="1">
      <c r="A637" s="597"/>
      <c r="B637" s="598"/>
      <c r="C637" s="597"/>
      <c r="D637" s="597"/>
      <c r="E637" s="597"/>
      <c r="F637" s="597"/>
      <c r="G637" s="597"/>
      <c r="H637" s="597"/>
      <c r="I637" s="597"/>
      <c r="J637" s="614" t="s">
        <v>4035</v>
      </c>
      <c r="K637" s="615"/>
      <c r="L637" s="610"/>
      <c r="M637" s="611"/>
      <c r="N637" s="616" t="s">
        <v>4034</v>
      </c>
      <c r="O637" s="616" t="s">
        <v>2753</v>
      </c>
      <c r="P637" s="611" t="s">
        <v>2981</v>
      </c>
      <c r="Q637" s="597"/>
      <c r="R637" s="498" t="s">
        <v>2426</v>
      </c>
      <c r="S637" s="498" t="s">
        <v>3225</v>
      </c>
      <c r="T637" s="1363" t="s">
        <v>967</v>
      </c>
      <c r="U637" s="597"/>
      <c r="V637" s="597"/>
      <c r="W637" s="597"/>
      <c r="X637" s="597"/>
      <c r="Y637" s="597"/>
      <c r="Z637" s="597"/>
      <c r="AA637" s="597"/>
    </row>
    <row r="638" spans="1:27" ht="12" customHeight="1">
      <c r="A638" s="597"/>
      <c r="B638" s="598"/>
      <c r="C638" s="597"/>
      <c r="D638" s="597"/>
      <c r="E638" s="597"/>
      <c r="F638" s="597"/>
      <c r="G638" s="597"/>
      <c r="H638" s="597"/>
      <c r="I638" s="597"/>
      <c r="J638" s="614" t="s">
        <v>4037</v>
      </c>
      <c r="K638" s="615"/>
      <c r="L638" s="610"/>
      <c r="M638" s="611"/>
      <c r="N638" s="616" t="s">
        <v>4036</v>
      </c>
      <c r="O638" s="616" t="s">
        <v>1920</v>
      </c>
      <c r="P638" s="611" t="s">
        <v>2982</v>
      </c>
      <c r="Q638" s="597"/>
      <c r="R638" s="498" t="s">
        <v>2554</v>
      </c>
      <c r="S638" s="498" t="s">
        <v>3225</v>
      </c>
      <c r="T638" s="1363" t="s">
        <v>967</v>
      </c>
      <c r="U638" s="597"/>
      <c r="V638" s="597"/>
      <c r="W638" s="597"/>
      <c r="X638" s="597"/>
      <c r="Y638" s="597"/>
      <c r="Z638" s="597"/>
      <c r="AA638" s="597"/>
    </row>
    <row r="639" spans="1:27" ht="12" customHeight="1">
      <c r="A639" s="597"/>
      <c r="B639" s="598"/>
      <c r="C639" s="597"/>
      <c r="D639" s="597"/>
      <c r="E639" s="597"/>
      <c r="F639" s="597"/>
      <c r="G639" s="597"/>
      <c r="H639" s="597"/>
      <c r="I639" s="597"/>
      <c r="J639" s="614" t="s">
        <v>2794</v>
      </c>
      <c r="K639" s="615"/>
      <c r="L639" s="610"/>
      <c r="M639" s="611"/>
      <c r="N639" s="616" t="s">
        <v>2795</v>
      </c>
      <c r="O639" s="616" t="s">
        <v>790</v>
      </c>
      <c r="P639" s="611" t="s">
        <v>2983</v>
      </c>
      <c r="Q639" s="597"/>
      <c r="R639" s="498" t="s">
        <v>2555</v>
      </c>
      <c r="S639" s="498" t="s">
        <v>1544</v>
      </c>
      <c r="T639" s="1363" t="s">
        <v>967</v>
      </c>
      <c r="U639" s="597"/>
      <c r="V639" s="597"/>
      <c r="W639" s="597"/>
      <c r="X639" s="597"/>
      <c r="Y639" s="597"/>
      <c r="Z639" s="597"/>
      <c r="AA639" s="597"/>
    </row>
    <row r="640" spans="1:27" ht="12" customHeight="1">
      <c r="A640" s="597"/>
      <c r="B640" s="598"/>
      <c r="C640" s="597"/>
      <c r="D640" s="597"/>
      <c r="E640" s="597"/>
      <c r="F640" s="597"/>
      <c r="G640" s="597"/>
      <c r="H640" s="597"/>
      <c r="I640" s="597"/>
      <c r="J640" s="614" t="s">
        <v>2997</v>
      </c>
      <c r="K640" s="615"/>
      <c r="L640" s="610"/>
      <c r="M640" s="611"/>
      <c r="N640" s="616" t="s">
        <v>2820</v>
      </c>
      <c r="O640" s="616" t="s">
        <v>670</v>
      </c>
      <c r="P640" s="611" t="s">
        <v>2984</v>
      </c>
      <c r="Q640" s="597"/>
      <c r="R640" s="498" t="s">
        <v>2556</v>
      </c>
      <c r="S640" s="498" t="s">
        <v>2645</v>
      </c>
      <c r="T640" s="1363" t="s">
        <v>967</v>
      </c>
      <c r="U640" s="597"/>
      <c r="V640" s="597"/>
      <c r="W640" s="597"/>
      <c r="X640" s="597"/>
      <c r="Y640" s="597"/>
      <c r="Z640" s="597"/>
      <c r="AA640" s="597"/>
    </row>
    <row r="641" spans="1:27" ht="12" customHeight="1">
      <c r="A641" s="597"/>
      <c r="B641" s="598"/>
      <c r="C641" s="597"/>
      <c r="D641" s="597"/>
      <c r="E641" s="597"/>
      <c r="F641" s="597"/>
      <c r="G641" s="597"/>
      <c r="H641" s="597"/>
      <c r="I641" s="597"/>
      <c r="J641" s="614" t="s">
        <v>2821</v>
      </c>
      <c r="K641" s="615"/>
      <c r="L641" s="610"/>
      <c r="M641" s="611"/>
      <c r="N641" s="616" t="s">
        <v>2630</v>
      </c>
      <c r="O641" s="616" t="s">
        <v>525</v>
      </c>
      <c r="P641" s="611" t="s">
        <v>2985</v>
      </c>
      <c r="Q641" s="597"/>
      <c r="R641" s="498" t="s">
        <v>2557</v>
      </c>
      <c r="S641" s="498" t="s">
        <v>3995</v>
      </c>
      <c r="T641" s="1363" t="s">
        <v>967</v>
      </c>
      <c r="U641" s="597"/>
      <c r="V641" s="597"/>
      <c r="W641" s="597"/>
      <c r="X641" s="597"/>
      <c r="Y641" s="597"/>
      <c r="Z641" s="597"/>
      <c r="AA641" s="597"/>
    </row>
    <row r="642" spans="1:27" ht="12" customHeight="1">
      <c r="A642" s="597"/>
      <c r="B642" s="598"/>
      <c r="C642" s="597"/>
      <c r="D642" s="597"/>
      <c r="E642" s="597"/>
      <c r="F642" s="597"/>
      <c r="G642" s="597"/>
      <c r="H642" s="597"/>
      <c r="I642" s="597"/>
      <c r="J642" s="614" t="s">
        <v>2339</v>
      </c>
      <c r="K642" s="615"/>
      <c r="L642" s="610"/>
      <c r="M642" s="611"/>
      <c r="N642" s="498" t="s">
        <v>2560</v>
      </c>
      <c r="O642" s="498" t="s">
        <v>3743</v>
      </c>
      <c r="P642" s="1363" t="s">
        <v>967</v>
      </c>
      <c r="Q642" s="597"/>
      <c r="R642" s="498" t="s">
        <v>2558</v>
      </c>
      <c r="S642" s="498" t="s">
        <v>3225</v>
      </c>
      <c r="T642" s="1363" t="s">
        <v>967</v>
      </c>
      <c r="U642" s="597"/>
      <c r="V642" s="597"/>
      <c r="W642" s="597"/>
      <c r="X642" s="597"/>
      <c r="Y642" s="597"/>
      <c r="Z642" s="597"/>
      <c r="AA642" s="597"/>
    </row>
    <row r="643" spans="1:27" ht="12" customHeight="1">
      <c r="A643" s="597"/>
      <c r="B643" s="598"/>
      <c r="C643" s="597"/>
      <c r="D643" s="597"/>
      <c r="E643" s="597"/>
      <c r="F643" s="597"/>
      <c r="G643" s="597"/>
      <c r="H643" s="597"/>
      <c r="I643" s="597"/>
      <c r="J643" s="614" t="s">
        <v>2530</v>
      </c>
      <c r="K643" s="615"/>
      <c r="L643" s="610"/>
      <c r="M643" s="611"/>
      <c r="N643" s="616" t="s">
        <v>2340</v>
      </c>
      <c r="O643" s="616" t="s">
        <v>1245</v>
      </c>
      <c r="P643" s="611" t="s">
        <v>2986</v>
      </c>
      <c r="Q643" s="597"/>
      <c r="R643" s="498" t="s">
        <v>2559</v>
      </c>
      <c r="S643" s="498" t="s">
        <v>3739</v>
      </c>
      <c r="T643" s="1363" t="s">
        <v>967</v>
      </c>
      <c r="U643" s="597"/>
      <c r="V643" s="597"/>
      <c r="W643" s="597"/>
      <c r="X643" s="597"/>
      <c r="Y643" s="597"/>
      <c r="Z643" s="597"/>
      <c r="AA643" s="597"/>
    </row>
    <row r="644" spans="1:27" ht="12" customHeight="1">
      <c r="A644" s="597"/>
      <c r="B644" s="598"/>
      <c r="C644" s="597"/>
      <c r="D644" s="597"/>
      <c r="E644" s="597"/>
      <c r="F644" s="597"/>
      <c r="G644" s="597"/>
      <c r="H644" s="597"/>
      <c r="I644" s="597"/>
      <c r="J644" s="614" t="s">
        <v>2531</v>
      </c>
      <c r="K644" s="615"/>
      <c r="L644" s="610"/>
      <c r="M644" s="611"/>
      <c r="N644" s="616" t="s">
        <v>2532</v>
      </c>
      <c r="O644" s="616" t="s">
        <v>2453</v>
      </c>
      <c r="P644" s="611" t="s">
        <v>2987</v>
      </c>
      <c r="Q644" s="597"/>
      <c r="R644" s="498" t="s">
        <v>2560</v>
      </c>
      <c r="S644" s="498" t="s">
        <v>3743</v>
      </c>
      <c r="T644" s="1363" t="s">
        <v>967</v>
      </c>
      <c r="U644" s="597"/>
      <c r="V644" s="597"/>
      <c r="W644" s="597"/>
      <c r="X644" s="597"/>
      <c r="Y644" s="597"/>
      <c r="Z644" s="597"/>
      <c r="AA644" s="597"/>
    </row>
    <row r="645" spans="1:27" ht="12" customHeight="1">
      <c r="A645" s="597"/>
      <c r="B645" s="598"/>
      <c r="C645" s="597"/>
      <c r="D645" s="597"/>
      <c r="E645" s="597"/>
      <c r="F645" s="597"/>
      <c r="G645" s="597"/>
      <c r="H645" s="597"/>
      <c r="I645" s="597"/>
      <c r="J645" s="614" t="s">
        <v>2533</v>
      </c>
      <c r="K645" s="615"/>
      <c r="L645" s="610"/>
      <c r="M645" s="611"/>
      <c r="N645" s="616" t="s">
        <v>807</v>
      </c>
      <c r="O645" s="616" t="s">
        <v>1009</v>
      </c>
      <c r="P645" s="611" t="s">
        <v>2988</v>
      </c>
      <c r="Q645" s="597"/>
      <c r="R645" s="498" t="s">
        <v>2854</v>
      </c>
      <c r="S645" s="498" t="s">
        <v>2144</v>
      </c>
      <c r="T645" s="1363" t="s">
        <v>967</v>
      </c>
      <c r="U645" s="597"/>
      <c r="V645" s="597"/>
      <c r="W645" s="597"/>
      <c r="X645" s="597"/>
      <c r="Y645" s="597"/>
      <c r="Z645" s="597"/>
      <c r="AA645" s="597"/>
    </row>
    <row r="646" spans="1:27" ht="12" customHeight="1">
      <c r="A646" s="597"/>
      <c r="B646" s="598"/>
      <c r="C646" s="597"/>
      <c r="D646" s="597"/>
      <c r="E646" s="597"/>
      <c r="F646" s="597"/>
      <c r="G646" s="597"/>
      <c r="H646" s="597"/>
      <c r="I646" s="597"/>
      <c r="J646" s="614" t="s">
        <v>806</v>
      </c>
      <c r="K646" s="615"/>
      <c r="L646" s="610"/>
      <c r="M646" s="611"/>
      <c r="N646" s="616" t="s">
        <v>809</v>
      </c>
      <c r="O646" s="616" t="s">
        <v>3076</v>
      </c>
      <c r="P646" s="611" t="s">
        <v>2989</v>
      </c>
      <c r="Q646" s="597"/>
      <c r="R646" s="498" t="s">
        <v>2561</v>
      </c>
      <c r="S646" s="498" t="s">
        <v>3175</v>
      </c>
      <c r="T646" s="1363" t="s">
        <v>967</v>
      </c>
      <c r="U646" s="597"/>
      <c r="V646" s="597"/>
      <c r="W646" s="597"/>
      <c r="X646" s="597"/>
      <c r="Y646" s="597"/>
      <c r="Z646" s="597"/>
      <c r="AA646" s="597"/>
    </row>
    <row r="647" spans="1:27" ht="12" customHeight="1">
      <c r="A647" s="597"/>
      <c r="B647" s="598"/>
      <c r="C647" s="597"/>
      <c r="D647" s="597"/>
      <c r="E647" s="597"/>
      <c r="F647" s="597"/>
      <c r="G647" s="597"/>
      <c r="H647" s="597"/>
      <c r="I647" s="597"/>
      <c r="J647" s="614" t="s">
        <v>808</v>
      </c>
      <c r="K647" s="615"/>
      <c r="L647" s="610"/>
      <c r="M647" s="611"/>
      <c r="N647" s="616" t="s">
        <v>1532</v>
      </c>
      <c r="O647" s="616" t="s">
        <v>2825</v>
      </c>
      <c r="P647" s="611" t="s">
        <v>2990</v>
      </c>
      <c r="Q647" s="597"/>
      <c r="R647" s="498" t="s">
        <v>2562</v>
      </c>
      <c r="S647" s="498" t="s">
        <v>1920</v>
      </c>
      <c r="T647" s="1363" t="s">
        <v>967</v>
      </c>
      <c r="U647" s="597"/>
      <c r="V647" s="597"/>
      <c r="W647" s="597"/>
      <c r="X647" s="597"/>
      <c r="Y647" s="597"/>
      <c r="Z647" s="597"/>
      <c r="AA647" s="597"/>
    </row>
    <row r="648" spans="1:27" ht="12" customHeight="1">
      <c r="A648" s="597"/>
      <c r="B648" s="598"/>
      <c r="C648" s="597"/>
      <c r="D648" s="597"/>
      <c r="E648" s="597"/>
      <c r="F648" s="597"/>
      <c r="G648" s="597"/>
      <c r="H648" s="597"/>
      <c r="I648" s="597"/>
      <c r="J648" s="614" t="s">
        <v>1396</v>
      </c>
      <c r="K648" s="615"/>
      <c r="L648" s="610"/>
      <c r="M648" s="611"/>
      <c r="N648" s="616" t="s">
        <v>736</v>
      </c>
      <c r="O648" s="616" t="s">
        <v>1176</v>
      </c>
      <c r="P648" s="611" t="s">
        <v>2991</v>
      </c>
      <c r="Q648" s="597"/>
      <c r="R648" s="498" t="s">
        <v>2563</v>
      </c>
      <c r="S648" s="498" t="s">
        <v>3225</v>
      </c>
      <c r="T648" s="1363" t="s">
        <v>967</v>
      </c>
      <c r="U648" s="597"/>
      <c r="V648" s="597"/>
      <c r="W648" s="597"/>
      <c r="X648" s="597"/>
      <c r="Y648" s="597"/>
      <c r="Z648" s="597"/>
      <c r="AA648" s="597"/>
    </row>
    <row r="649" spans="1:27" ht="12" customHeight="1">
      <c r="A649" s="597"/>
      <c r="B649" s="598"/>
      <c r="C649" s="597"/>
      <c r="D649" s="597"/>
      <c r="E649" s="597"/>
      <c r="F649" s="597"/>
      <c r="G649" s="597"/>
      <c r="H649" s="597"/>
      <c r="I649" s="597"/>
      <c r="J649" s="614" t="s">
        <v>735</v>
      </c>
      <c r="K649" s="615"/>
      <c r="L649" s="610"/>
      <c r="M649" s="611"/>
      <c r="N649" s="616" t="s">
        <v>1140</v>
      </c>
      <c r="O649" s="616" t="s">
        <v>2379</v>
      </c>
      <c r="P649" s="611" t="s">
        <v>2992</v>
      </c>
      <c r="Q649" s="597"/>
      <c r="R649" s="498" t="s">
        <v>2564</v>
      </c>
      <c r="S649" s="498" t="s">
        <v>3076</v>
      </c>
      <c r="T649" s="1363" t="s">
        <v>967</v>
      </c>
      <c r="U649" s="597"/>
      <c r="V649" s="597"/>
      <c r="W649" s="597"/>
      <c r="X649" s="597"/>
      <c r="Y649" s="597"/>
      <c r="Z649" s="597"/>
      <c r="AA649" s="597"/>
    </row>
    <row r="650" spans="1:27" ht="12" customHeight="1">
      <c r="A650" s="597"/>
      <c r="B650" s="598"/>
      <c r="C650" s="597"/>
      <c r="D650" s="597"/>
      <c r="E650" s="597"/>
      <c r="F650" s="597"/>
      <c r="G650" s="597"/>
      <c r="H650" s="597"/>
      <c r="I650" s="597"/>
      <c r="J650" s="614" t="s">
        <v>1139</v>
      </c>
      <c r="K650" s="615"/>
      <c r="L650" s="610"/>
      <c r="M650" s="611"/>
      <c r="N650" s="616" t="s">
        <v>1683</v>
      </c>
      <c r="O650" s="616" t="s">
        <v>3078</v>
      </c>
      <c r="P650" s="611" t="s">
        <v>3360</v>
      </c>
      <c r="Q650" s="597"/>
      <c r="R650" s="498" t="s">
        <v>2565</v>
      </c>
      <c r="S650" s="498" t="s">
        <v>3894</v>
      </c>
      <c r="T650" s="1363" t="s">
        <v>967</v>
      </c>
      <c r="U650" s="597"/>
      <c r="V650" s="597"/>
      <c r="W650" s="597"/>
      <c r="X650" s="597"/>
      <c r="Y650" s="597"/>
      <c r="Z650" s="597"/>
      <c r="AA650" s="597"/>
    </row>
    <row r="651" spans="1:27" ht="12" customHeight="1">
      <c r="A651" s="597"/>
      <c r="B651" s="598"/>
      <c r="C651" s="597"/>
      <c r="D651" s="597"/>
      <c r="E651" s="597"/>
      <c r="F651" s="597"/>
      <c r="G651" s="597"/>
      <c r="H651" s="597"/>
      <c r="I651" s="597"/>
      <c r="J651" s="614" t="s">
        <v>1681</v>
      </c>
      <c r="K651" s="615"/>
      <c r="L651" s="610"/>
      <c r="M651" s="611"/>
      <c r="N651" s="616" t="s">
        <v>2854</v>
      </c>
      <c r="O651" s="616" t="s">
        <v>2144</v>
      </c>
      <c r="P651" s="1362" t="s">
        <v>2846</v>
      </c>
      <c r="Q651" s="597"/>
      <c r="R651" s="498" t="s">
        <v>2566</v>
      </c>
      <c r="S651" s="498" t="s">
        <v>1330</v>
      </c>
      <c r="T651" s="1363" t="s">
        <v>967</v>
      </c>
      <c r="U651" s="597"/>
      <c r="V651" s="597"/>
      <c r="W651" s="597"/>
      <c r="X651" s="597"/>
      <c r="Y651" s="597"/>
      <c r="Z651" s="597"/>
      <c r="AA651" s="597"/>
    </row>
    <row r="652" spans="1:27" ht="12" customHeight="1">
      <c r="A652" s="597"/>
      <c r="B652" s="598"/>
      <c r="C652" s="597"/>
      <c r="D652" s="597"/>
      <c r="E652" s="597"/>
      <c r="F652" s="597"/>
      <c r="G652" s="597"/>
      <c r="H652" s="597"/>
      <c r="I652" s="597"/>
      <c r="J652" s="614" t="s">
        <v>1682</v>
      </c>
      <c r="K652" s="615"/>
      <c r="L652" s="610"/>
      <c r="M652" s="611"/>
      <c r="N652" s="498" t="s">
        <v>2854</v>
      </c>
      <c r="O652" s="498" t="s">
        <v>2144</v>
      </c>
      <c r="P652" s="1363" t="s">
        <v>967</v>
      </c>
      <c r="Q652" s="597"/>
      <c r="R652" s="498" t="s">
        <v>2432</v>
      </c>
      <c r="S652" s="498" t="s">
        <v>1174</v>
      </c>
      <c r="T652" s="1363" t="s">
        <v>967</v>
      </c>
      <c r="U652" s="597"/>
      <c r="V652" s="597"/>
      <c r="W652" s="597"/>
      <c r="X652" s="597"/>
      <c r="Y652" s="597"/>
      <c r="Z652" s="597"/>
      <c r="AA652" s="597"/>
    </row>
    <row r="653" spans="1:27" ht="12" customHeight="1">
      <c r="A653" s="597"/>
      <c r="B653" s="598"/>
      <c r="C653" s="597"/>
      <c r="D653" s="597"/>
      <c r="E653" s="597"/>
      <c r="F653" s="597"/>
      <c r="G653" s="597"/>
      <c r="H653" s="597"/>
      <c r="I653" s="597"/>
      <c r="J653" s="614" t="s">
        <v>1684</v>
      </c>
      <c r="K653" s="615"/>
      <c r="L653" s="610"/>
      <c r="M653" s="611"/>
      <c r="N653" s="616" t="s">
        <v>1686</v>
      </c>
      <c r="O653" s="616" t="s">
        <v>418</v>
      </c>
      <c r="P653" s="611" t="s">
        <v>3361</v>
      </c>
      <c r="Q653" s="597"/>
      <c r="R653" s="498" t="s">
        <v>2433</v>
      </c>
      <c r="S653" s="498" t="s">
        <v>3225</v>
      </c>
      <c r="T653" s="1363" t="s">
        <v>967</v>
      </c>
      <c r="U653" s="597"/>
      <c r="V653" s="597"/>
      <c r="W653" s="597"/>
      <c r="X653" s="597"/>
      <c r="Y653" s="597"/>
      <c r="Z653" s="597"/>
      <c r="AA653" s="597"/>
    </row>
    <row r="654" spans="1:27" ht="12" customHeight="1">
      <c r="A654" s="597"/>
      <c r="B654" s="598"/>
      <c r="C654" s="597"/>
      <c r="D654" s="597"/>
      <c r="E654" s="597"/>
      <c r="F654" s="597"/>
      <c r="G654" s="597"/>
      <c r="H654" s="597"/>
      <c r="I654" s="597"/>
      <c r="J654" s="614" t="s">
        <v>1685</v>
      </c>
      <c r="K654" s="615"/>
      <c r="L654" s="610"/>
      <c r="M654" s="611"/>
      <c r="N654" s="616" t="s">
        <v>1689</v>
      </c>
      <c r="O654" s="616" t="s">
        <v>1706</v>
      </c>
      <c r="P654" s="611" t="s">
        <v>1689</v>
      </c>
      <c r="Q654" s="597"/>
      <c r="R654" s="498" t="s">
        <v>2434</v>
      </c>
      <c r="S654" s="498" t="s">
        <v>1544</v>
      </c>
      <c r="T654" s="1363" t="s">
        <v>967</v>
      </c>
      <c r="U654" s="597"/>
      <c r="V654" s="597"/>
      <c r="W654" s="597"/>
      <c r="X654" s="597"/>
      <c r="Y654" s="597"/>
      <c r="Z654" s="597"/>
      <c r="AA654" s="597"/>
    </row>
    <row r="655" spans="1:27" ht="12" customHeight="1">
      <c r="A655" s="597"/>
      <c r="B655" s="598"/>
      <c r="C655" s="597"/>
      <c r="D655" s="597"/>
      <c r="E655" s="597"/>
      <c r="F655" s="597"/>
      <c r="G655" s="597"/>
      <c r="H655" s="597"/>
      <c r="I655" s="597"/>
      <c r="J655" s="614" t="s">
        <v>1687</v>
      </c>
      <c r="K655" s="615"/>
      <c r="L655" s="610"/>
      <c r="M655" s="611"/>
      <c r="N655" s="498" t="s">
        <v>2562</v>
      </c>
      <c r="O655" s="498" t="s">
        <v>1920</v>
      </c>
      <c r="P655" s="1363" t="s">
        <v>967</v>
      </c>
      <c r="Q655" s="597"/>
      <c r="R655" s="498" t="s">
        <v>2435</v>
      </c>
      <c r="S655" s="498" t="s">
        <v>667</v>
      </c>
      <c r="T655" s="1363" t="s">
        <v>967</v>
      </c>
      <c r="U655" s="597"/>
      <c r="V655" s="597"/>
      <c r="W655" s="597"/>
      <c r="X655" s="597"/>
      <c r="Y655" s="597"/>
      <c r="Z655" s="597"/>
      <c r="AA655" s="597"/>
    </row>
    <row r="656" spans="1:27" ht="12" customHeight="1">
      <c r="A656" s="597"/>
      <c r="B656" s="598"/>
      <c r="C656" s="597"/>
      <c r="D656" s="597"/>
      <c r="E656" s="597"/>
      <c r="F656" s="597"/>
      <c r="G656" s="597"/>
      <c r="H656" s="597"/>
      <c r="I656" s="597"/>
      <c r="J656" s="614" t="s">
        <v>1688</v>
      </c>
      <c r="K656" s="615"/>
      <c r="L656" s="610"/>
      <c r="M656" s="611"/>
      <c r="N656" s="616" t="s">
        <v>582</v>
      </c>
      <c r="O656" s="616" t="s">
        <v>3979</v>
      </c>
      <c r="P656" s="611" t="s">
        <v>3362</v>
      </c>
      <c r="Q656" s="597"/>
      <c r="R656" s="498" t="s">
        <v>2436</v>
      </c>
      <c r="S656" s="498" t="s">
        <v>3894</v>
      </c>
      <c r="T656" s="1363" t="s">
        <v>967</v>
      </c>
      <c r="U656" s="597"/>
      <c r="V656" s="597"/>
      <c r="W656" s="597"/>
      <c r="X656" s="597"/>
      <c r="Y656" s="597"/>
      <c r="Z656" s="597"/>
      <c r="AA656" s="597"/>
    </row>
    <row r="657" spans="1:27" ht="12" customHeight="1">
      <c r="A657" s="597"/>
      <c r="B657" s="598"/>
      <c r="C657" s="597"/>
      <c r="D657" s="597"/>
      <c r="E657" s="597"/>
      <c r="F657" s="597"/>
      <c r="G657" s="597"/>
      <c r="H657" s="597"/>
      <c r="I657" s="597"/>
      <c r="J657" s="614" t="s">
        <v>1690</v>
      </c>
      <c r="K657" s="615"/>
      <c r="L657" s="610"/>
      <c r="M657" s="611"/>
      <c r="N657" s="616" t="s">
        <v>2835</v>
      </c>
      <c r="O657" s="616" t="s">
        <v>2379</v>
      </c>
      <c r="P657" s="611" t="s">
        <v>3363</v>
      </c>
      <c r="Q657" s="597"/>
      <c r="R657" s="498" t="s">
        <v>2437</v>
      </c>
      <c r="S657" s="498" t="s">
        <v>3894</v>
      </c>
      <c r="T657" s="1363" t="s">
        <v>967</v>
      </c>
      <c r="U657" s="597"/>
      <c r="V657" s="597"/>
      <c r="W657" s="597"/>
      <c r="X657" s="597"/>
      <c r="Y657" s="597"/>
      <c r="Z657" s="597"/>
      <c r="AA657" s="597"/>
    </row>
    <row r="658" spans="1:27" ht="12" customHeight="1">
      <c r="A658" s="597"/>
      <c r="B658" s="598"/>
      <c r="C658" s="597"/>
      <c r="D658" s="597"/>
      <c r="E658" s="597"/>
      <c r="F658" s="597"/>
      <c r="G658" s="597"/>
      <c r="H658" s="597"/>
      <c r="I658" s="597"/>
      <c r="J658" s="614" t="s">
        <v>583</v>
      </c>
      <c r="K658" s="615"/>
      <c r="L658" s="610"/>
      <c r="M658" s="611"/>
      <c r="N658" s="616" t="s">
        <v>2134</v>
      </c>
      <c r="O658" s="616" t="s">
        <v>1328</v>
      </c>
      <c r="P658" s="611" t="s">
        <v>3364</v>
      </c>
      <c r="Q658" s="597"/>
      <c r="R658" s="597"/>
      <c r="S658" s="597"/>
      <c r="T658" s="597"/>
      <c r="U658" s="597"/>
      <c r="V658" s="597"/>
      <c r="W658" s="597"/>
      <c r="X658" s="597"/>
      <c r="Y658" s="597"/>
      <c r="Z658" s="597"/>
      <c r="AA658" s="597"/>
    </row>
    <row r="659" spans="1:27" ht="12" customHeight="1">
      <c r="A659" s="597"/>
      <c r="B659" s="598"/>
      <c r="C659" s="597"/>
      <c r="D659" s="597"/>
      <c r="E659" s="597"/>
      <c r="F659" s="597"/>
      <c r="G659" s="597"/>
      <c r="H659" s="597"/>
      <c r="I659" s="597"/>
      <c r="J659" s="614" t="s">
        <v>3902</v>
      </c>
      <c r="K659" s="615"/>
      <c r="L659" s="610"/>
      <c r="M659" s="611"/>
      <c r="N659" s="616" t="s">
        <v>3903</v>
      </c>
      <c r="O659" s="616" t="s">
        <v>2160</v>
      </c>
      <c r="P659" s="611" t="s">
        <v>3365</v>
      </c>
      <c r="Q659" s="597"/>
      <c r="R659" s="597"/>
      <c r="S659" s="597"/>
      <c r="T659" s="597"/>
      <c r="U659" s="597"/>
      <c r="V659" s="597"/>
      <c r="W659" s="597"/>
      <c r="X659" s="597"/>
      <c r="Y659" s="597"/>
      <c r="Z659" s="597"/>
      <c r="AA659" s="597"/>
    </row>
    <row r="660" spans="1:27" ht="12" customHeight="1">
      <c r="A660" s="597"/>
      <c r="B660" s="598"/>
      <c r="C660" s="597"/>
      <c r="D660" s="597"/>
      <c r="E660" s="597"/>
      <c r="F660" s="597"/>
      <c r="G660" s="597"/>
      <c r="H660" s="597"/>
      <c r="I660" s="597"/>
      <c r="J660" s="614" t="s">
        <v>2592</v>
      </c>
      <c r="K660" s="615"/>
      <c r="L660" s="610"/>
      <c r="M660" s="611"/>
      <c r="N660" s="616" t="s">
        <v>2594</v>
      </c>
      <c r="O660" s="616" t="s">
        <v>1541</v>
      </c>
      <c r="P660" s="611" t="s">
        <v>3366</v>
      </c>
      <c r="Q660" s="597"/>
      <c r="R660" s="597"/>
      <c r="S660" s="597"/>
      <c r="T660" s="597"/>
      <c r="U660" s="597"/>
      <c r="V660" s="597"/>
      <c r="W660" s="597"/>
      <c r="X660" s="597"/>
      <c r="Y660" s="597"/>
      <c r="Z660" s="597"/>
      <c r="AA660" s="597"/>
    </row>
    <row r="661" spans="1:27" ht="12" customHeight="1">
      <c r="A661" s="597"/>
      <c r="B661" s="598"/>
      <c r="C661" s="597"/>
      <c r="D661" s="597"/>
      <c r="E661" s="597"/>
      <c r="F661" s="597"/>
      <c r="G661" s="597"/>
      <c r="H661" s="597"/>
      <c r="I661" s="597"/>
      <c r="J661" s="614" t="s">
        <v>2593</v>
      </c>
      <c r="K661" s="615"/>
      <c r="L661" s="610"/>
      <c r="M661" s="611"/>
      <c r="N661" s="616" t="s">
        <v>2157</v>
      </c>
      <c r="O661" s="616" t="s">
        <v>3894</v>
      </c>
      <c r="P661" s="611" t="s">
        <v>3367</v>
      </c>
      <c r="Q661" s="597"/>
      <c r="R661" s="597"/>
      <c r="S661" s="597"/>
      <c r="T661" s="597"/>
      <c r="U661" s="597"/>
      <c r="V661" s="597"/>
      <c r="W661" s="597"/>
      <c r="X661" s="597"/>
      <c r="Y661" s="597"/>
      <c r="Z661" s="597"/>
      <c r="AA661" s="597"/>
    </row>
    <row r="662" spans="1:27" ht="12" customHeight="1">
      <c r="A662" s="597"/>
      <c r="B662" s="598"/>
      <c r="C662" s="597"/>
      <c r="D662" s="597"/>
      <c r="E662" s="597"/>
      <c r="F662" s="597"/>
      <c r="G662" s="597"/>
      <c r="H662" s="597"/>
      <c r="I662" s="597"/>
      <c r="J662" s="614" t="s">
        <v>2595</v>
      </c>
      <c r="K662" s="615"/>
      <c r="L662" s="610"/>
      <c r="M662" s="611"/>
      <c r="N662" s="616" t="s">
        <v>519</v>
      </c>
      <c r="O662" s="616" t="s">
        <v>2747</v>
      </c>
      <c r="P662" s="611" t="s">
        <v>3368</v>
      </c>
      <c r="Q662" s="597"/>
      <c r="R662" s="597"/>
      <c r="S662" s="597"/>
      <c r="T662" s="597"/>
      <c r="U662" s="597"/>
      <c r="V662" s="597"/>
      <c r="W662" s="597"/>
      <c r="X662" s="597"/>
      <c r="Y662" s="597"/>
      <c r="Z662" s="597"/>
      <c r="AA662" s="597"/>
    </row>
    <row r="663" spans="1:27" ht="12" customHeight="1">
      <c r="A663" s="597"/>
      <c r="B663" s="598"/>
      <c r="C663" s="597"/>
      <c r="D663" s="597"/>
      <c r="E663" s="597"/>
      <c r="F663" s="597"/>
      <c r="G663" s="597"/>
      <c r="H663" s="597"/>
      <c r="I663" s="597"/>
      <c r="J663" s="614" t="s">
        <v>770</v>
      </c>
      <c r="K663" s="615"/>
      <c r="L663" s="610"/>
      <c r="M663" s="611"/>
      <c r="N663" s="498" t="s">
        <v>2563</v>
      </c>
      <c r="O663" s="498" t="s">
        <v>3225</v>
      </c>
      <c r="P663" s="1363" t="s">
        <v>967</v>
      </c>
      <c r="Q663" s="597"/>
      <c r="R663" s="597"/>
      <c r="S663" s="597"/>
      <c r="T663" s="597"/>
      <c r="U663" s="597"/>
      <c r="V663" s="597"/>
      <c r="W663" s="597"/>
      <c r="X663" s="597"/>
      <c r="Y663" s="597"/>
      <c r="Z663" s="597"/>
      <c r="AA663" s="597"/>
    </row>
    <row r="664" spans="1:27" ht="12" customHeight="1">
      <c r="A664" s="597"/>
      <c r="B664" s="598"/>
      <c r="C664" s="597"/>
      <c r="D664" s="597"/>
      <c r="E664" s="597"/>
      <c r="F664" s="597"/>
      <c r="G664" s="597"/>
      <c r="H664" s="597"/>
      <c r="I664" s="597"/>
      <c r="J664" s="614" t="s">
        <v>518</v>
      </c>
      <c r="K664" s="615"/>
      <c r="L664" s="610"/>
      <c r="M664" s="611"/>
      <c r="N664" s="616" t="s">
        <v>1009</v>
      </c>
      <c r="O664" s="616" t="s">
        <v>3981</v>
      </c>
      <c r="P664" s="611" t="s">
        <v>3369</v>
      </c>
      <c r="Q664" s="597"/>
      <c r="R664" s="597"/>
      <c r="S664" s="597"/>
      <c r="T664" s="597"/>
      <c r="U664" s="597"/>
      <c r="V664" s="597"/>
      <c r="W664" s="597"/>
      <c r="X664" s="597"/>
      <c r="Y664" s="597"/>
      <c r="Z664" s="597"/>
      <c r="AA664" s="597"/>
    </row>
    <row r="665" spans="1:27" ht="12" customHeight="1">
      <c r="A665" s="597"/>
      <c r="B665" s="598"/>
      <c r="C665" s="597"/>
      <c r="D665" s="597"/>
      <c r="E665" s="597"/>
      <c r="F665" s="597"/>
      <c r="G665" s="597"/>
      <c r="H665" s="597"/>
      <c r="I665" s="597"/>
      <c r="J665" s="614" t="s">
        <v>1169</v>
      </c>
      <c r="K665" s="615"/>
      <c r="L665" s="610"/>
      <c r="M665" s="611"/>
      <c r="N665" s="616" t="s">
        <v>1885</v>
      </c>
      <c r="O665" s="616" t="s">
        <v>1884</v>
      </c>
      <c r="P665" s="611"/>
      <c r="Q665" s="597"/>
      <c r="R665" s="597"/>
      <c r="S665" s="597"/>
      <c r="T665" s="597"/>
      <c r="U665" s="597"/>
      <c r="V665" s="597"/>
      <c r="W665" s="597"/>
      <c r="X665" s="597"/>
      <c r="Y665" s="597"/>
      <c r="Z665" s="597"/>
      <c r="AA665" s="597"/>
    </row>
    <row r="666" spans="1:27" ht="12" customHeight="1">
      <c r="A666" s="597"/>
      <c r="B666" s="598"/>
      <c r="C666" s="597"/>
      <c r="D666" s="597"/>
      <c r="E666" s="597"/>
      <c r="F666" s="597"/>
      <c r="G666" s="597"/>
      <c r="H666" s="597"/>
      <c r="I666" s="597"/>
      <c r="J666" s="614" t="s">
        <v>2633</v>
      </c>
      <c r="K666" s="615"/>
      <c r="L666" s="610"/>
      <c r="M666" s="611"/>
      <c r="N666" s="616" t="s">
        <v>1976</v>
      </c>
      <c r="O666" s="616" t="s">
        <v>524</v>
      </c>
      <c r="P666" s="611" t="s">
        <v>3370</v>
      </c>
      <c r="Q666" s="597"/>
      <c r="R666" s="597"/>
      <c r="S666" s="597"/>
      <c r="T666" s="597"/>
      <c r="U666" s="597"/>
      <c r="V666" s="597"/>
      <c r="W666" s="597"/>
      <c r="X666" s="597"/>
      <c r="Y666" s="597"/>
      <c r="Z666" s="597"/>
      <c r="AA666" s="597"/>
    </row>
    <row r="667" spans="1:27" ht="12" customHeight="1">
      <c r="A667" s="597"/>
      <c r="B667" s="598"/>
      <c r="C667" s="597"/>
      <c r="D667" s="597"/>
      <c r="E667" s="597"/>
      <c r="F667" s="597"/>
      <c r="G667" s="597"/>
      <c r="H667" s="597"/>
      <c r="I667" s="597"/>
      <c r="J667" s="614" t="s">
        <v>2948</v>
      </c>
      <c r="K667" s="615"/>
      <c r="L667" s="610"/>
      <c r="M667" s="611"/>
      <c r="N667" s="616" t="s">
        <v>1978</v>
      </c>
      <c r="O667" s="616" t="s">
        <v>3748</v>
      </c>
      <c r="P667" s="611" t="s">
        <v>3371</v>
      </c>
      <c r="Q667" s="597"/>
      <c r="R667" s="597"/>
      <c r="S667" s="597"/>
      <c r="T667" s="597"/>
      <c r="U667" s="597"/>
      <c r="V667" s="597"/>
      <c r="W667" s="597"/>
      <c r="X667" s="597"/>
      <c r="Y667" s="597"/>
      <c r="Z667" s="597"/>
      <c r="AA667" s="597"/>
    </row>
    <row r="668" spans="1:27" ht="12" customHeight="1">
      <c r="A668" s="597"/>
      <c r="B668" s="598"/>
      <c r="C668" s="597"/>
      <c r="D668" s="597"/>
      <c r="E668" s="597"/>
      <c r="F668" s="597"/>
      <c r="G668" s="597"/>
      <c r="H668" s="597"/>
      <c r="I668" s="597"/>
      <c r="J668" s="614" t="s">
        <v>1975</v>
      </c>
      <c r="K668" s="615"/>
      <c r="L668" s="610"/>
      <c r="M668" s="611"/>
      <c r="N668" s="498" t="s">
        <v>2564</v>
      </c>
      <c r="O668" s="498" t="s">
        <v>3076</v>
      </c>
      <c r="P668" s="1363" t="s">
        <v>967</v>
      </c>
      <c r="Q668" s="597"/>
      <c r="R668" s="597"/>
      <c r="S668" s="597"/>
      <c r="T668" s="597"/>
      <c r="U668" s="597"/>
      <c r="V668" s="597"/>
      <c r="W668" s="597"/>
      <c r="X668" s="597"/>
      <c r="Y668" s="597"/>
      <c r="Z668" s="597"/>
      <c r="AA668" s="597"/>
    </row>
    <row r="669" spans="1:27" ht="12" customHeight="1">
      <c r="A669" s="597"/>
      <c r="B669" s="598"/>
      <c r="C669" s="597"/>
      <c r="D669" s="597"/>
      <c r="E669" s="597"/>
      <c r="F669" s="597"/>
      <c r="G669" s="597"/>
      <c r="H669" s="597"/>
      <c r="I669" s="597"/>
      <c r="J669" s="614" t="s">
        <v>1977</v>
      </c>
      <c r="K669" s="615"/>
      <c r="L669" s="610"/>
      <c r="M669" s="611"/>
      <c r="N669" s="616" t="s">
        <v>2137</v>
      </c>
      <c r="O669" s="616" t="s">
        <v>1022</v>
      </c>
      <c r="P669" s="611" t="s">
        <v>3372</v>
      </c>
      <c r="Q669" s="597"/>
      <c r="R669" s="597"/>
      <c r="S669" s="597"/>
      <c r="T669" s="597"/>
      <c r="U669" s="597"/>
      <c r="V669" s="597"/>
      <c r="W669" s="597"/>
      <c r="X669" s="597"/>
      <c r="Y669" s="597"/>
      <c r="Z669" s="597"/>
      <c r="AA669" s="597"/>
    </row>
    <row r="670" spans="1:27" ht="12" customHeight="1">
      <c r="A670" s="597"/>
      <c r="B670" s="598"/>
      <c r="C670" s="597"/>
      <c r="D670" s="597"/>
      <c r="E670" s="597"/>
      <c r="F670" s="597"/>
      <c r="G670" s="597"/>
      <c r="H670" s="597"/>
      <c r="I670" s="597"/>
      <c r="J670" s="614" t="s">
        <v>1979</v>
      </c>
      <c r="K670" s="615"/>
      <c r="L670" s="610"/>
      <c r="M670" s="611"/>
      <c r="N670" s="616" t="s">
        <v>2139</v>
      </c>
      <c r="O670" s="616" t="s">
        <v>524</v>
      </c>
      <c r="P670" s="611" t="s">
        <v>3373</v>
      </c>
      <c r="Q670" s="597"/>
      <c r="R670" s="597"/>
      <c r="S670" s="597"/>
      <c r="T670" s="597"/>
      <c r="U670" s="597"/>
      <c r="V670" s="597"/>
      <c r="W670" s="597"/>
      <c r="X670" s="597"/>
      <c r="Y670" s="597"/>
      <c r="Z670" s="597"/>
      <c r="AA670" s="597"/>
    </row>
    <row r="671" spans="1:27" ht="12" customHeight="1">
      <c r="A671" s="597"/>
      <c r="B671" s="598"/>
      <c r="C671" s="597"/>
      <c r="D671" s="597"/>
      <c r="E671" s="597"/>
      <c r="F671" s="597"/>
      <c r="G671" s="597"/>
      <c r="H671" s="597"/>
      <c r="I671" s="597"/>
      <c r="J671" s="614" t="s">
        <v>2136</v>
      </c>
      <c r="K671" s="615"/>
      <c r="L671" s="610"/>
      <c r="M671" s="611"/>
      <c r="N671" s="616" t="s">
        <v>1160</v>
      </c>
      <c r="O671" s="616" t="s">
        <v>2463</v>
      </c>
      <c r="P671" s="611" t="s">
        <v>3374</v>
      </c>
      <c r="Q671" s="597"/>
      <c r="R671" s="597"/>
      <c r="S671" s="597"/>
      <c r="T671" s="597"/>
      <c r="U671" s="597"/>
      <c r="V671" s="597"/>
      <c r="W671" s="597"/>
      <c r="X671" s="597"/>
      <c r="Y671" s="597"/>
      <c r="Z671" s="597"/>
      <c r="AA671" s="597"/>
    </row>
    <row r="672" spans="1:27" ht="12" customHeight="1">
      <c r="A672" s="597"/>
      <c r="B672" s="598"/>
      <c r="C672" s="597"/>
      <c r="D672" s="597"/>
      <c r="E672" s="597"/>
      <c r="F672" s="597"/>
      <c r="G672" s="597"/>
      <c r="H672" s="597"/>
      <c r="I672" s="597"/>
      <c r="J672" s="614" t="s">
        <v>2138</v>
      </c>
      <c r="K672" s="615"/>
      <c r="L672" s="610"/>
      <c r="M672" s="611"/>
      <c r="N672" s="616" t="s">
        <v>2827</v>
      </c>
      <c r="O672" s="616" t="s">
        <v>3738</v>
      </c>
      <c r="P672" s="611" t="s">
        <v>3375</v>
      </c>
      <c r="Q672" s="597"/>
      <c r="R672" s="597"/>
      <c r="S672" s="597"/>
      <c r="T672" s="597"/>
      <c r="U672" s="597"/>
      <c r="V672" s="597"/>
      <c r="W672" s="597"/>
      <c r="X672" s="597"/>
      <c r="Y672" s="597"/>
      <c r="Z672" s="597"/>
      <c r="AA672" s="597"/>
    </row>
    <row r="673" spans="1:27" ht="12" customHeight="1">
      <c r="A673" s="597"/>
      <c r="B673" s="598"/>
      <c r="C673" s="597"/>
      <c r="D673" s="597"/>
      <c r="E673" s="597"/>
      <c r="F673" s="597"/>
      <c r="G673" s="597"/>
      <c r="H673" s="597"/>
      <c r="I673" s="597"/>
      <c r="J673" s="614" t="s">
        <v>1159</v>
      </c>
      <c r="K673" s="615"/>
      <c r="L673" s="610"/>
      <c r="M673" s="611"/>
      <c r="N673" s="616" t="s">
        <v>2235</v>
      </c>
      <c r="O673" s="616" t="s">
        <v>3180</v>
      </c>
      <c r="P673" s="611" t="s">
        <v>3376</v>
      </c>
      <c r="Q673" s="597"/>
      <c r="R673" s="597"/>
      <c r="S673" s="597"/>
      <c r="T673" s="597"/>
      <c r="U673" s="597"/>
      <c r="V673" s="597"/>
      <c r="W673" s="597"/>
      <c r="X673" s="597"/>
      <c r="Y673" s="597"/>
      <c r="Z673" s="597"/>
      <c r="AA673" s="597"/>
    </row>
    <row r="674" spans="1:27" ht="12" customHeight="1">
      <c r="A674" s="597"/>
      <c r="B674" s="598"/>
      <c r="C674" s="597"/>
      <c r="D674" s="597"/>
      <c r="E674" s="597"/>
      <c r="F674" s="597"/>
      <c r="G674" s="597"/>
      <c r="H674" s="597"/>
      <c r="I674" s="597"/>
      <c r="J674" s="614" t="s">
        <v>2826</v>
      </c>
      <c r="K674" s="615"/>
      <c r="L674" s="610"/>
      <c r="M674" s="611"/>
      <c r="N674" s="498" t="s">
        <v>2565</v>
      </c>
      <c r="O674" s="498" t="s">
        <v>3894</v>
      </c>
      <c r="P674" s="1363" t="s">
        <v>967</v>
      </c>
      <c r="Q674" s="597"/>
      <c r="R674" s="597"/>
      <c r="S674" s="597"/>
      <c r="T674" s="597"/>
      <c r="U674" s="597"/>
      <c r="V674" s="597"/>
      <c r="W674" s="597"/>
      <c r="X674" s="597"/>
      <c r="Y674" s="597"/>
      <c r="Z674" s="597"/>
      <c r="AA674" s="597"/>
    </row>
    <row r="675" spans="1:27" ht="12" customHeight="1">
      <c r="A675" s="597"/>
      <c r="B675" s="598"/>
      <c r="C675" s="597"/>
      <c r="D675" s="597"/>
      <c r="E675" s="597"/>
      <c r="F675" s="597"/>
      <c r="G675" s="597"/>
      <c r="H675" s="597"/>
      <c r="I675" s="597"/>
      <c r="J675" s="614" t="s">
        <v>2234</v>
      </c>
      <c r="K675" s="615"/>
      <c r="L675" s="610"/>
      <c r="M675" s="611"/>
      <c r="N675" s="616" t="s">
        <v>1302</v>
      </c>
      <c r="O675" s="616" t="s">
        <v>2461</v>
      </c>
      <c r="P675" s="611" t="s">
        <v>3377</v>
      </c>
      <c r="Q675" s="597"/>
      <c r="R675" s="597"/>
      <c r="S675" s="597"/>
      <c r="T675" s="597"/>
      <c r="U675" s="597"/>
      <c r="V675" s="597"/>
      <c r="W675" s="597"/>
      <c r="X675" s="597"/>
      <c r="Y675" s="597"/>
      <c r="Z675" s="597"/>
      <c r="AA675" s="597"/>
    </row>
    <row r="676" spans="1:27" ht="12" customHeight="1">
      <c r="A676" s="597"/>
      <c r="B676" s="598"/>
      <c r="C676" s="597"/>
      <c r="D676" s="597"/>
      <c r="E676" s="597"/>
      <c r="F676" s="597"/>
      <c r="G676" s="597"/>
      <c r="H676" s="597"/>
      <c r="I676" s="597"/>
      <c r="J676" s="614" t="s">
        <v>1300</v>
      </c>
      <c r="K676" s="615"/>
      <c r="L676" s="610"/>
      <c r="M676" s="611"/>
      <c r="N676" s="616" t="s">
        <v>1304</v>
      </c>
      <c r="O676" s="616" t="s">
        <v>2058</v>
      </c>
      <c r="P676" s="611" t="s">
        <v>3378</v>
      </c>
      <c r="Q676" s="597"/>
      <c r="R676" s="597"/>
      <c r="S676" s="597"/>
      <c r="T676" s="597"/>
      <c r="U676" s="597"/>
      <c r="V676" s="597"/>
      <c r="W676" s="597"/>
      <c r="X676" s="597"/>
      <c r="Y676" s="597"/>
      <c r="Z676" s="597"/>
      <c r="AA676" s="597"/>
    </row>
    <row r="677" spans="1:27" ht="12" customHeight="1">
      <c r="A677" s="597"/>
      <c r="B677" s="598"/>
      <c r="C677" s="597"/>
      <c r="D677" s="597"/>
      <c r="E677" s="597"/>
      <c r="F677" s="597"/>
      <c r="G677" s="597"/>
      <c r="H677" s="597"/>
      <c r="I677" s="597"/>
      <c r="J677" s="614" t="s">
        <v>1301</v>
      </c>
      <c r="K677" s="615"/>
      <c r="L677" s="610"/>
      <c r="M677" s="611"/>
      <c r="N677" s="616" t="s">
        <v>1306</v>
      </c>
      <c r="O677" s="616" t="s">
        <v>667</v>
      </c>
      <c r="P677" s="611" t="s">
        <v>3379</v>
      </c>
      <c r="Q677" s="597"/>
      <c r="R677" s="597"/>
      <c r="S677" s="597"/>
      <c r="T677" s="597"/>
      <c r="U677" s="597"/>
      <c r="V677" s="597"/>
      <c r="W677" s="597"/>
      <c r="X677" s="597"/>
      <c r="Y677" s="597"/>
      <c r="Z677" s="597"/>
      <c r="AA677" s="597"/>
    </row>
    <row r="678" spans="1:27" ht="12" customHeight="1">
      <c r="A678" s="597"/>
      <c r="B678" s="598"/>
      <c r="C678" s="597"/>
      <c r="D678" s="597"/>
      <c r="E678" s="597"/>
      <c r="F678" s="597"/>
      <c r="G678" s="597"/>
      <c r="H678" s="597"/>
      <c r="I678" s="597"/>
      <c r="J678" s="614" t="s">
        <v>1303</v>
      </c>
      <c r="K678" s="615"/>
      <c r="L678" s="610"/>
      <c r="M678" s="611"/>
      <c r="N678" s="616" t="s">
        <v>1308</v>
      </c>
      <c r="O678" s="616" t="s">
        <v>3994</v>
      </c>
      <c r="P678" s="611" t="s">
        <v>3380</v>
      </c>
      <c r="Q678" s="597"/>
      <c r="R678" s="597"/>
      <c r="S678" s="597"/>
      <c r="T678" s="597"/>
      <c r="U678" s="597"/>
      <c r="V678" s="597"/>
      <c r="W678" s="597"/>
      <c r="X678" s="597"/>
      <c r="Y678" s="597"/>
      <c r="Z678" s="597"/>
      <c r="AA678" s="597"/>
    </row>
    <row r="679" spans="1:27" ht="12" customHeight="1">
      <c r="A679" s="597"/>
      <c r="B679" s="598"/>
      <c r="C679" s="597"/>
      <c r="D679" s="597"/>
      <c r="E679" s="597"/>
      <c r="F679" s="597"/>
      <c r="G679" s="597"/>
      <c r="H679" s="597"/>
      <c r="I679" s="597"/>
      <c r="J679" s="614" t="s">
        <v>1305</v>
      </c>
      <c r="K679" s="615"/>
      <c r="L679" s="610"/>
      <c r="M679" s="611"/>
      <c r="N679" s="616" t="s">
        <v>3355</v>
      </c>
      <c r="O679" s="616" t="s">
        <v>1177</v>
      </c>
      <c r="P679" s="611" t="s">
        <v>3381</v>
      </c>
      <c r="Q679" s="597"/>
      <c r="R679" s="597"/>
      <c r="S679" s="597"/>
      <c r="T679" s="597"/>
      <c r="U679" s="597"/>
      <c r="V679" s="597"/>
      <c r="W679" s="597"/>
      <c r="X679" s="597"/>
      <c r="Y679" s="597"/>
      <c r="Z679" s="597"/>
      <c r="AA679" s="597"/>
    </row>
    <row r="680" spans="1:27" ht="12" customHeight="1">
      <c r="A680" s="597"/>
      <c r="B680" s="598"/>
      <c r="C680" s="597"/>
      <c r="D680" s="597"/>
      <c r="E680" s="597"/>
      <c r="F680" s="597"/>
      <c r="G680" s="597"/>
      <c r="H680" s="597"/>
      <c r="I680" s="597"/>
      <c r="J680" s="614" t="s">
        <v>1307</v>
      </c>
      <c r="K680" s="615"/>
      <c r="L680" s="610"/>
      <c r="M680" s="611"/>
      <c r="N680" s="616" t="s">
        <v>444</v>
      </c>
      <c r="O680" s="616" t="s">
        <v>1332</v>
      </c>
      <c r="P680" s="611" t="s">
        <v>3264</v>
      </c>
      <c r="Q680" s="597"/>
      <c r="R680" s="597"/>
      <c r="S680" s="597"/>
      <c r="T680" s="597"/>
      <c r="U680" s="597"/>
      <c r="V680" s="597"/>
      <c r="W680" s="597"/>
      <c r="X680" s="597"/>
      <c r="Y680" s="597"/>
      <c r="Z680" s="597"/>
      <c r="AA680" s="597"/>
    </row>
    <row r="681" spans="1:27" ht="12" customHeight="1">
      <c r="A681" s="597"/>
      <c r="B681" s="598"/>
      <c r="C681" s="597"/>
      <c r="D681" s="597"/>
      <c r="E681" s="597"/>
      <c r="F681" s="597"/>
      <c r="G681" s="597"/>
      <c r="H681" s="597"/>
      <c r="I681" s="597"/>
      <c r="J681" s="614" t="s">
        <v>3354</v>
      </c>
      <c r="K681" s="615"/>
      <c r="L681" s="610"/>
      <c r="M681" s="611"/>
      <c r="N681" s="616" t="s">
        <v>446</v>
      </c>
      <c r="O681" s="616" t="s">
        <v>522</v>
      </c>
      <c r="P681" s="611" t="s">
        <v>3265</v>
      </c>
      <c r="Q681" s="597"/>
      <c r="R681" s="597"/>
      <c r="S681" s="597"/>
      <c r="T681" s="597"/>
      <c r="U681" s="597"/>
      <c r="V681" s="597"/>
      <c r="W681" s="597"/>
      <c r="X681" s="597"/>
      <c r="Y681" s="597"/>
      <c r="Z681" s="597"/>
      <c r="AA681" s="597"/>
    </row>
    <row r="682" spans="1:27" ht="12" customHeight="1">
      <c r="A682" s="597"/>
      <c r="B682" s="598"/>
      <c r="C682" s="597"/>
      <c r="D682" s="597"/>
      <c r="E682" s="597"/>
      <c r="F682" s="597"/>
      <c r="G682" s="597"/>
      <c r="H682" s="597"/>
      <c r="I682" s="597"/>
      <c r="J682" s="614" t="s">
        <v>443</v>
      </c>
      <c r="K682" s="615"/>
      <c r="L682" s="610"/>
      <c r="M682" s="611"/>
      <c r="N682" s="616" t="s">
        <v>2417</v>
      </c>
      <c r="O682" s="616" t="s">
        <v>3735</v>
      </c>
      <c r="P682" s="611" t="s">
        <v>3266</v>
      </c>
      <c r="Q682" s="597"/>
      <c r="R682" s="597"/>
      <c r="S682" s="597"/>
      <c r="T682" s="597"/>
      <c r="U682" s="597"/>
      <c r="V682" s="597"/>
      <c r="W682" s="597"/>
      <c r="X682" s="597"/>
      <c r="Y682" s="597"/>
      <c r="Z682" s="597"/>
      <c r="AA682" s="597"/>
    </row>
    <row r="683" spans="1:27" ht="12" customHeight="1">
      <c r="A683" s="597"/>
      <c r="B683" s="598"/>
      <c r="C683" s="597"/>
      <c r="D683" s="597"/>
      <c r="E683" s="597"/>
      <c r="F683" s="597"/>
      <c r="G683" s="597"/>
      <c r="H683" s="597"/>
      <c r="I683" s="597"/>
      <c r="J683" s="614" t="s">
        <v>445</v>
      </c>
      <c r="K683" s="615"/>
      <c r="L683" s="610"/>
      <c r="M683" s="611"/>
      <c r="N683" s="616" t="s">
        <v>606</v>
      </c>
      <c r="O683" s="616" t="s">
        <v>2753</v>
      </c>
      <c r="P683" s="611" t="s">
        <v>3267</v>
      </c>
      <c r="Q683" s="597"/>
      <c r="R683" s="597"/>
      <c r="S683" s="597"/>
      <c r="T683" s="597"/>
      <c r="U683" s="597"/>
      <c r="V683" s="597"/>
      <c r="W683" s="597"/>
      <c r="X683" s="597"/>
      <c r="Y683" s="597"/>
      <c r="Z683" s="597"/>
      <c r="AA683" s="597"/>
    </row>
    <row r="684" spans="1:27" ht="12" customHeight="1">
      <c r="A684" s="597"/>
      <c r="B684" s="598"/>
      <c r="C684" s="597"/>
      <c r="D684" s="597"/>
      <c r="E684" s="597"/>
      <c r="F684" s="597"/>
      <c r="G684" s="597"/>
      <c r="H684" s="597"/>
      <c r="I684" s="597"/>
      <c r="J684" s="614" t="s">
        <v>2416</v>
      </c>
      <c r="K684" s="615"/>
      <c r="L684" s="610"/>
      <c r="M684" s="611"/>
      <c r="N684" s="616" t="s">
        <v>2836</v>
      </c>
      <c r="O684" s="616" t="s">
        <v>2165</v>
      </c>
      <c r="P684" s="611" t="s">
        <v>3268</v>
      </c>
      <c r="Q684" s="597"/>
      <c r="R684" s="597"/>
      <c r="S684" s="597"/>
      <c r="T684" s="597"/>
      <c r="U684" s="597"/>
      <c r="V684" s="597"/>
      <c r="W684" s="597"/>
      <c r="X684" s="597"/>
      <c r="Y684" s="597"/>
      <c r="Z684" s="597"/>
      <c r="AA684" s="597"/>
    </row>
    <row r="685" spans="1:27" ht="12" customHeight="1">
      <c r="A685" s="597"/>
      <c r="B685" s="598"/>
      <c r="C685" s="597"/>
      <c r="D685" s="597"/>
      <c r="E685" s="597"/>
      <c r="F685" s="597"/>
      <c r="G685" s="597"/>
      <c r="H685" s="597"/>
      <c r="I685" s="597"/>
      <c r="J685" s="614" t="s">
        <v>605</v>
      </c>
      <c r="K685" s="615"/>
      <c r="L685" s="610"/>
      <c r="M685" s="611"/>
      <c r="N685" s="498" t="s">
        <v>2561</v>
      </c>
      <c r="O685" s="498" t="s">
        <v>3175</v>
      </c>
      <c r="P685" s="1363" t="s">
        <v>967</v>
      </c>
      <c r="Q685" s="597"/>
      <c r="R685" s="597"/>
      <c r="S685" s="597"/>
      <c r="T685" s="597"/>
      <c r="U685" s="597"/>
      <c r="V685" s="597"/>
      <c r="W685" s="597"/>
      <c r="X685" s="597"/>
      <c r="Y685" s="597"/>
      <c r="Z685" s="597"/>
      <c r="AA685" s="597"/>
    </row>
    <row r="686" spans="1:27" ht="12" customHeight="1">
      <c r="A686" s="597"/>
      <c r="B686" s="598"/>
      <c r="C686" s="597"/>
      <c r="D686" s="597"/>
      <c r="E686" s="597"/>
      <c r="F686" s="597"/>
      <c r="G686" s="597"/>
      <c r="H686" s="597"/>
      <c r="I686" s="597"/>
      <c r="J686" s="614" t="s">
        <v>607</v>
      </c>
      <c r="K686" s="615"/>
      <c r="L686" s="610"/>
      <c r="M686" s="611"/>
      <c r="N686" s="616" t="s">
        <v>1933</v>
      </c>
      <c r="O686" s="616" t="s">
        <v>3751</v>
      </c>
      <c r="P686" s="611" t="s">
        <v>3269</v>
      </c>
      <c r="Q686" s="597"/>
      <c r="R686" s="597"/>
      <c r="S686" s="597"/>
      <c r="T686" s="597"/>
      <c r="U686" s="597"/>
      <c r="V686" s="597"/>
      <c r="W686" s="597"/>
      <c r="X686" s="597"/>
      <c r="Y686" s="597"/>
      <c r="Z686" s="597"/>
      <c r="AA686" s="597"/>
    </row>
    <row r="687" spans="1:27" ht="12" customHeight="1">
      <c r="A687" s="597"/>
      <c r="B687" s="598"/>
      <c r="C687" s="597"/>
      <c r="D687" s="597"/>
      <c r="E687" s="597"/>
      <c r="F687" s="597"/>
      <c r="G687" s="597"/>
      <c r="H687" s="597"/>
      <c r="I687" s="597"/>
      <c r="J687" s="614" t="s">
        <v>1931</v>
      </c>
      <c r="K687" s="615"/>
      <c r="L687" s="610"/>
      <c r="M687" s="611"/>
      <c r="N687" s="616" t="s">
        <v>1077</v>
      </c>
      <c r="O687" s="616" t="s">
        <v>2158</v>
      </c>
      <c r="P687" s="611" t="s">
        <v>3270</v>
      </c>
      <c r="Q687" s="597"/>
      <c r="R687" s="597"/>
      <c r="S687" s="597"/>
      <c r="T687" s="597"/>
      <c r="U687" s="597"/>
      <c r="V687" s="597"/>
      <c r="W687" s="597"/>
      <c r="X687" s="597"/>
      <c r="Y687" s="597"/>
      <c r="Z687" s="597"/>
      <c r="AA687" s="597"/>
    </row>
    <row r="688" spans="1:27" ht="12" customHeight="1">
      <c r="A688" s="597"/>
      <c r="B688" s="598"/>
      <c r="C688" s="597"/>
      <c r="D688" s="597"/>
      <c r="E688" s="597"/>
      <c r="F688" s="597"/>
      <c r="G688" s="597"/>
      <c r="H688" s="597"/>
      <c r="I688" s="597"/>
      <c r="J688" s="614" t="s">
        <v>1932</v>
      </c>
      <c r="K688" s="615"/>
      <c r="L688" s="610"/>
      <c r="M688" s="611"/>
      <c r="N688" s="616" t="s">
        <v>1693</v>
      </c>
      <c r="O688" s="616" t="s">
        <v>2144</v>
      </c>
      <c r="P688" s="611" t="s">
        <v>3271</v>
      </c>
      <c r="Q688" s="597"/>
      <c r="R688" s="597"/>
      <c r="S688" s="597"/>
      <c r="T688" s="597"/>
      <c r="U688" s="597"/>
      <c r="V688" s="597"/>
      <c r="W688" s="597"/>
      <c r="X688" s="597"/>
      <c r="Y688" s="597"/>
      <c r="Z688" s="597"/>
      <c r="AA688" s="597"/>
    </row>
    <row r="689" spans="1:27" ht="12" customHeight="1">
      <c r="A689" s="597"/>
      <c r="B689" s="598"/>
      <c r="C689" s="597"/>
      <c r="D689" s="597"/>
      <c r="E689" s="597"/>
      <c r="F689" s="597"/>
      <c r="G689" s="597"/>
      <c r="H689" s="597"/>
      <c r="I689" s="597"/>
      <c r="J689" s="614" t="s">
        <v>1075</v>
      </c>
      <c r="K689" s="615"/>
      <c r="L689" s="610"/>
      <c r="M689" s="611"/>
      <c r="N689" s="616" t="s">
        <v>2626</v>
      </c>
      <c r="O689" s="616" t="s">
        <v>998</v>
      </c>
      <c r="P689" s="611" t="s">
        <v>3385</v>
      </c>
      <c r="Q689" s="597"/>
      <c r="R689" s="597"/>
      <c r="S689" s="597"/>
      <c r="T689" s="597"/>
      <c r="U689" s="597"/>
      <c r="V689" s="597"/>
      <c r="W689" s="597"/>
      <c r="X689" s="597"/>
      <c r="Y689" s="597"/>
      <c r="Z689" s="597"/>
      <c r="AA689" s="597"/>
    </row>
    <row r="690" spans="1:27" ht="12" customHeight="1">
      <c r="A690" s="597"/>
      <c r="B690" s="598"/>
      <c r="C690" s="597"/>
      <c r="D690" s="597"/>
      <c r="E690" s="597"/>
      <c r="F690" s="597"/>
      <c r="G690" s="597"/>
      <c r="H690" s="597"/>
      <c r="I690" s="597"/>
      <c r="J690" s="614" t="s">
        <v>1076</v>
      </c>
      <c r="K690" s="615"/>
      <c r="L690" s="610"/>
      <c r="M690" s="611"/>
      <c r="N690" s="616" t="s">
        <v>2628</v>
      </c>
      <c r="O690" s="616" t="s">
        <v>3742</v>
      </c>
      <c r="P690" s="611" t="s">
        <v>3585</v>
      </c>
      <c r="Q690" s="597"/>
      <c r="R690" s="597"/>
      <c r="S690" s="597"/>
      <c r="T690" s="597"/>
      <c r="U690" s="597"/>
      <c r="V690" s="597"/>
      <c r="W690" s="597"/>
      <c r="X690" s="597"/>
      <c r="Y690" s="597"/>
      <c r="Z690" s="597"/>
      <c r="AA690" s="597"/>
    </row>
    <row r="691" spans="1:27" ht="12" customHeight="1">
      <c r="A691" s="597"/>
      <c r="B691" s="598"/>
      <c r="C691" s="597"/>
      <c r="D691" s="597"/>
      <c r="E691" s="597"/>
      <c r="F691" s="597"/>
      <c r="G691" s="597"/>
      <c r="H691" s="597"/>
      <c r="I691" s="597"/>
      <c r="J691" s="614" t="s">
        <v>1692</v>
      </c>
      <c r="K691" s="615"/>
      <c r="L691" s="610"/>
      <c r="M691" s="611"/>
      <c r="N691" s="616" t="s">
        <v>573</v>
      </c>
      <c r="O691" s="616" t="s">
        <v>3225</v>
      </c>
      <c r="P691" s="611" t="s">
        <v>3586</v>
      </c>
      <c r="Q691" s="597"/>
      <c r="R691" s="597"/>
      <c r="S691" s="597"/>
      <c r="T691" s="597"/>
      <c r="U691" s="597"/>
      <c r="V691" s="597"/>
      <c r="W691" s="597"/>
      <c r="X691" s="597"/>
      <c r="Y691" s="597"/>
      <c r="Z691" s="597"/>
      <c r="AA691" s="597"/>
    </row>
    <row r="692" spans="1:27" ht="12" customHeight="1">
      <c r="A692" s="597"/>
      <c r="B692" s="598"/>
      <c r="C692" s="597"/>
      <c r="D692" s="597"/>
      <c r="E692" s="597"/>
      <c r="F692" s="597"/>
      <c r="G692" s="597"/>
      <c r="H692" s="597"/>
      <c r="I692" s="597"/>
      <c r="J692" s="614" t="s">
        <v>1694</v>
      </c>
      <c r="K692" s="615"/>
      <c r="L692" s="610"/>
      <c r="M692" s="611"/>
      <c r="N692" s="616" t="s">
        <v>1318</v>
      </c>
      <c r="O692" s="616" t="s">
        <v>3994</v>
      </c>
      <c r="P692" s="611" t="s">
        <v>3587</v>
      </c>
      <c r="Q692" s="597"/>
      <c r="R692" s="597"/>
      <c r="S692" s="597"/>
      <c r="T692" s="597"/>
      <c r="U692" s="597"/>
      <c r="V692" s="597"/>
      <c r="W692" s="597"/>
      <c r="X692" s="597"/>
      <c r="Y692" s="597"/>
      <c r="Z692" s="597"/>
      <c r="AA692" s="597"/>
    </row>
    <row r="693" spans="1:27" ht="12" customHeight="1">
      <c r="A693" s="597"/>
      <c r="B693" s="598"/>
      <c r="C693" s="597"/>
      <c r="D693" s="597"/>
      <c r="E693" s="597"/>
      <c r="F693" s="597"/>
      <c r="G693" s="597"/>
      <c r="H693" s="597"/>
      <c r="I693" s="597"/>
      <c r="J693" s="614" t="s">
        <v>2625</v>
      </c>
      <c r="K693" s="615"/>
      <c r="L693" s="610"/>
      <c r="M693" s="611"/>
      <c r="N693" s="616" t="s">
        <v>1321</v>
      </c>
      <c r="O693" s="616" t="s">
        <v>998</v>
      </c>
      <c r="P693" s="611" t="s">
        <v>3588</v>
      </c>
      <c r="Q693" s="597"/>
      <c r="R693" s="597"/>
      <c r="S693" s="597"/>
      <c r="T693" s="597"/>
      <c r="U693" s="597"/>
      <c r="V693" s="597"/>
      <c r="W693" s="597"/>
      <c r="X693" s="597"/>
      <c r="Y693" s="597"/>
      <c r="Z693" s="597"/>
      <c r="AA693" s="597"/>
    </row>
    <row r="694" spans="1:27" ht="12" customHeight="1">
      <c r="A694" s="597"/>
      <c r="B694" s="598"/>
      <c r="C694" s="597"/>
      <c r="D694" s="597"/>
      <c r="E694" s="597"/>
      <c r="F694" s="597"/>
      <c r="G694" s="597"/>
      <c r="H694" s="597"/>
      <c r="I694" s="597"/>
      <c r="J694" s="614" t="s">
        <v>2627</v>
      </c>
      <c r="K694" s="615"/>
      <c r="L694" s="610"/>
      <c r="M694" s="611"/>
      <c r="N694" s="616" t="s">
        <v>1323</v>
      </c>
      <c r="O694" s="616" t="s">
        <v>3897</v>
      </c>
      <c r="P694" s="611" t="s">
        <v>3589</v>
      </c>
      <c r="Q694" s="597"/>
      <c r="R694" s="597"/>
      <c r="S694" s="597"/>
      <c r="T694" s="597"/>
      <c r="U694" s="597"/>
      <c r="V694" s="597"/>
      <c r="W694" s="597"/>
      <c r="X694" s="597"/>
      <c r="Y694" s="597"/>
      <c r="Z694" s="597"/>
      <c r="AA694" s="597"/>
    </row>
    <row r="695" spans="1:27" ht="12" customHeight="1">
      <c r="A695" s="597"/>
      <c r="B695" s="598"/>
      <c r="C695" s="597"/>
      <c r="D695" s="597"/>
      <c r="E695" s="597"/>
      <c r="F695" s="597"/>
      <c r="G695" s="597"/>
      <c r="H695" s="597"/>
      <c r="I695" s="597"/>
      <c r="J695" s="614" t="s">
        <v>2629</v>
      </c>
      <c r="K695" s="615"/>
      <c r="L695" s="610"/>
      <c r="M695" s="611"/>
      <c r="N695" s="616" t="s">
        <v>3160</v>
      </c>
      <c r="O695" s="616" t="s">
        <v>681</v>
      </c>
      <c r="P695" s="611" t="s">
        <v>3590</v>
      </c>
      <c r="Q695" s="597"/>
      <c r="R695" s="597"/>
      <c r="S695" s="597"/>
      <c r="T695" s="597"/>
      <c r="U695" s="597"/>
      <c r="V695" s="597"/>
      <c r="W695" s="597"/>
      <c r="X695" s="597"/>
      <c r="Y695" s="597"/>
      <c r="Z695" s="597"/>
      <c r="AA695" s="597"/>
    </row>
    <row r="696" spans="1:27" ht="12" customHeight="1">
      <c r="A696" s="597"/>
      <c r="B696" s="598"/>
      <c r="C696" s="597"/>
      <c r="D696" s="597"/>
      <c r="E696" s="597"/>
      <c r="F696" s="597"/>
      <c r="G696" s="597"/>
      <c r="H696" s="597"/>
      <c r="I696" s="597"/>
      <c r="J696" s="614" t="s">
        <v>572</v>
      </c>
      <c r="K696" s="615"/>
      <c r="L696" s="610"/>
      <c r="M696" s="611"/>
      <c r="N696" s="616" t="s">
        <v>2837</v>
      </c>
      <c r="O696" s="616" t="s">
        <v>1013</v>
      </c>
      <c r="P696" s="611" t="s">
        <v>3591</v>
      </c>
      <c r="Q696" s="597"/>
      <c r="R696" s="597"/>
      <c r="S696" s="597"/>
      <c r="T696" s="597"/>
      <c r="U696" s="597"/>
      <c r="V696" s="597"/>
      <c r="W696" s="597"/>
      <c r="X696" s="597"/>
      <c r="Y696" s="597"/>
      <c r="Z696" s="597"/>
      <c r="AA696" s="597"/>
    </row>
    <row r="697" spans="1:27" ht="12" customHeight="1">
      <c r="A697" s="597"/>
      <c r="B697" s="598"/>
      <c r="C697" s="597"/>
      <c r="D697" s="597"/>
      <c r="E697" s="597"/>
      <c r="F697" s="597"/>
      <c r="G697" s="597"/>
      <c r="H697" s="597"/>
      <c r="I697" s="597"/>
      <c r="J697" s="614" t="s">
        <v>574</v>
      </c>
      <c r="K697" s="615"/>
      <c r="L697" s="610"/>
      <c r="M697" s="611"/>
      <c r="N697" s="498" t="s">
        <v>2566</v>
      </c>
      <c r="O697" s="498" t="s">
        <v>1330</v>
      </c>
      <c r="P697" s="1363" t="s">
        <v>967</v>
      </c>
      <c r="Q697" s="597"/>
      <c r="R697" s="597"/>
      <c r="S697" s="597"/>
      <c r="T697" s="597"/>
      <c r="U697" s="597"/>
      <c r="V697" s="597"/>
      <c r="W697" s="597"/>
      <c r="X697" s="597"/>
      <c r="Y697" s="597"/>
      <c r="Z697" s="597"/>
      <c r="AA697" s="597"/>
    </row>
    <row r="698" spans="1:27" ht="12" customHeight="1">
      <c r="A698" s="597"/>
      <c r="B698" s="598"/>
      <c r="C698" s="597"/>
      <c r="D698" s="597"/>
      <c r="E698" s="597"/>
      <c r="F698" s="597"/>
      <c r="G698" s="597"/>
      <c r="H698" s="597"/>
      <c r="I698" s="597"/>
      <c r="J698" s="614" t="s">
        <v>575</v>
      </c>
      <c r="K698" s="615"/>
      <c r="L698" s="610"/>
      <c r="M698" s="611"/>
      <c r="N698" s="498" t="s">
        <v>2432</v>
      </c>
      <c r="O698" s="498" t="s">
        <v>1174</v>
      </c>
      <c r="P698" s="1363" t="s">
        <v>967</v>
      </c>
      <c r="Q698" s="597"/>
      <c r="R698" s="597"/>
      <c r="S698" s="597"/>
      <c r="T698" s="597"/>
      <c r="U698" s="597"/>
      <c r="V698" s="597"/>
      <c r="W698" s="597"/>
      <c r="X698" s="597"/>
      <c r="Y698" s="597"/>
      <c r="Z698" s="597"/>
      <c r="AA698" s="597"/>
    </row>
    <row r="699" spans="1:27" ht="12" customHeight="1">
      <c r="A699" s="597"/>
      <c r="B699" s="598"/>
      <c r="C699" s="597"/>
      <c r="D699" s="597"/>
      <c r="E699" s="597"/>
      <c r="F699" s="597"/>
      <c r="G699" s="597"/>
      <c r="H699" s="597"/>
      <c r="I699" s="597"/>
      <c r="J699" s="614" t="s">
        <v>1319</v>
      </c>
      <c r="K699" s="615"/>
      <c r="L699" s="610"/>
      <c r="M699" s="611"/>
      <c r="N699" s="616" t="s">
        <v>2067</v>
      </c>
      <c r="O699" s="616" t="s">
        <v>2383</v>
      </c>
      <c r="P699" s="611" t="s">
        <v>3592</v>
      </c>
      <c r="Q699" s="597"/>
      <c r="R699" s="597"/>
      <c r="S699" s="597"/>
      <c r="T699" s="597"/>
      <c r="U699" s="597"/>
      <c r="V699" s="597"/>
      <c r="W699" s="597"/>
      <c r="X699" s="597"/>
      <c r="Y699" s="597"/>
      <c r="Z699" s="597"/>
      <c r="AA699" s="597"/>
    </row>
    <row r="700" spans="1:27" ht="12" customHeight="1">
      <c r="A700" s="597"/>
      <c r="B700" s="598"/>
      <c r="C700" s="597"/>
      <c r="D700" s="597"/>
      <c r="E700" s="597"/>
      <c r="F700" s="597"/>
      <c r="G700" s="597"/>
      <c r="H700" s="597"/>
      <c r="I700" s="597"/>
      <c r="J700" s="614" t="s">
        <v>1320</v>
      </c>
      <c r="K700" s="615"/>
      <c r="L700" s="610"/>
      <c r="M700" s="611"/>
      <c r="N700" s="616" t="s">
        <v>837</v>
      </c>
      <c r="O700" s="616" t="s">
        <v>3994</v>
      </c>
      <c r="P700" s="611" t="s">
        <v>3593</v>
      </c>
      <c r="Q700" s="597"/>
      <c r="R700" s="597"/>
      <c r="S700" s="597"/>
      <c r="T700" s="597"/>
      <c r="U700" s="597"/>
      <c r="V700" s="597"/>
      <c r="W700" s="597"/>
      <c r="X700" s="597"/>
      <c r="Y700" s="597"/>
      <c r="Z700" s="597"/>
      <c r="AA700" s="597"/>
    </row>
    <row r="701" spans="1:27" ht="12" customHeight="1">
      <c r="A701" s="597"/>
      <c r="B701" s="598"/>
      <c r="C701" s="597"/>
      <c r="D701" s="597"/>
      <c r="E701" s="597"/>
      <c r="F701" s="597"/>
      <c r="G701" s="597"/>
      <c r="H701" s="597"/>
      <c r="I701" s="597"/>
      <c r="J701" s="614" t="s">
        <v>1322</v>
      </c>
      <c r="K701" s="615"/>
      <c r="L701" s="610"/>
      <c r="M701" s="611"/>
      <c r="N701" s="616" t="s">
        <v>2108</v>
      </c>
      <c r="O701" s="616" t="s">
        <v>998</v>
      </c>
      <c r="P701" s="611" t="s">
        <v>3594</v>
      </c>
      <c r="Q701" s="597"/>
      <c r="R701" s="597"/>
      <c r="S701" s="597"/>
      <c r="T701" s="597"/>
      <c r="U701" s="597"/>
      <c r="V701" s="597"/>
      <c r="W701" s="597"/>
      <c r="X701" s="597"/>
      <c r="Y701" s="597"/>
      <c r="Z701" s="597"/>
      <c r="AA701" s="597"/>
    </row>
    <row r="702" spans="1:27" ht="12" customHeight="1">
      <c r="A702" s="597"/>
      <c r="B702" s="598"/>
      <c r="C702" s="597"/>
      <c r="D702" s="597"/>
      <c r="E702" s="597"/>
      <c r="F702" s="597"/>
      <c r="G702" s="597"/>
      <c r="H702" s="597"/>
      <c r="I702" s="597"/>
      <c r="J702" s="614" t="s">
        <v>3159</v>
      </c>
      <c r="K702" s="615"/>
      <c r="L702" s="610"/>
      <c r="M702" s="611"/>
      <c r="N702" s="616" t="s">
        <v>891</v>
      </c>
      <c r="O702" s="616" t="s">
        <v>1207</v>
      </c>
      <c r="P702" s="611" t="s">
        <v>3595</v>
      </c>
      <c r="Q702" s="597"/>
      <c r="R702" s="597"/>
      <c r="S702" s="597"/>
      <c r="T702" s="597"/>
      <c r="U702" s="597"/>
      <c r="V702" s="597"/>
      <c r="W702" s="597"/>
      <c r="X702" s="597"/>
      <c r="Y702" s="597"/>
      <c r="Z702" s="597"/>
      <c r="AA702" s="597"/>
    </row>
    <row r="703" spans="1:27" ht="12" customHeight="1">
      <c r="A703" s="597"/>
      <c r="B703" s="598"/>
      <c r="C703" s="597"/>
      <c r="D703" s="597"/>
      <c r="E703" s="597"/>
      <c r="F703" s="597"/>
      <c r="G703" s="597"/>
      <c r="H703" s="597"/>
      <c r="I703" s="597"/>
      <c r="J703" s="614" t="s">
        <v>3161</v>
      </c>
      <c r="K703" s="615"/>
      <c r="L703" s="610"/>
      <c r="M703" s="611"/>
      <c r="N703" s="616" t="s">
        <v>895</v>
      </c>
      <c r="O703" s="616" t="s">
        <v>1009</v>
      </c>
      <c r="P703" s="611" t="s">
        <v>3596</v>
      </c>
      <c r="Q703" s="597"/>
      <c r="R703" s="597"/>
      <c r="S703" s="597"/>
      <c r="T703" s="597"/>
      <c r="U703" s="597"/>
      <c r="V703" s="597"/>
      <c r="W703" s="597"/>
      <c r="X703" s="597"/>
      <c r="Y703" s="597"/>
      <c r="Z703" s="597"/>
      <c r="AA703" s="597"/>
    </row>
    <row r="704" spans="1:27" ht="12" customHeight="1">
      <c r="A704" s="597"/>
      <c r="B704" s="598"/>
      <c r="C704" s="597"/>
      <c r="D704" s="597"/>
      <c r="E704" s="597"/>
      <c r="F704" s="597"/>
      <c r="G704" s="597"/>
      <c r="H704" s="597"/>
      <c r="I704" s="597"/>
      <c r="J704" s="614" t="s">
        <v>3162</v>
      </c>
      <c r="K704" s="615"/>
      <c r="L704" s="610"/>
      <c r="M704" s="611"/>
      <c r="N704" s="616" t="s">
        <v>897</v>
      </c>
      <c r="O704" s="616" t="s">
        <v>681</v>
      </c>
      <c r="P704" s="611" t="s">
        <v>3597</v>
      </c>
      <c r="Q704" s="597"/>
      <c r="R704" s="597"/>
      <c r="S704" s="597"/>
      <c r="T704" s="597"/>
      <c r="U704" s="597"/>
      <c r="V704" s="597"/>
      <c r="W704" s="597"/>
      <c r="X704" s="597"/>
      <c r="Y704" s="597"/>
      <c r="Z704" s="597"/>
      <c r="AA704" s="597"/>
    </row>
    <row r="705" spans="1:27" ht="12" customHeight="1">
      <c r="A705" s="597"/>
      <c r="B705" s="598"/>
      <c r="C705" s="597"/>
      <c r="D705" s="597"/>
      <c r="E705" s="597"/>
      <c r="F705" s="597"/>
      <c r="G705" s="597"/>
      <c r="H705" s="597"/>
      <c r="I705" s="597"/>
      <c r="J705" s="614" t="s">
        <v>836</v>
      </c>
      <c r="K705" s="615"/>
      <c r="L705" s="610"/>
      <c r="M705" s="611"/>
      <c r="N705" s="616" t="s">
        <v>2472</v>
      </c>
      <c r="O705" s="616" t="s">
        <v>1020</v>
      </c>
      <c r="P705" s="611" t="s">
        <v>3598</v>
      </c>
      <c r="Q705" s="597"/>
      <c r="R705" s="597"/>
      <c r="S705" s="597"/>
      <c r="T705" s="597"/>
      <c r="U705" s="597"/>
      <c r="V705" s="597"/>
      <c r="W705" s="597"/>
      <c r="X705" s="597"/>
      <c r="Y705" s="597"/>
      <c r="Z705" s="597"/>
      <c r="AA705" s="597"/>
    </row>
    <row r="706" spans="1:27" ht="12" customHeight="1">
      <c r="A706" s="597"/>
      <c r="B706" s="598"/>
      <c r="C706" s="597"/>
      <c r="D706" s="597"/>
      <c r="E706" s="597"/>
      <c r="F706" s="597"/>
      <c r="G706" s="597"/>
      <c r="H706" s="597"/>
      <c r="I706" s="597"/>
      <c r="J706" s="614" t="s">
        <v>4038</v>
      </c>
      <c r="K706" s="615"/>
      <c r="L706" s="610"/>
      <c r="M706" s="611"/>
      <c r="N706" s="616" t="s">
        <v>2474</v>
      </c>
      <c r="O706" s="616" t="s">
        <v>2449</v>
      </c>
      <c r="P706" s="611" t="s">
        <v>3599</v>
      </c>
      <c r="Q706" s="597"/>
      <c r="R706" s="597"/>
      <c r="S706" s="597"/>
      <c r="T706" s="597"/>
      <c r="U706" s="597"/>
      <c r="V706" s="597"/>
      <c r="W706" s="597"/>
      <c r="X706" s="597"/>
      <c r="Y706" s="597"/>
      <c r="Z706" s="597"/>
      <c r="AA706" s="597"/>
    </row>
    <row r="707" spans="1:27" ht="12" customHeight="1">
      <c r="A707" s="597"/>
      <c r="B707" s="598"/>
      <c r="C707" s="597"/>
      <c r="D707" s="597"/>
      <c r="E707" s="597"/>
      <c r="F707" s="597"/>
      <c r="G707" s="597"/>
      <c r="H707" s="597"/>
      <c r="I707" s="597"/>
      <c r="J707" s="614" t="s">
        <v>2109</v>
      </c>
      <c r="K707" s="615"/>
      <c r="L707" s="610"/>
      <c r="M707" s="611"/>
      <c r="N707" s="616" t="s">
        <v>1130</v>
      </c>
      <c r="O707" s="616" t="s">
        <v>3737</v>
      </c>
      <c r="P707" s="611" t="s">
        <v>3600</v>
      </c>
      <c r="Q707" s="597"/>
      <c r="R707" s="597"/>
      <c r="S707" s="597"/>
      <c r="T707" s="597"/>
      <c r="U707" s="597"/>
      <c r="V707" s="597"/>
      <c r="W707" s="597"/>
      <c r="X707" s="597"/>
      <c r="Y707" s="597"/>
      <c r="Z707" s="597"/>
      <c r="AA707" s="597"/>
    </row>
    <row r="708" spans="1:27" ht="12" customHeight="1">
      <c r="A708" s="597"/>
      <c r="B708" s="598"/>
      <c r="C708" s="597"/>
      <c r="D708" s="597"/>
      <c r="E708" s="597"/>
      <c r="F708" s="597"/>
      <c r="G708" s="597"/>
      <c r="H708" s="597"/>
      <c r="I708" s="597"/>
      <c r="J708" s="614" t="s">
        <v>892</v>
      </c>
      <c r="K708" s="615"/>
      <c r="L708" s="610"/>
      <c r="M708" s="611"/>
      <c r="N708" s="616" t="s">
        <v>1264</v>
      </c>
      <c r="O708" s="616" t="s">
        <v>3995</v>
      </c>
      <c r="P708" s="611" t="s">
        <v>3601</v>
      </c>
      <c r="Q708" s="597"/>
      <c r="R708" s="597"/>
      <c r="S708" s="597"/>
      <c r="T708" s="597"/>
      <c r="U708" s="597"/>
      <c r="V708" s="597"/>
      <c r="W708" s="597"/>
      <c r="X708" s="597"/>
      <c r="Y708" s="597"/>
      <c r="Z708" s="597"/>
      <c r="AA708" s="597"/>
    </row>
    <row r="709" spans="1:27" ht="12" customHeight="1">
      <c r="A709" s="597"/>
      <c r="B709" s="598"/>
      <c r="C709" s="597"/>
      <c r="D709" s="597"/>
      <c r="E709" s="597"/>
      <c r="F709" s="597"/>
      <c r="G709" s="597"/>
      <c r="H709" s="597"/>
      <c r="I709" s="597"/>
      <c r="J709" s="614" t="s">
        <v>896</v>
      </c>
      <c r="K709" s="615"/>
      <c r="L709" s="610"/>
      <c r="M709" s="611"/>
      <c r="N709" s="616" t="s">
        <v>1266</v>
      </c>
      <c r="O709" s="616" t="s">
        <v>3746</v>
      </c>
      <c r="P709" s="611" t="s">
        <v>3602</v>
      </c>
      <c r="Q709" s="1364"/>
      <c r="R709" s="597"/>
      <c r="S709" s="597"/>
      <c r="T709" s="597"/>
      <c r="U709" s="597"/>
      <c r="V709" s="597"/>
      <c r="W709" s="597"/>
      <c r="X709" s="597"/>
      <c r="Y709" s="597"/>
      <c r="Z709" s="597"/>
      <c r="AA709" s="597"/>
    </row>
    <row r="710" spans="1:27" ht="12" customHeight="1">
      <c r="A710" s="597"/>
      <c r="B710" s="598"/>
      <c r="C710" s="597"/>
      <c r="D710" s="597"/>
      <c r="E710" s="597"/>
      <c r="F710" s="597"/>
      <c r="G710" s="597"/>
      <c r="H710" s="597"/>
      <c r="I710" s="597"/>
      <c r="J710" s="614" t="s">
        <v>1433</v>
      </c>
      <c r="K710" s="615"/>
      <c r="L710" s="610"/>
      <c r="M710" s="611"/>
      <c r="N710" s="616" t="s">
        <v>1268</v>
      </c>
      <c r="O710" s="616" t="s">
        <v>3820</v>
      </c>
      <c r="P710" s="611" t="s">
        <v>3603</v>
      </c>
      <c r="Q710" s="597"/>
      <c r="R710" s="597"/>
      <c r="S710" s="597"/>
      <c r="T710" s="597"/>
      <c r="U710" s="597"/>
      <c r="V710" s="597"/>
      <c r="W710" s="597"/>
      <c r="X710" s="597"/>
      <c r="Y710" s="597"/>
      <c r="Z710" s="597"/>
      <c r="AA710" s="597"/>
    </row>
    <row r="711" spans="1:27" ht="12" customHeight="1">
      <c r="A711" s="597"/>
      <c r="B711" s="598"/>
      <c r="C711" s="597"/>
      <c r="D711" s="597"/>
      <c r="E711" s="597"/>
      <c r="F711" s="597"/>
      <c r="G711" s="597"/>
      <c r="H711" s="597"/>
      <c r="I711" s="597"/>
      <c r="J711" s="614" t="s">
        <v>2473</v>
      </c>
      <c r="K711" s="615"/>
      <c r="L711" s="610"/>
      <c r="M711" s="611"/>
      <c r="N711" s="616" t="s">
        <v>3477</v>
      </c>
      <c r="O711" s="616" t="s">
        <v>2145</v>
      </c>
      <c r="P711" s="611" t="s">
        <v>3604</v>
      </c>
      <c r="Q711" s="597"/>
      <c r="R711" s="597"/>
      <c r="S711" s="597"/>
      <c r="T711" s="597"/>
      <c r="U711" s="597"/>
      <c r="V711" s="597"/>
      <c r="W711" s="597"/>
      <c r="X711" s="597"/>
      <c r="Y711" s="597"/>
      <c r="Z711" s="597"/>
      <c r="AA711" s="597"/>
    </row>
    <row r="712" spans="1:27" ht="12" customHeight="1">
      <c r="A712" s="597"/>
      <c r="B712" s="598"/>
      <c r="C712" s="597"/>
      <c r="D712" s="597"/>
      <c r="E712" s="597"/>
      <c r="F712" s="597"/>
      <c r="G712" s="597"/>
      <c r="H712" s="597"/>
      <c r="I712" s="597"/>
      <c r="J712" s="614" t="s">
        <v>1129</v>
      </c>
      <c r="K712" s="615"/>
      <c r="L712" s="610"/>
      <c r="M712" s="611"/>
      <c r="N712" s="616" t="s">
        <v>1073</v>
      </c>
      <c r="O712" s="616" t="s">
        <v>2825</v>
      </c>
      <c r="P712" s="611" t="s">
        <v>3605</v>
      </c>
      <c r="Q712" s="597"/>
      <c r="R712" s="597"/>
      <c r="S712" s="597"/>
      <c r="T712" s="597"/>
      <c r="U712" s="597"/>
      <c r="V712" s="597"/>
      <c r="W712" s="597"/>
      <c r="X712" s="597"/>
      <c r="Y712" s="597"/>
      <c r="Z712" s="597"/>
      <c r="AA712" s="597"/>
    </row>
    <row r="713" spans="1:27" ht="12" customHeight="1">
      <c r="A713" s="597"/>
      <c r="B713" s="598"/>
      <c r="C713" s="597"/>
      <c r="D713" s="597"/>
      <c r="E713" s="597"/>
      <c r="F713" s="597"/>
      <c r="G713" s="597"/>
      <c r="H713" s="597"/>
      <c r="I713" s="597"/>
      <c r="J713" s="614" t="s">
        <v>1263</v>
      </c>
      <c r="K713" s="615"/>
      <c r="L713" s="610"/>
      <c r="M713" s="611"/>
      <c r="N713" s="616" t="s">
        <v>1095</v>
      </c>
      <c r="O713" s="616" t="s">
        <v>3979</v>
      </c>
      <c r="P713" s="611" t="s">
        <v>2503</v>
      </c>
      <c r="Q713" s="597"/>
      <c r="R713" s="597"/>
      <c r="S713" s="597"/>
      <c r="T713" s="597"/>
      <c r="U713" s="597"/>
      <c r="V713" s="597"/>
      <c r="W713" s="597"/>
      <c r="X713" s="597"/>
      <c r="Y713" s="597"/>
      <c r="Z713" s="597"/>
      <c r="AA713" s="597"/>
    </row>
    <row r="714" spans="1:27" ht="12" customHeight="1">
      <c r="A714" s="597"/>
      <c r="B714" s="598"/>
      <c r="C714" s="597"/>
      <c r="D714" s="597"/>
      <c r="E714" s="597"/>
      <c r="F714" s="597"/>
      <c r="G714" s="597"/>
      <c r="H714" s="597"/>
      <c r="I714" s="597"/>
      <c r="J714" s="614" t="s">
        <v>1265</v>
      </c>
      <c r="K714" s="615"/>
      <c r="L714" s="610"/>
      <c r="M714" s="611"/>
      <c r="N714" s="616" t="s">
        <v>2855</v>
      </c>
      <c r="O714" s="616" t="s">
        <v>1174</v>
      </c>
      <c r="P714" s="1362" t="s">
        <v>2846</v>
      </c>
      <c r="Q714" s="597"/>
      <c r="R714" s="597"/>
      <c r="S714" s="597"/>
      <c r="T714" s="597"/>
      <c r="U714" s="597"/>
      <c r="V714" s="597"/>
      <c r="W714" s="597"/>
      <c r="X714" s="597"/>
      <c r="Y714" s="597"/>
      <c r="Z714" s="597"/>
      <c r="AA714" s="597"/>
    </row>
    <row r="715" spans="1:27" ht="12" customHeight="1">
      <c r="A715" s="597"/>
      <c r="B715" s="598"/>
      <c r="C715" s="597"/>
      <c r="D715" s="597"/>
      <c r="E715" s="597"/>
      <c r="F715" s="597"/>
      <c r="G715" s="597"/>
      <c r="H715" s="597"/>
      <c r="I715" s="597"/>
      <c r="J715" s="614" t="s">
        <v>1267</v>
      </c>
      <c r="K715" s="615"/>
      <c r="L715" s="610"/>
      <c r="M715" s="611"/>
      <c r="N715" s="616" t="s">
        <v>1096</v>
      </c>
      <c r="O715" s="616" t="s">
        <v>1174</v>
      </c>
      <c r="P715" s="611" t="s">
        <v>3606</v>
      </c>
      <c r="Q715" s="597"/>
      <c r="R715" s="597"/>
      <c r="S715" s="597"/>
      <c r="T715" s="597"/>
      <c r="U715" s="597"/>
      <c r="V715" s="597"/>
      <c r="W715" s="597"/>
      <c r="X715" s="597"/>
      <c r="Y715" s="597"/>
      <c r="Z715" s="597"/>
      <c r="AA715" s="597"/>
    </row>
    <row r="716" spans="1:27" ht="12" customHeight="1">
      <c r="A716" s="597"/>
      <c r="B716" s="598"/>
      <c r="C716" s="597"/>
      <c r="D716" s="597"/>
      <c r="E716" s="597"/>
      <c r="F716" s="597"/>
      <c r="G716" s="597"/>
      <c r="H716" s="597"/>
      <c r="I716" s="597"/>
      <c r="J716" s="614" t="s">
        <v>3344</v>
      </c>
      <c r="K716" s="615"/>
      <c r="L716" s="610"/>
      <c r="M716" s="611"/>
      <c r="N716" s="616" t="s">
        <v>1097</v>
      </c>
      <c r="O716" s="616" t="s">
        <v>1542</v>
      </c>
      <c r="P716" s="611" t="s">
        <v>3607</v>
      </c>
      <c r="Q716" s="597"/>
      <c r="R716" s="597"/>
      <c r="S716" s="597"/>
      <c r="T716" s="597"/>
      <c r="U716" s="597"/>
      <c r="V716" s="597"/>
      <c r="W716" s="597"/>
      <c r="X716" s="597"/>
      <c r="Y716" s="597"/>
      <c r="Z716" s="597"/>
      <c r="AA716" s="597"/>
    </row>
    <row r="717" spans="1:27" ht="12" customHeight="1">
      <c r="A717" s="597"/>
      <c r="B717" s="598"/>
      <c r="C717" s="597"/>
      <c r="D717" s="597"/>
      <c r="E717" s="597"/>
      <c r="F717" s="597"/>
      <c r="G717" s="597"/>
      <c r="H717" s="597"/>
      <c r="I717" s="597"/>
      <c r="J717" s="614" t="s">
        <v>3468</v>
      </c>
      <c r="K717" s="615"/>
      <c r="L717" s="610"/>
      <c r="M717" s="611"/>
      <c r="N717" s="616" t="s">
        <v>865</v>
      </c>
      <c r="O717" s="616" t="s">
        <v>1294</v>
      </c>
      <c r="P717" s="611" t="s">
        <v>3608</v>
      </c>
      <c r="Q717" s="597"/>
      <c r="R717" s="597"/>
      <c r="S717" s="597"/>
      <c r="T717" s="597"/>
      <c r="U717" s="597"/>
      <c r="V717" s="597"/>
      <c r="W717" s="597"/>
      <c r="X717" s="597"/>
      <c r="Y717" s="597"/>
      <c r="Z717" s="597"/>
      <c r="AA717" s="597"/>
    </row>
    <row r="718" spans="1:27" ht="12" customHeight="1">
      <c r="A718" s="597"/>
      <c r="B718" s="598"/>
      <c r="C718" s="597"/>
      <c r="D718" s="597"/>
      <c r="E718" s="597"/>
      <c r="F718" s="597"/>
      <c r="G718" s="597"/>
      <c r="H718" s="597"/>
      <c r="I718" s="597"/>
      <c r="J718" s="614" t="s">
        <v>1072</v>
      </c>
      <c r="K718" s="615"/>
      <c r="L718" s="610"/>
      <c r="M718" s="611"/>
      <c r="N718" s="616" t="s">
        <v>866</v>
      </c>
      <c r="O718" s="616" t="s">
        <v>3894</v>
      </c>
      <c r="P718" s="611" t="s">
        <v>3609</v>
      </c>
      <c r="Q718" s="597"/>
      <c r="R718" s="597"/>
      <c r="S718" s="597"/>
      <c r="T718" s="597"/>
      <c r="U718" s="597"/>
      <c r="V718" s="597"/>
      <c r="W718" s="597"/>
      <c r="X718" s="597"/>
      <c r="Y718" s="597"/>
      <c r="Z718" s="597"/>
      <c r="AA718" s="597"/>
    </row>
    <row r="719" spans="1:27" ht="12" customHeight="1">
      <c r="A719" s="597"/>
      <c r="B719" s="598"/>
      <c r="C719" s="597"/>
      <c r="D719" s="597"/>
      <c r="E719" s="597"/>
      <c r="F719" s="597"/>
      <c r="G719" s="597"/>
      <c r="H719" s="597"/>
      <c r="I719" s="597"/>
      <c r="J719" s="614" t="s">
        <v>1094</v>
      </c>
      <c r="K719" s="615"/>
      <c r="L719" s="610"/>
      <c r="M719" s="611"/>
      <c r="N719" s="616" t="s">
        <v>867</v>
      </c>
      <c r="O719" s="616" t="s">
        <v>1544</v>
      </c>
      <c r="P719" s="611" t="s">
        <v>3610</v>
      </c>
      <c r="Q719" s="597"/>
      <c r="R719" s="597"/>
      <c r="S719" s="597"/>
      <c r="T719" s="597"/>
      <c r="U719" s="597"/>
      <c r="V719" s="597"/>
      <c r="W719" s="597"/>
      <c r="X719" s="597"/>
      <c r="Y719" s="597"/>
      <c r="Z719" s="597"/>
      <c r="AA719" s="597"/>
    </row>
    <row r="720" spans="1:27" ht="12" customHeight="1">
      <c r="A720" s="597"/>
      <c r="B720" s="598"/>
      <c r="C720" s="597"/>
      <c r="D720" s="597"/>
      <c r="E720" s="597"/>
      <c r="F720" s="597"/>
      <c r="G720" s="597"/>
      <c r="H720" s="597"/>
      <c r="I720" s="597"/>
      <c r="J720" s="888"/>
      <c r="K720" s="889"/>
      <c r="L720" s="889"/>
      <c r="M720" s="890"/>
      <c r="N720" s="616" t="s">
        <v>868</v>
      </c>
      <c r="O720" s="616" t="s">
        <v>2461</v>
      </c>
      <c r="P720" s="611" t="s">
        <v>3611</v>
      </c>
      <c r="Q720" s="597"/>
      <c r="R720" s="597"/>
      <c r="S720" s="597"/>
      <c r="T720" s="597"/>
      <c r="U720" s="597"/>
      <c r="V720" s="597"/>
      <c r="W720" s="597"/>
      <c r="X720" s="597"/>
      <c r="Y720" s="597"/>
      <c r="Z720" s="597"/>
      <c r="AA720" s="597"/>
    </row>
    <row r="721" spans="1:27" ht="12" customHeight="1">
      <c r="A721" s="597"/>
      <c r="B721" s="598"/>
      <c r="C721" s="597"/>
      <c r="D721" s="597"/>
      <c r="E721" s="597"/>
      <c r="F721" s="597"/>
      <c r="G721" s="597"/>
      <c r="H721" s="597"/>
      <c r="I721" s="597"/>
      <c r="J721" s="599"/>
      <c r="K721" s="600"/>
      <c r="L721" s="601"/>
      <c r="M721" s="597"/>
      <c r="N721" s="616" t="s">
        <v>869</v>
      </c>
      <c r="O721" s="616" t="s">
        <v>677</v>
      </c>
      <c r="P721" s="611" t="s">
        <v>3612</v>
      </c>
      <c r="Q721" s="597"/>
      <c r="R721" s="597"/>
      <c r="S721" s="597"/>
      <c r="T721" s="597"/>
      <c r="U721" s="597"/>
      <c r="V721" s="597"/>
      <c r="W721" s="597"/>
      <c r="X721" s="597"/>
      <c r="Y721" s="597"/>
      <c r="Z721" s="597"/>
      <c r="AA721" s="597"/>
    </row>
    <row r="722" spans="1:27" ht="12" customHeight="1">
      <c r="A722" s="597"/>
      <c r="B722" s="598"/>
      <c r="C722" s="597"/>
      <c r="D722" s="597"/>
      <c r="E722" s="597"/>
      <c r="F722" s="597"/>
      <c r="G722" s="597"/>
      <c r="H722" s="597"/>
      <c r="I722" s="597"/>
      <c r="J722" s="597"/>
      <c r="K722" s="597"/>
      <c r="L722" s="597"/>
      <c r="M722" s="597"/>
      <c r="N722" s="616" t="s">
        <v>801</v>
      </c>
      <c r="O722" s="616" t="s">
        <v>1014</v>
      </c>
      <c r="P722" s="611" t="s">
        <v>3613</v>
      </c>
      <c r="Q722" s="597"/>
      <c r="R722" s="597"/>
      <c r="S722" s="597"/>
      <c r="T722" s="597"/>
      <c r="U722" s="597"/>
      <c r="V722" s="597"/>
      <c r="W722" s="597"/>
      <c r="X722" s="597"/>
      <c r="Y722" s="597"/>
      <c r="Z722" s="597"/>
      <c r="AA722" s="597"/>
    </row>
    <row r="723" spans="1:27" ht="12" customHeight="1">
      <c r="A723" s="597"/>
      <c r="B723" s="598"/>
      <c r="C723" s="597"/>
      <c r="D723" s="597"/>
      <c r="E723" s="597"/>
      <c r="F723" s="597"/>
      <c r="G723" s="600"/>
      <c r="H723" s="601"/>
      <c r="I723" s="597"/>
      <c r="J723" s="597"/>
      <c r="K723" s="597"/>
      <c r="L723" s="597"/>
      <c r="M723" s="597"/>
      <c r="N723" s="616" t="s">
        <v>1698</v>
      </c>
      <c r="O723" s="616" t="s">
        <v>679</v>
      </c>
      <c r="P723" s="611" t="s">
        <v>3614</v>
      </c>
      <c r="Q723" s="597"/>
      <c r="R723" s="597"/>
      <c r="S723" s="597"/>
      <c r="T723" s="597"/>
      <c r="U723" s="597"/>
      <c r="V723" s="597"/>
      <c r="W723" s="597"/>
      <c r="X723" s="597"/>
      <c r="Y723" s="597"/>
      <c r="Z723" s="597"/>
      <c r="AA723" s="597"/>
    </row>
    <row r="724" spans="1:27" ht="12" customHeight="1">
      <c r="A724" s="597"/>
      <c r="B724" s="598"/>
      <c r="C724" s="597"/>
      <c r="D724" s="597"/>
      <c r="E724" s="597"/>
      <c r="F724" s="599"/>
      <c r="G724" s="600"/>
      <c r="H724" s="601"/>
      <c r="I724" s="597"/>
      <c r="J724" s="597"/>
      <c r="K724" s="597"/>
      <c r="L724" s="597"/>
      <c r="M724" s="597"/>
      <c r="N724" s="616" t="s">
        <v>1699</v>
      </c>
      <c r="O724" s="616" t="s">
        <v>3831</v>
      </c>
      <c r="P724" s="611" t="s">
        <v>3615</v>
      </c>
      <c r="Q724" s="597"/>
      <c r="R724" s="597"/>
      <c r="S724" s="597"/>
      <c r="T724" s="597"/>
      <c r="U724" s="597"/>
      <c r="V724" s="597"/>
      <c r="W724" s="597"/>
      <c r="X724" s="597"/>
      <c r="Y724" s="597"/>
      <c r="Z724" s="597"/>
      <c r="AA724" s="597"/>
    </row>
    <row r="725" spans="1:27" ht="12" customHeight="1">
      <c r="A725" s="597"/>
      <c r="B725" s="598"/>
      <c r="C725" s="597"/>
      <c r="D725" s="597"/>
      <c r="E725" s="597"/>
      <c r="F725" s="599"/>
      <c r="G725" s="600"/>
      <c r="H725" s="601"/>
      <c r="I725" s="597"/>
      <c r="J725" s="597"/>
      <c r="K725" s="597"/>
      <c r="L725" s="597"/>
      <c r="M725" s="597"/>
      <c r="N725" s="616" t="s">
        <v>1575</v>
      </c>
      <c r="O725" s="616" t="s">
        <v>3897</v>
      </c>
      <c r="P725" s="611" t="s">
        <v>3616</v>
      </c>
      <c r="Q725" s="597"/>
      <c r="R725" s="597"/>
      <c r="S725" s="597"/>
      <c r="T725" s="597"/>
      <c r="U725" s="597"/>
      <c r="V725" s="597"/>
      <c r="W725" s="597"/>
      <c r="X725" s="597"/>
      <c r="Y725" s="597"/>
      <c r="Z725" s="597"/>
      <c r="AA725" s="597"/>
    </row>
    <row r="726" spans="1:27" ht="12" customHeight="1">
      <c r="A726" s="597"/>
      <c r="B726" s="598"/>
      <c r="C726" s="597"/>
      <c r="D726" s="597"/>
      <c r="E726" s="597"/>
      <c r="F726" s="599"/>
      <c r="G726" s="600"/>
      <c r="H726" s="601"/>
      <c r="I726" s="597"/>
      <c r="J726" s="597"/>
      <c r="K726" s="597"/>
      <c r="L726" s="597"/>
      <c r="M726" s="597"/>
      <c r="N726" s="498" t="s">
        <v>2433</v>
      </c>
      <c r="O726" s="498" t="s">
        <v>3225</v>
      </c>
      <c r="P726" s="1363" t="s">
        <v>967</v>
      </c>
      <c r="Q726" s="597"/>
      <c r="R726" s="597"/>
      <c r="S726" s="597"/>
      <c r="T726" s="597"/>
      <c r="U726" s="597"/>
      <c r="V726" s="597"/>
      <c r="W726" s="597"/>
      <c r="X726" s="597"/>
      <c r="Y726" s="597"/>
      <c r="Z726" s="597"/>
      <c r="AA726" s="597"/>
    </row>
    <row r="727" spans="1:27" ht="12" customHeight="1">
      <c r="A727" s="597"/>
      <c r="B727" s="598"/>
      <c r="C727" s="597"/>
      <c r="D727" s="597"/>
      <c r="E727" s="597"/>
      <c r="F727" s="599"/>
      <c r="G727" s="600"/>
      <c r="H727" s="601"/>
      <c r="I727" s="597"/>
      <c r="J727" s="597"/>
      <c r="K727" s="597"/>
      <c r="L727" s="597"/>
      <c r="M727" s="597"/>
      <c r="N727" s="616" t="s">
        <v>2838</v>
      </c>
      <c r="O727" s="616" t="s">
        <v>1244</v>
      </c>
      <c r="P727" s="611" t="s">
        <v>3617</v>
      </c>
      <c r="Q727" s="597"/>
      <c r="R727" s="597"/>
      <c r="S727" s="597"/>
      <c r="T727" s="597"/>
      <c r="U727" s="597"/>
      <c r="V727" s="597"/>
      <c r="W727" s="597"/>
      <c r="X727" s="597"/>
      <c r="Y727" s="597"/>
      <c r="Z727" s="597"/>
      <c r="AA727" s="597"/>
    </row>
    <row r="728" spans="1:27" ht="12" customHeight="1">
      <c r="A728" s="597"/>
      <c r="B728" s="598"/>
      <c r="C728" s="597"/>
      <c r="D728" s="597"/>
      <c r="E728" s="597"/>
      <c r="F728" s="599"/>
      <c r="G728" s="600"/>
      <c r="H728" s="601"/>
      <c r="I728" s="597"/>
      <c r="J728" s="597"/>
      <c r="K728" s="597"/>
      <c r="L728" s="597"/>
      <c r="M728" s="597"/>
      <c r="N728" s="616" t="s">
        <v>1576</v>
      </c>
      <c r="O728" s="616" t="s">
        <v>524</v>
      </c>
      <c r="P728" s="611" t="s">
        <v>3618</v>
      </c>
      <c r="Q728" s="597"/>
      <c r="R728" s="597"/>
      <c r="S728" s="597"/>
      <c r="T728" s="597"/>
      <c r="U728" s="597"/>
      <c r="V728" s="597"/>
      <c r="W728" s="597"/>
      <c r="X728" s="597"/>
      <c r="Y728" s="597"/>
      <c r="Z728" s="597"/>
      <c r="AA728" s="597"/>
    </row>
    <row r="729" spans="1:27" ht="12" customHeight="1">
      <c r="A729" s="597"/>
      <c r="B729" s="598"/>
      <c r="C729" s="597"/>
      <c r="D729" s="597"/>
      <c r="E729" s="597"/>
      <c r="F729" s="599"/>
      <c r="G729" s="600"/>
      <c r="H729" s="601"/>
      <c r="I729" s="597"/>
      <c r="J729" s="597"/>
      <c r="K729" s="597"/>
      <c r="L729" s="597"/>
      <c r="M729" s="597"/>
      <c r="N729" s="616" t="s">
        <v>1577</v>
      </c>
      <c r="O729" s="616" t="s">
        <v>998</v>
      </c>
      <c r="P729" s="611" t="s">
        <v>1577</v>
      </c>
      <c r="Q729" s="597"/>
      <c r="R729" s="597"/>
      <c r="S729" s="597"/>
      <c r="T729" s="597"/>
      <c r="U729" s="597"/>
      <c r="V729" s="597"/>
      <c r="W729" s="597"/>
      <c r="X729" s="597"/>
      <c r="Y729" s="597"/>
      <c r="Z729" s="597"/>
      <c r="AA729" s="597"/>
    </row>
    <row r="730" spans="1:27" ht="12" customHeight="1">
      <c r="A730" s="597"/>
      <c r="B730" s="598"/>
      <c r="C730" s="597"/>
      <c r="D730" s="597"/>
      <c r="E730" s="597"/>
      <c r="F730" s="599"/>
      <c r="G730" s="600"/>
      <c r="H730" s="601"/>
      <c r="I730" s="597"/>
      <c r="J730" s="597"/>
      <c r="K730" s="597"/>
      <c r="L730" s="597"/>
      <c r="M730" s="597"/>
      <c r="N730" s="616" t="s">
        <v>1452</v>
      </c>
      <c r="O730" s="616" t="s">
        <v>1544</v>
      </c>
      <c r="P730" s="611" t="s">
        <v>3619</v>
      </c>
      <c r="Q730" s="597"/>
      <c r="R730" s="597"/>
      <c r="S730" s="597"/>
      <c r="T730" s="597"/>
      <c r="U730" s="597"/>
      <c r="V730" s="597"/>
      <c r="W730" s="597"/>
      <c r="X730" s="597"/>
      <c r="Y730" s="597"/>
      <c r="Z730" s="597"/>
      <c r="AA730" s="597"/>
    </row>
    <row r="731" spans="1:27" ht="12" customHeight="1">
      <c r="A731" s="597"/>
      <c r="B731" s="598"/>
      <c r="C731" s="597"/>
      <c r="D731" s="597"/>
      <c r="E731" s="597"/>
      <c r="F731" s="599"/>
      <c r="G731" s="600"/>
      <c r="H731" s="601"/>
      <c r="I731" s="597"/>
      <c r="J731" s="597"/>
      <c r="K731" s="597"/>
      <c r="L731" s="597"/>
      <c r="M731" s="597"/>
      <c r="N731" s="616" t="s">
        <v>1453</v>
      </c>
      <c r="O731" s="616" t="s">
        <v>3894</v>
      </c>
      <c r="P731" s="611" t="s">
        <v>3620</v>
      </c>
      <c r="Q731" s="597"/>
      <c r="R731" s="597"/>
      <c r="S731" s="597"/>
      <c r="T731" s="597"/>
      <c r="U731" s="597"/>
      <c r="V731" s="597"/>
      <c r="W731" s="597"/>
      <c r="X731" s="597"/>
      <c r="Y731" s="597"/>
      <c r="Z731" s="597"/>
      <c r="AA731" s="597"/>
    </row>
    <row r="732" spans="1:27" ht="12" customHeight="1">
      <c r="A732" s="597"/>
      <c r="B732" s="598"/>
      <c r="C732" s="597"/>
      <c r="D732" s="597"/>
      <c r="E732" s="597"/>
      <c r="F732" s="599"/>
      <c r="G732" s="600"/>
      <c r="H732" s="601"/>
      <c r="I732" s="597"/>
      <c r="J732" s="597"/>
      <c r="K732" s="597"/>
      <c r="L732" s="597"/>
      <c r="M732" s="597"/>
      <c r="N732" s="616" t="s">
        <v>1454</v>
      </c>
      <c r="O732" s="616" t="s">
        <v>3075</v>
      </c>
      <c r="P732" s="611" t="s">
        <v>3621</v>
      </c>
      <c r="Q732" s="597"/>
      <c r="R732" s="597"/>
      <c r="S732" s="597"/>
      <c r="T732" s="597"/>
      <c r="U732" s="597"/>
      <c r="V732" s="597"/>
      <c r="W732" s="597"/>
      <c r="X732" s="597"/>
      <c r="Y732" s="597"/>
      <c r="Z732" s="597"/>
      <c r="AA732" s="597"/>
    </row>
    <row r="733" spans="1:27" ht="12" customHeight="1">
      <c r="A733" s="597"/>
      <c r="B733" s="598"/>
      <c r="C733" s="597"/>
      <c r="D733" s="597"/>
      <c r="E733" s="597"/>
      <c r="F733" s="599"/>
      <c r="G733" s="600"/>
      <c r="H733" s="601"/>
      <c r="I733" s="597"/>
      <c r="J733" s="597"/>
      <c r="K733" s="597"/>
      <c r="L733" s="597"/>
      <c r="M733" s="597"/>
      <c r="N733" s="616" t="s">
        <v>1455</v>
      </c>
      <c r="O733" s="616" t="s">
        <v>2643</v>
      </c>
      <c r="P733" s="611" t="s">
        <v>3622</v>
      </c>
      <c r="Q733" s="597"/>
      <c r="R733" s="597"/>
      <c r="S733" s="597"/>
      <c r="T733" s="597"/>
      <c r="U733" s="597"/>
      <c r="V733" s="597"/>
      <c r="W733" s="597"/>
      <c r="X733" s="597"/>
      <c r="Y733" s="597"/>
      <c r="Z733" s="597"/>
      <c r="AA733" s="597"/>
    </row>
    <row r="734" spans="1:27" ht="12" customHeight="1">
      <c r="A734" s="597"/>
      <c r="B734" s="598"/>
      <c r="C734" s="597"/>
      <c r="D734" s="597"/>
      <c r="E734" s="597"/>
      <c r="F734" s="599"/>
      <c r="G734" s="600"/>
      <c r="H734" s="601"/>
      <c r="I734" s="597"/>
      <c r="J734" s="597"/>
      <c r="K734" s="597"/>
      <c r="L734" s="597"/>
      <c r="M734" s="597"/>
      <c r="N734" s="616" t="s">
        <v>1456</v>
      </c>
      <c r="O734" s="616" t="s">
        <v>2379</v>
      </c>
      <c r="P734" s="611" t="s">
        <v>1456</v>
      </c>
      <c r="Q734" s="597"/>
      <c r="R734" s="597"/>
      <c r="S734" s="597"/>
      <c r="T734" s="597"/>
      <c r="U734" s="597"/>
      <c r="V734" s="597"/>
      <c r="W734" s="597"/>
      <c r="X734" s="597"/>
      <c r="Y734" s="597"/>
      <c r="Z734" s="597"/>
      <c r="AA734" s="597"/>
    </row>
    <row r="735" spans="1:27" ht="12" customHeight="1">
      <c r="A735" s="597"/>
      <c r="B735" s="598"/>
      <c r="C735" s="597"/>
      <c r="D735" s="597"/>
      <c r="E735" s="597"/>
      <c r="F735" s="599"/>
      <c r="G735" s="600"/>
      <c r="H735" s="601"/>
      <c r="I735" s="597"/>
      <c r="J735" s="597"/>
      <c r="K735" s="597"/>
      <c r="L735" s="597"/>
      <c r="M735" s="597"/>
      <c r="N735" s="616" t="s">
        <v>1580</v>
      </c>
      <c r="O735" s="616" t="s">
        <v>3180</v>
      </c>
      <c r="P735" s="611" t="s">
        <v>3623</v>
      </c>
      <c r="Q735" s="597"/>
      <c r="R735" s="597"/>
      <c r="S735" s="597"/>
      <c r="T735" s="597"/>
      <c r="U735" s="597"/>
      <c r="V735" s="597"/>
      <c r="W735" s="597"/>
      <c r="X735" s="597"/>
      <c r="Y735" s="597"/>
      <c r="Z735" s="597"/>
      <c r="AA735" s="597"/>
    </row>
    <row r="736" spans="1:27" ht="12" customHeight="1">
      <c r="A736" s="597"/>
      <c r="B736" s="598"/>
      <c r="C736" s="597"/>
      <c r="D736" s="597"/>
      <c r="E736" s="597"/>
      <c r="F736" s="599"/>
      <c r="G736" s="600"/>
      <c r="H736" s="601"/>
      <c r="I736" s="597"/>
      <c r="J736" s="597"/>
      <c r="K736" s="597"/>
      <c r="L736" s="597"/>
      <c r="M736" s="597"/>
      <c r="N736" s="498" t="s">
        <v>2434</v>
      </c>
      <c r="O736" s="498" t="s">
        <v>1544</v>
      </c>
      <c r="P736" s="1363" t="s">
        <v>967</v>
      </c>
      <c r="Q736" s="597"/>
      <c r="R736" s="597"/>
      <c r="S736" s="597"/>
      <c r="T736" s="597"/>
      <c r="U736" s="597"/>
      <c r="V736" s="597"/>
      <c r="W736" s="597"/>
      <c r="X736" s="597"/>
      <c r="Y736" s="597"/>
      <c r="Z736" s="597"/>
      <c r="AA736" s="597"/>
    </row>
    <row r="737" spans="1:27" ht="12" customHeight="1">
      <c r="A737" s="597"/>
      <c r="B737" s="598"/>
      <c r="C737" s="597"/>
      <c r="D737" s="597"/>
      <c r="E737" s="597"/>
      <c r="F737" s="599"/>
      <c r="G737" s="600"/>
      <c r="H737" s="601"/>
      <c r="I737" s="597"/>
      <c r="J737" s="597"/>
      <c r="K737" s="597"/>
      <c r="L737" s="597"/>
      <c r="M737" s="597"/>
      <c r="N737" s="616" t="s">
        <v>1581</v>
      </c>
      <c r="O737" s="616" t="s">
        <v>3820</v>
      </c>
      <c r="P737" s="611" t="s">
        <v>3624</v>
      </c>
      <c r="Q737" s="597"/>
      <c r="R737" s="597"/>
      <c r="S737" s="597"/>
      <c r="T737" s="597"/>
      <c r="U737" s="597"/>
      <c r="V737" s="597"/>
      <c r="W737" s="597"/>
      <c r="X737" s="597"/>
      <c r="Y737" s="597"/>
      <c r="Z737" s="597"/>
      <c r="AA737" s="597"/>
    </row>
    <row r="738" spans="1:27" ht="12" customHeight="1">
      <c r="A738" s="597"/>
      <c r="B738" s="598"/>
      <c r="C738" s="597"/>
      <c r="D738" s="597"/>
      <c r="E738" s="597"/>
      <c r="F738" s="599"/>
      <c r="G738" s="600"/>
      <c r="H738" s="601"/>
      <c r="I738" s="597"/>
      <c r="J738" s="597"/>
      <c r="K738" s="597"/>
      <c r="L738" s="597"/>
      <c r="M738" s="597"/>
      <c r="N738" s="616" t="s">
        <v>1582</v>
      </c>
      <c r="O738" s="616" t="s">
        <v>3811</v>
      </c>
      <c r="P738" s="611" t="s">
        <v>3625</v>
      </c>
      <c r="Q738" s="597"/>
      <c r="R738" s="597"/>
      <c r="S738" s="597"/>
      <c r="T738" s="597"/>
      <c r="U738" s="597"/>
      <c r="V738" s="597"/>
      <c r="W738" s="597"/>
      <c r="X738" s="597"/>
      <c r="Y738" s="597"/>
      <c r="Z738" s="597"/>
      <c r="AA738" s="597"/>
    </row>
    <row r="739" spans="1:27" ht="12" customHeight="1">
      <c r="A739" s="597"/>
      <c r="B739" s="598"/>
      <c r="C739" s="597"/>
      <c r="D739" s="597"/>
      <c r="E739" s="597"/>
      <c r="F739" s="599"/>
      <c r="G739" s="600"/>
      <c r="H739" s="601"/>
      <c r="I739" s="597"/>
      <c r="J739" s="597"/>
      <c r="K739" s="597"/>
      <c r="L739" s="597"/>
      <c r="M739" s="597"/>
      <c r="N739" s="616" t="s">
        <v>1583</v>
      </c>
      <c r="O739" s="616" t="s">
        <v>1244</v>
      </c>
      <c r="P739" s="611" t="s">
        <v>3626</v>
      </c>
      <c r="Q739" s="597"/>
      <c r="R739" s="597"/>
      <c r="S739" s="597"/>
      <c r="T739" s="597"/>
      <c r="U739" s="597"/>
      <c r="V739" s="597"/>
      <c r="W739" s="597"/>
      <c r="X739" s="597"/>
      <c r="Y739" s="597"/>
      <c r="Z739" s="597"/>
      <c r="AA739" s="597"/>
    </row>
    <row r="740" spans="1:27" ht="12" customHeight="1">
      <c r="A740" s="597"/>
      <c r="B740" s="598"/>
      <c r="C740" s="597"/>
      <c r="D740" s="597"/>
      <c r="E740" s="597"/>
      <c r="F740" s="599"/>
      <c r="G740" s="600"/>
      <c r="H740" s="601"/>
      <c r="I740" s="597"/>
      <c r="J740" s="597"/>
      <c r="K740" s="597"/>
      <c r="L740" s="597"/>
      <c r="M740" s="597"/>
      <c r="N740" s="616" t="s">
        <v>1584</v>
      </c>
      <c r="O740" s="616" t="s">
        <v>3894</v>
      </c>
      <c r="P740" s="611" t="s">
        <v>3627</v>
      </c>
      <c r="Q740" s="597"/>
      <c r="R740" s="597"/>
      <c r="S740" s="597"/>
      <c r="T740" s="597"/>
      <c r="U740" s="597"/>
      <c r="V740" s="597"/>
      <c r="W740" s="597"/>
      <c r="X740" s="597"/>
      <c r="Y740" s="597"/>
      <c r="Z740" s="597"/>
      <c r="AA740" s="597"/>
    </row>
    <row r="741" spans="1:27" ht="12" customHeight="1">
      <c r="A741" s="597"/>
      <c r="B741" s="598"/>
      <c r="C741" s="597"/>
      <c r="D741" s="597"/>
      <c r="E741" s="597"/>
      <c r="F741" s="599"/>
      <c r="G741" s="600"/>
      <c r="H741" s="601"/>
      <c r="I741" s="597"/>
      <c r="J741" s="597"/>
      <c r="K741" s="597"/>
      <c r="L741" s="597"/>
      <c r="M741" s="597"/>
      <c r="N741" s="616" t="s">
        <v>1585</v>
      </c>
      <c r="O741" s="616" t="s">
        <v>1328</v>
      </c>
      <c r="P741" s="611" t="s">
        <v>3628</v>
      </c>
      <c r="Q741" s="597"/>
      <c r="R741" s="597"/>
      <c r="S741" s="597"/>
      <c r="T741" s="597"/>
      <c r="U741" s="597"/>
      <c r="V741" s="597"/>
      <c r="W741" s="597"/>
      <c r="X741" s="597"/>
      <c r="Y741" s="597"/>
      <c r="Z741" s="597"/>
      <c r="AA741" s="597"/>
    </row>
    <row r="742" spans="1:27" ht="12" customHeight="1">
      <c r="A742" s="597"/>
      <c r="B742" s="598"/>
      <c r="C742" s="597"/>
      <c r="D742" s="597"/>
      <c r="E742" s="597"/>
      <c r="F742" s="599"/>
      <c r="G742" s="600"/>
      <c r="H742" s="601"/>
      <c r="I742" s="597"/>
      <c r="J742" s="597"/>
      <c r="K742" s="597"/>
      <c r="L742" s="597"/>
      <c r="M742" s="597"/>
      <c r="N742" s="616" t="s">
        <v>1586</v>
      </c>
      <c r="O742" s="616" t="s">
        <v>2160</v>
      </c>
      <c r="P742" s="1362" t="s">
        <v>2846</v>
      </c>
      <c r="Q742" s="597"/>
      <c r="R742" s="597"/>
      <c r="S742" s="597"/>
      <c r="T742" s="597"/>
      <c r="U742" s="597"/>
      <c r="V742" s="597"/>
      <c r="W742" s="597"/>
      <c r="X742" s="597"/>
      <c r="Y742" s="597"/>
      <c r="Z742" s="597"/>
      <c r="AA742" s="597"/>
    </row>
    <row r="743" spans="1:27" ht="12" customHeight="1">
      <c r="A743" s="597"/>
      <c r="B743" s="598"/>
      <c r="C743" s="597"/>
      <c r="D743" s="597"/>
      <c r="E743" s="597"/>
      <c r="F743" s="599"/>
      <c r="G743" s="600"/>
      <c r="H743" s="601"/>
      <c r="I743" s="597"/>
      <c r="J743" s="597"/>
      <c r="K743" s="597"/>
      <c r="L743" s="597"/>
      <c r="M743" s="597"/>
      <c r="N743" s="616" t="s">
        <v>1587</v>
      </c>
      <c r="O743" s="616" t="s">
        <v>2643</v>
      </c>
      <c r="P743" s="611" t="s">
        <v>3629</v>
      </c>
      <c r="Q743" s="597"/>
      <c r="R743" s="597"/>
      <c r="S743" s="597"/>
      <c r="T743" s="597"/>
      <c r="U743" s="597"/>
      <c r="V743" s="597"/>
      <c r="W743" s="597"/>
      <c r="X743" s="597"/>
      <c r="Y743" s="597"/>
      <c r="Z743" s="597"/>
      <c r="AA743" s="597"/>
    </row>
    <row r="744" spans="1:27" ht="12" customHeight="1">
      <c r="A744" s="597"/>
      <c r="B744" s="598"/>
      <c r="C744" s="597"/>
      <c r="D744" s="597"/>
      <c r="E744" s="597"/>
      <c r="F744" s="599"/>
      <c r="G744" s="600"/>
      <c r="H744" s="601"/>
      <c r="I744" s="597"/>
      <c r="J744" s="597"/>
      <c r="K744" s="597"/>
      <c r="L744" s="597"/>
      <c r="M744" s="597"/>
      <c r="N744" s="616" t="s">
        <v>1588</v>
      </c>
      <c r="O744" s="616" t="s">
        <v>2825</v>
      </c>
      <c r="P744" s="611" t="s">
        <v>3630</v>
      </c>
      <c r="Q744" s="597"/>
      <c r="R744" s="597"/>
      <c r="S744" s="597"/>
      <c r="T744" s="597"/>
      <c r="U744" s="597"/>
      <c r="V744" s="597"/>
      <c r="W744" s="597"/>
      <c r="X744" s="597"/>
      <c r="Y744" s="597"/>
      <c r="Z744" s="597"/>
      <c r="AA744" s="597"/>
    </row>
    <row r="745" spans="1:27" ht="12" customHeight="1">
      <c r="A745" s="597"/>
      <c r="B745" s="598"/>
      <c r="C745" s="597"/>
      <c r="D745" s="597"/>
      <c r="E745" s="597"/>
      <c r="F745" s="599"/>
      <c r="G745" s="600"/>
      <c r="H745" s="601"/>
      <c r="I745" s="597"/>
      <c r="J745" s="597"/>
      <c r="K745" s="597"/>
      <c r="L745" s="597"/>
      <c r="M745" s="597"/>
      <c r="N745" s="498" t="s">
        <v>2435</v>
      </c>
      <c r="O745" s="498" t="s">
        <v>667</v>
      </c>
      <c r="P745" s="1363" t="s">
        <v>967</v>
      </c>
      <c r="Q745" s="597"/>
      <c r="R745" s="597"/>
      <c r="S745" s="597"/>
      <c r="T745" s="597"/>
      <c r="U745" s="597"/>
      <c r="V745" s="597"/>
      <c r="W745" s="597"/>
      <c r="X745" s="597"/>
      <c r="Y745" s="597"/>
      <c r="Z745" s="597"/>
      <c r="AA745" s="597"/>
    </row>
    <row r="746" spans="1:27" ht="12" customHeight="1">
      <c r="A746" s="597"/>
      <c r="B746" s="598"/>
      <c r="C746" s="597"/>
      <c r="D746" s="597"/>
      <c r="E746" s="597"/>
      <c r="F746" s="599"/>
      <c r="G746" s="600"/>
      <c r="H746" s="601"/>
      <c r="I746" s="597"/>
      <c r="J746" s="597"/>
      <c r="K746" s="597"/>
      <c r="L746" s="597"/>
      <c r="M746" s="597"/>
      <c r="N746" s="616" t="s">
        <v>1589</v>
      </c>
      <c r="O746" s="616" t="s">
        <v>3737</v>
      </c>
      <c r="P746" s="611" t="s">
        <v>3631</v>
      </c>
      <c r="Q746" s="597"/>
      <c r="R746" s="597"/>
      <c r="S746" s="597"/>
      <c r="T746" s="597"/>
      <c r="U746" s="597"/>
      <c r="V746" s="597"/>
      <c r="W746" s="597"/>
      <c r="X746" s="597"/>
      <c r="Y746" s="597"/>
      <c r="Z746" s="597"/>
      <c r="AA746" s="597"/>
    </row>
    <row r="747" spans="1:27" ht="12" customHeight="1">
      <c r="A747" s="597"/>
      <c r="B747" s="598"/>
      <c r="C747" s="597"/>
      <c r="D747" s="597"/>
      <c r="E747" s="597"/>
      <c r="F747" s="599"/>
      <c r="G747" s="600"/>
      <c r="H747" s="601"/>
      <c r="I747" s="597"/>
      <c r="J747" s="597"/>
      <c r="K747" s="597"/>
      <c r="L747" s="597"/>
      <c r="M747" s="597"/>
      <c r="N747" s="616" t="s">
        <v>1590</v>
      </c>
      <c r="O747" s="616" t="s">
        <v>3751</v>
      </c>
      <c r="P747" s="611" t="s">
        <v>3632</v>
      </c>
      <c r="Q747" s="597"/>
      <c r="R747" s="597"/>
      <c r="S747" s="597"/>
      <c r="T747" s="597"/>
      <c r="U747" s="597"/>
      <c r="V747" s="597"/>
      <c r="W747" s="597"/>
      <c r="X747" s="597"/>
      <c r="Y747" s="597"/>
      <c r="Z747" s="597"/>
      <c r="AA747" s="597"/>
    </row>
    <row r="748" spans="1:27" ht="12" customHeight="1">
      <c r="A748" s="597"/>
      <c r="B748" s="598"/>
      <c r="C748" s="597"/>
      <c r="D748" s="597"/>
      <c r="E748" s="597"/>
      <c r="F748" s="599"/>
      <c r="G748" s="600"/>
      <c r="H748" s="601"/>
      <c r="I748" s="597"/>
      <c r="J748" s="597"/>
      <c r="K748" s="597"/>
      <c r="L748" s="597"/>
      <c r="M748" s="597"/>
      <c r="N748" s="616" t="s">
        <v>1591</v>
      </c>
      <c r="O748" s="616" t="s">
        <v>3899</v>
      </c>
      <c r="P748" s="611" t="s">
        <v>3633</v>
      </c>
      <c r="Q748" s="597"/>
      <c r="R748" s="597"/>
      <c r="S748" s="597"/>
      <c r="T748" s="597"/>
      <c r="U748" s="597"/>
      <c r="V748" s="597"/>
      <c r="W748" s="597"/>
      <c r="X748" s="597"/>
      <c r="Y748" s="597"/>
      <c r="Z748" s="597"/>
      <c r="AA748" s="597"/>
    </row>
    <row r="749" spans="1:27" ht="12" customHeight="1">
      <c r="A749" s="597"/>
      <c r="B749" s="598"/>
      <c r="C749" s="597"/>
      <c r="D749" s="597"/>
      <c r="E749" s="597"/>
      <c r="F749" s="599"/>
      <c r="G749" s="600"/>
      <c r="H749" s="601"/>
      <c r="I749" s="597"/>
      <c r="J749" s="597"/>
      <c r="K749" s="597"/>
      <c r="L749" s="597"/>
      <c r="M749" s="597"/>
      <c r="N749" s="616" t="s">
        <v>1592</v>
      </c>
      <c r="O749" s="616" t="s">
        <v>1177</v>
      </c>
      <c r="P749" s="611" t="s">
        <v>3634</v>
      </c>
      <c r="Q749" s="597"/>
      <c r="R749" s="597"/>
      <c r="S749" s="597"/>
      <c r="T749" s="597"/>
      <c r="U749" s="597"/>
      <c r="V749" s="597"/>
      <c r="W749" s="597"/>
      <c r="X749" s="597"/>
      <c r="Y749" s="597"/>
      <c r="Z749" s="597"/>
      <c r="AA749" s="597"/>
    </row>
    <row r="750" spans="1:27" ht="12" customHeight="1">
      <c r="A750" s="597"/>
      <c r="B750" s="598"/>
      <c r="C750" s="597"/>
      <c r="D750" s="597"/>
      <c r="E750" s="597"/>
      <c r="F750" s="599"/>
      <c r="G750" s="600"/>
      <c r="H750" s="601"/>
      <c r="I750" s="597"/>
      <c r="J750" s="597"/>
      <c r="K750" s="597"/>
      <c r="L750" s="597"/>
      <c r="M750" s="597"/>
      <c r="N750" s="616" t="s">
        <v>1593</v>
      </c>
      <c r="O750" s="616" t="s">
        <v>2059</v>
      </c>
      <c r="P750" s="611" t="s">
        <v>3635</v>
      </c>
      <c r="Q750" s="597"/>
      <c r="R750" s="597"/>
      <c r="S750" s="597"/>
      <c r="T750" s="597"/>
      <c r="U750" s="597"/>
      <c r="V750" s="597"/>
      <c r="W750" s="597"/>
      <c r="X750" s="597"/>
      <c r="Y750" s="597"/>
      <c r="Z750" s="597"/>
      <c r="AA750" s="597"/>
    </row>
    <row r="751" spans="1:27" ht="12" customHeight="1">
      <c r="A751" s="597"/>
      <c r="B751" s="598"/>
      <c r="C751" s="597"/>
      <c r="D751" s="597"/>
      <c r="E751" s="597"/>
      <c r="F751" s="599"/>
      <c r="G751" s="600"/>
      <c r="H751" s="601"/>
      <c r="I751" s="597"/>
      <c r="J751" s="597"/>
      <c r="K751" s="597"/>
      <c r="L751" s="597"/>
      <c r="M751" s="597"/>
      <c r="N751" s="616" t="s">
        <v>1464</v>
      </c>
      <c r="O751" s="616" t="s">
        <v>1296</v>
      </c>
      <c r="P751" s="611" t="s">
        <v>3494</v>
      </c>
      <c r="Q751" s="597"/>
      <c r="R751" s="597"/>
      <c r="S751" s="597"/>
      <c r="T751" s="597"/>
      <c r="U751" s="597"/>
      <c r="V751" s="597"/>
      <c r="W751" s="597"/>
      <c r="X751" s="597"/>
      <c r="Y751" s="597"/>
      <c r="Z751" s="597"/>
      <c r="AA751" s="597"/>
    </row>
    <row r="752" spans="1:27" ht="12" customHeight="1">
      <c r="A752" s="597"/>
      <c r="B752" s="598"/>
      <c r="C752" s="597"/>
      <c r="D752" s="597"/>
      <c r="E752" s="597"/>
      <c r="F752" s="599"/>
      <c r="G752" s="600"/>
      <c r="H752" s="601"/>
      <c r="I752" s="597"/>
      <c r="J752" s="597"/>
      <c r="K752" s="597"/>
      <c r="L752" s="597"/>
      <c r="M752" s="597"/>
      <c r="N752" s="616" t="s">
        <v>1465</v>
      </c>
      <c r="O752" s="616" t="s">
        <v>3743</v>
      </c>
      <c r="P752" s="611" t="s">
        <v>3495</v>
      </c>
      <c r="Q752" s="597"/>
      <c r="R752" s="597"/>
      <c r="S752" s="597"/>
      <c r="T752" s="597"/>
      <c r="U752" s="597"/>
      <c r="V752" s="597"/>
      <c r="W752" s="597"/>
      <c r="X752" s="597"/>
      <c r="Y752" s="597"/>
      <c r="Z752" s="597"/>
      <c r="AA752" s="597"/>
    </row>
    <row r="753" spans="1:27" ht="12" customHeight="1">
      <c r="A753" s="597"/>
      <c r="B753" s="598"/>
      <c r="C753" s="597"/>
      <c r="D753" s="597"/>
      <c r="E753" s="597"/>
      <c r="F753" s="599"/>
      <c r="G753" s="600"/>
      <c r="H753" s="601"/>
      <c r="I753" s="597"/>
      <c r="J753" s="597"/>
      <c r="K753" s="597"/>
      <c r="L753" s="597"/>
      <c r="M753" s="597"/>
      <c r="N753" s="616" t="s">
        <v>1466</v>
      </c>
      <c r="O753" s="616" t="s">
        <v>3977</v>
      </c>
      <c r="P753" s="611" t="s">
        <v>3496</v>
      </c>
      <c r="Q753" s="597"/>
      <c r="R753" s="597"/>
      <c r="S753" s="597"/>
      <c r="T753" s="597"/>
      <c r="U753" s="597"/>
      <c r="V753" s="597"/>
      <c r="W753" s="597"/>
      <c r="X753" s="597"/>
      <c r="Y753" s="597"/>
      <c r="Z753" s="597"/>
      <c r="AA753" s="597"/>
    </row>
    <row r="754" spans="1:27" ht="12" customHeight="1">
      <c r="A754" s="597"/>
      <c r="B754" s="598"/>
      <c r="C754" s="597"/>
      <c r="D754" s="597"/>
      <c r="E754" s="597"/>
      <c r="F754" s="599"/>
      <c r="G754" s="600"/>
      <c r="H754" s="601"/>
      <c r="I754" s="597"/>
      <c r="J754" s="597"/>
      <c r="K754" s="597"/>
      <c r="L754" s="597"/>
      <c r="M754" s="597"/>
      <c r="N754" s="616" t="s">
        <v>3574</v>
      </c>
      <c r="O754" s="616" t="s">
        <v>681</v>
      </c>
      <c r="P754" s="611" t="s">
        <v>3497</v>
      </c>
      <c r="Q754" s="597"/>
      <c r="R754" s="597"/>
      <c r="S754" s="597"/>
      <c r="T754" s="597"/>
      <c r="U754" s="597"/>
      <c r="V754" s="597"/>
      <c r="W754" s="597"/>
      <c r="X754" s="597"/>
      <c r="Y754" s="597"/>
      <c r="Z754" s="597"/>
      <c r="AA754" s="597"/>
    </row>
    <row r="755" spans="1:27" ht="12" customHeight="1">
      <c r="A755" s="597"/>
      <c r="B755" s="598"/>
      <c r="C755" s="597"/>
      <c r="D755" s="597"/>
      <c r="E755" s="597"/>
      <c r="F755" s="599"/>
      <c r="G755" s="600"/>
      <c r="H755" s="601"/>
      <c r="I755" s="597"/>
      <c r="J755" s="597"/>
      <c r="K755" s="597"/>
      <c r="L755" s="597"/>
      <c r="M755" s="597"/>
      <c r="N755" s="616" t="s">
        <v>3979</v>
      </c>
      <c r="O755" s="616" t="s">
        <v>677</v>
      </c>
      <c r="P755" s="611" t="s">
        <v>3498</v>
      </c>
      <c r="Q755" s="597"/>
      <c r="R755" s="597"/>
      <c r="S755" s="597"/>
      <c r="T755" s="597"/>
      <c r="U755" s="597"/>
      <c r="V755" s="597"/>
      <c r="W755" s="597"/>
      <c r="X755" s="597"/>
      <c r="Y755" s="597"/>
      <c r="Z755" s="597"/>
      <c r="AA755" s="597"/>
    </row>
    <row r="756" spans="1:27" ht="12" customHeight="1">
      <c r="A756" s="597"/>
      <c r="B756" s="598"/>
      <c r="C756" s="597"/>
      <c r="D756" s="597"/>
      <c r="E756" s="597"/>
      <c r="F756" s="599"/>
      <c r="G756" s="600"/>
      <c r="H756" s="601"/>
      <c r="I756" s="597"/>
      <c r="J756" s="597"/>
      <c r="K756" s="597"/>
      <c r="L756" s="597"/>
      <c r="M756" s="597"/>
      <c r="N756" s="616" t="s">
        <v>3575</v>
      </c>
      <c r="O756" s="616" t="s">
        <v>424</v>
      </c>
      <c r="P756" s="611" t="s">
        <v>3499</v>
      </c>
      <c r="Q756" s="597"/>
      <c r="R756" s="597"/>
      <c r="S756" s="597"/>
      <c r="T756" s="597"/>
      <c r="U756" s="597"/>
      <c r="V756" s="597"/>
      <c r="W756" s="597"/>
      <c r="X756" s="597"/>
      <c r="Y756" s="597"/>
      <c r="Z756" s="597"/>
      <c r="AA756" s="597"/>
    </row>
    <row r="757" spans="1:27" ht="12" customHeight="1">
      <c r="A757" s="597"/>
      <c r="B757" s="598"/>
      <c r="C757" s="597"/>
      <c r="D757" s="597"/>
      <c r="E757" s="597"/>
      <c r="F757" s="599"/>
      <c r="G757" s="600"/>
      <c r="H757" s="601"/>
      <c r="I757" s="597"/>
      <c r="J757" s="597"/>
      <c r="K757" s="597"/>
      <c r="L757" s="597"/>
      <c r="M757" s="597"/>
      <c r="N757" s="616" t="s">
        <v>3576</v>
      </c>
      <c r="O757" s="616" t="s">
        <v>3738</v>
      </c>
      <c r="P757" s="611" t="s">
        <v>3500</v>
      </c>
      <c r="Q757" s="597"/>
      <c r="R757" s="597"/>
      <c r="S757" s="597"/>
      <c r="T757" s="597"/>
      <c r="U757" s="597"/>
      <c r="V757" s="597"/>
      <c r="W757" s="597"/>
      <c r="X757" s="597"/>
      <c r="Y757" s="597"/>
      <c r="Z757" s="597"/>
      <c r="AA757" s="597"/>
    </row>
    <row r="758" spans="1:27" ht="12" customHeight="1">
      <c r="A758" s="597"/>
      <c r="B758" s="598"/>
      <c r="C758" s="597"/>
      <c r="D758" s="597"/>
      <c r="E758" s="597"/>
      <c r="F758" s="599"/>
      <c r="G758" s="600"/>
      <c r="H758" s="601"/>
      <c r="I758" s="597"/>
      <c r="J758" s="597"/>
      <c r="K758" s="597"/>
      <c r="L758" s="597"/>
      <c r="M758" s="597"/>
      <c r="N758" s="616" t="s">
        <v>3577</v>
      </c>
      <c r="O758" s="616" t="s">
        <v>1178</v>
      </c>
      <c r="P758" s="611" t="s">
        <v>3501</v>
      </c>
      <c r="Q758" s="597"/>
      <c r="R758" s="597"/>
      <c r="S758" s="597"/>
      <c r="T758" s="597"/>
      <c r="U758" s="597"/>
      <c r="V758" s="597"/>
      <c r="W758" s="597"/>
      <c r="X758" s="597"/>
      <c r="Y758" s="597"/>
      <c r="Z758" s="597"/>
      <c r="AA758" s="597"/>
    </row>
    <row r="759" spans="1:27" ht="12" customHeight="1">
      <c r="A759" s="597"/>
      <c r="B759" s="598"/>
      <c r="C759" s="597"/>
      <c r="D759" s="597"/>
      <c r="E759" s="597"/>
      <c r="F759" s="599"/>
      <c r="G759" s="600"/>
      <c r="H759" s="601"/>
      <c r="I759" s="597"/>
      <c r="J759" s="597"/>
      <c r="K759" s="597"/>
      <c r="L759" s="597"/>
      <c r="M759" s="597"/>
      <c r="N759" s="616" t="s">
        <v>3578</v>
      </c>
      <c r="O759" s="616" t="s">
        <v>2160</v>
      </c>
      <c r="P759" s="611" t="s">
        <v>3502</v>
      </c>
      <c r="Q759" s="597"/>
      <c r="R759" s="597"/>
      <c r="S759" s="597"/>
      <c r="T759" s="597"/>
      <c r="U759" s="597"/>
      <c r="V759" s="597"/>
      <c r="W759" s="597"/>
      <c r="X759" s="597"/>
      <c r="Y759" s="597"/>
      <c r="Z759" s="597"/>
      <c r="AA759" s="597"/>
    </row>
    <row r="760" spans="1:27" ht="12" customHeight="1">
      <c r="A760" s="597"/>
      <c r="B760" s="598"/>
      <c r="C760" s="597"/>
      <c r="D760" s="597"/>
      <c r="E760" s="597"/>
      <c r="F760" s="599"/>
      <c r="G760" s="600"/>
      <c r="H760" s="601"/>
      <c r="I760" s="597"/>
      <c r="J760" s="597"/>
      <c r="K760" s="597"/>
      <c r="L760" s="597"/>
      <c r="M760" s="597"/>
      <c r="N760" s="616" t="s">
        <v>3579</v>
      </c>
      <c r="O760" s="616" t="s">
        <v>1334</v>
      </c>
      <c r="P760" s="611" t="s">
        <v>3422</v>
      </c>
      <c r="Q760" s="597"/>
      <c r="R760" s="597"/>
      <c r="S760" s="597"/>
      <c r="T760" s="597"/>
      <c r="U760" s="597"/>
      <c r="V760" s="597"/>
      <c r="W760" s="597"/>
      <c r="X760" s="597"/>
      <c r="Y760" s="597"/>
      <c r="Z760" s="597"/>
      <c r="AA760" s="597"/>
    </row>
    <row r="761" spans="1:27" ht="12" customHeight="1">
      <c r="A761" s="597"/>
      <c r="B761" s="598"/>
      <c r="C761" s="597"/>
      <c r="D761" s="597"/>
      <c r="E761" s="597"/>
      <c r="F761" s="599"/>
      <c r="G761" s="600"/>
      <c r="H761" s="601"/>
      <c r="I761" s="597"/>
      <c r="J761" s="597"/>
      <c r="K761" s="597"/>
      <c r="L761" s="597"/>
      <c r="M761" s="597"/>
      <c r="N761" s="616" t="s">
        <v>3580</v>
      </c>
      <c r="O761" s="616" t="s">
        <v>3983</v>
      </c>
      <c r="P761" s="1362" t="s">
        <v>2846</v>
      </c>
      <c r="Q761" s="597"/>
      <c r="R761" s="597"/>
      <c r="S761" s="597"/>
      <c r="T761" s="597"/>
      <c r="U761" s="597"/>
      <c r="V761" s="597"/>
      <c r="W761" s="597"/>
      <c r="X761" s="597"/>
      <c r="Y761" s="597"/>
      <c r="Z761" s="597"/>
      <c r="AA761" s="597"/>
    </row>
    <row r="762" spans="1:27" ht="12" customHeight="1">
      <c r="A762" s="597"/>
      <c r="B762" s="598"/>
      <c r="C762" s="597"/>
      <c r="D762" s="597"/>
      <c r="E762" s="597"/>
      <c r="F762" s="599"/>
      <c r="G762" s="600"/>
      <c r="H762" s="601"/>
      <c r="I762" s="597"/>
      <c r="J762" s="597"/>
      <c r="K762" s="597"/>
      <c r="L762" s="597"/>
      <c r="M762" s="597"/>
      <c r="N762" s="616" t="s">
        <v>3581</v>
      </c>
      <c r="O762" s="616" t="s">
        <v>3178</v>
      </c>
      <c r="P762" s="611" t="s">
        <v>3423</v>
      </c>
      <c r="Q762" s="597"/>
      <c r="R762" s="597"/>
      <c r="S762" s="597"/>
      <c r="T762" s="597"/>
      <c r="U762" s="597"/>
      <c r="V762" s="597"/>
      <c r="W762" s="597"/>
      <c r="X762" s="597"/>
      <c r="Y762" s="597"/>
      <c r="Z762" s="597"/>
      <c r="AA762" s="597"/>
    </row>
    <row r="763" spans="1:27" ht="12" customHeight="1">
      <c r="A763" s="597"/>
      <c r="B763" s="598"/>
      <c r="C763" s="597"/>
      <c r="D763" s="597"/>
      <c r="E763" s="597"/>
      <c r="F763" s="599"/>
      <c r="G763" s="600"/>
      <c r="H763" s="601"/>
      <c r="I763" s="597"/>
      <c r="J763" s="597"/>
      <c r="K763" s="597"/>
      <c r="L763" s="597"/>
      <c r="M763" s="597"/>
      <c r="N763" s="616" t="s">
        <v>3987</v>
      </c>
      <c r="O763" s="616" t="s">
        <v>2145</v>
      </c>
      <c r="P763" s="611" t="s">
        <v>3424</v>
      </c>
      <c r="Q763" s="597"/>
      <c r="R763" s="597"/>
      <c r="S763" s="597"/>
      <c r="T763" s="597"/>
      <c r="U763" s="597"/>
      <c r="V763" s="597"/>
      <c r="W763" s="597"/>
      <c r="X763" s="597"/>
      <c r="Y763" s="597"/>
      <c r="Z763" s="597"/>
      <c r="AA763" s="597"/>
    </row>
    <row r="764" spans="1:27" ht="12" customHeight="1">
      <c r="A764" s="597"/>
      <c r="B764" s="598"/>
      <c r="C764" s="597"/>
      <c r="D764" s="597"/>
      <c r="E764" s="597"/>
      <c r="F764" s="599"/>
      <c r="G764" s="600"/>
      <c r="H764" s="601"/>
      <c r="I764" s="597"/>
      <c r="J764" s="597"/>
      <c r="K764" s="597"/>
      <c r="L764" s="597"/>
      <c r="M764" s="597"/>
      <c r="N764" s="616" t="s">
        <v>1942</v>
      </c>
      <c r="O764" s="616" t="s">
        <v>3180</v>
      </c>
      <c r="P764" s="611" t="s">
        <v>3425</v>
      </c>
      <c r="Q764" s="597"/>
      <c r="R764" s="597"/>
      <c r="S764" s="597"/>
      <c r="T764" s="597"/>
      <c r="U764" s="597"/>
      <c r="V764" s="597"/>
      <c r="W764" s="597"/>
      <c r="X764" s="597"/>
      <c r="Y764" s="597"/>
      <c r="Z764" s="597"/>
      <c r="AA764" s="597"/>
    </row>
    <row r="765" spans="1:27" ht="12" customHeight="1">
      <c r="A765" s="597"/>
      <c r="B765" s="598"/>
      <c r="C765" s="597"/>
      <c r="D765" s="597"/>
      <c r="E765" s="597"/>
      <c r="F765" s="599"/>
      <c r="G765" s="600"/>
      <c r="H765" s="601"/>
      <c r="I765" s="597"/>
      <c r="J765" s="597"/>
      <c r="K765" s="597"/>
      <c r="L765" s="597"/>
      <c r="M765" s="597"/>
      <c r="N765" s="498" t="s">
        <v>2436</v>
      </c>
      <c r="O765" s="498" t="s">
        <v>3894</v>
      </c>
      <c r="P765" s="1363" t="s">
        <v>967</v>
      </c>
      <c r="Q765" s="597"/>
      <c r="R765" s="597"/>
      <c r="S765" s="597"/>
      <c r="T765" s="597"/>
      <c r="U765" s="597"/>
      <c r="V765" s="597"/>
      <c r="W765" s="597"/>
      <c r="X765" s="597"/>
      <c r="Y765" s="597"/>
      <c r="Z765" s="597"/>
      <c r="AA765" s="597"/>
    </row>
    <row r="766" spans="1:27" ht="12" customHeight="1">
      <c r="A766" s="597"/>
      <c r="B766" s="598"/>
      <c r="C766" s="597"/>
      <c r="D766" s="597"/>
      <c r="E766" s="597"/>
      <c r="F766" s="599"/>
      <c r="G766" s="600"/>
      <c r="H766" s="601"/>
      <c r="I766" s="597"/>
      <c r="J766" s="597"/>
      <c r="K766" s="597"/>
      <c r="L766" s="597"/>
      <c r="M766" s="597"/>
      <c r="N766" s="616" t="s">
        <v>1943</v>
      </c>
      <c r="O766" s="616" t="s">
        <v>2825</v>
      </c>
      <c r="P766" s="611" t="s">
        <v>3426</v>
      </c>
      <c r="Q766" s="597"/>
      <c r="R766" s="597"/>
      <c r="S766" s="597"/>
      <c r="T766" s="597"/>
      <c r="U766" s="597"/>
      <c r="V766" s="597"/>
      <c r="W766" s="597"/>
      <c r="X766" s="597"/>
      <c r="Y766" s="597"/>
      <c r="Z766" s="597"/>
      <c r="AA766" s="597"/>
    </row>
    <row r="767" spans="1:27" ht="12" customHeight="1">
      <c r="A767" s="597"/>
      <c r="B767" s="598"/>
      <c r="C767" s="597"/>
      <c r="D767" s="597"/>
      <c r="E767" s="597"/>
      <c r="F767" s="599"/>
      <c r="G767" s="600"/>
      <c r="H767" s="601"/>
      <c r="I767" s="597"/>
      <c r="J767" s="597"/>
      <c r="K767" s="597"/>
      <c r="L767" s="597"/>
      <c r="M767" s="597"/>
      <c r="N767" s="616" t="s">
        <v>1944</v>
      </c>
      <c r="O767" s="616" t="s">
        <v>1402</v>
      </c>
      <c r="P767" s="611" t="s">
        <v>3506</v>
      </c>
      <c r="Q767" s="597"/>
      <c r="R767" s="597"/>
      <c r="S767" s="597"/>
      <c r="T767" s="597"/>
      <c r="U767" s="597"/>
      <c r="V767" s="597"/>
      <c r="W767" s="597"/>
      <c r="X767" s="597"/>
      <c r="Y767" s="597"/>
      <c r="Z767" s="597"/>
      <c r="AA767" s="597"/>
    </row>
    <row r="768" spans="1:27" ht="12" customHeight="1">
      <c r="A768" s="597"/>
      <c r="B768" s="598"/>
      <c r="C768" s="597"/>
      <c r="D768" s="597"/>
      <c r="E768" s="597"/>
      <c r="F768" s="599"/>
      <c r="G768" s="600"/>
      <c r="H768" s="601"/>
      <c r="I768" s="597"/>
      <c r="J768" s="597"/>
      <c r="K768" s="597"/>
      <c r="L768" s="597"/>
      <c r="M768" s="597"/>
      <c r="N768" s="616" t="s">
        <v>1945</v>
      </c>
      <c r="O768" s="616" t="s">
        <v>2452</v>
      </c>
      <c r="P768" s="611" t="s">
        <v>3507</v>
      </c>
      <c r="Q768" s="597"/>
      <c r="R768" s="597"/>
      <c r="S768" s="597"/>
      <c r="T768" s="597"/>
      <c r="U768" s="597"/>
      <c r="V768" s="597"/>
      <c r="W768" s="597"/>
      <c r="X768" s="597"/>
      <c r="Y768" s="597"/>
      <c r="Z768" s="597"/>
      <c r="AA768" s="597"/>
    </row>
    <row r="769" spans="1:27" ht="12" customHeight="1">
      <c r="A769" s="597"/>
      <c r="B769" s="598"/>
      <c r="C769" s="597"/>
      <c r="D769" s="597"/>
      <c r="E769" s="597"/>
      <c r="F769" s="599"/>
      <c r="G769" s="600"/>
      <c r="H769" s="601"/>
      <c r="I769" s="597"/>
      <c r="J769" s="597"/>
      <c r="K769" s="597"/>
      <c r="L769" s="597"/>
      <c r="M769" s="597"/>
      <c r="N769" s="498" t="s">
        <v>2437</v>
      </c>
      <c r="O769" s="498" t="s">
        <v>3894</v>
      </c>
      <c r="P769" s="1363" t="s">
        <v>967</v>
      </c>
      <c r="Q769" s="597"/>
      <c r="R769" s="597"/>
      <c r="S769" s="597"/>
      <c r="T769" s="597"/>
      <c r="U769" s="597"/>
      <c r="V769" s="597"/>
      <c r="W769" s="597"/>
      <c r="X769" s="597"/>
      <c r="Y769" s="597"/>
      <c r="Z769" s="597"/>
      <c r="AA769" s="597"/>
    </row>
    <row r="770" spans="1:27" ht="12" customHeight="1">
      <c r="A770" s="597"/>
      <c r="B770" s="598"/>
      <c r="C770" s="597"/>
      <c r="D770" s="597"/>
      <c r="E770" s="597"/>
      <c r="F770" s="599"/>
      <c r="G770" s="600"/>
      <c r="H770" s="601"/>
      <c r="I770" s="597"/>
      <c r="J770" s="597"/>
      <c r="K770" s="597"/>
      <c r="L770" s="597"/>
      <c r="M770" s="597"/>
      <c r="N770" s="616" t="s">
        <v>1946</v>
      </c>
      <c r="O770" s="616" t="s">
        <v>2144</v>
      </c>
      <c r="P770" s="611" t="s">
        <v>3508</v>
      </c>
      <c r="Q770" s="597"/>
      <c r="R770" s="597"/>
      <c r="S770" s="597"/>
      <c r="T770" s="597"/>
      <c r="U770" s="597"/>
      <c r="V770" s="597"/>
      <c r="W770" s="597"/>
      <c r="X770" s="597"/>
      <c r="Y770" s="597"/>
      <c r="Z770" s="597"/>
      <c r="AA770" s="597"/>
    </row>
    <row r="771" spans="1:27" ht="12" customHeight="1">
      <c r="A771" s="597"/>
      <c r="B771" s="598"/>
      <c r="C771" s="597"/>
      <c r="D771" s="597"/>
      <c r="E771" s="597"/>
      <c r="F771" s="599"/>
      <c r="G771" s="600"/>
      <c r="H771" s="601"/>
      <c r="I771" s="597"/>
      <c r="J771" s="597"/>
      <c r="K771" s="597"/>
      <c r="L771" s="597"/>
      <c r="M771" s="597"/>
      <c r="N771" s="616" t="s">
        <v>1947</v>
      </c>
      <c r="O771" s="616" t="s">
        <v>3900</v>
      </c>
      <c r="P771" s="611" t="s">
        <v>3509</v>
      </c>
      <c r="Q771" s="597"/>
      <c r="R771" s="597"/>
      <c r="S771" s="597"/>
      <c r="T771" s="597"/>
      <c r="U771" s="597"/>
      <c r="V771" s="597"/>
      <c r="W771" s="597"/>
      <c r="X771" s="597"/>
      <c r="Y771" s="597"/>
      <c r="Z771" s="597"/>
      <c r="AA771" s="597"/>
    </row>
    <row r="772" spans="1:27" ht="12" customHeight="1">
      <c r="A772" s="597"/>
      <c r="B772" s="598"/>
      <c r="C772" s="597"/>
      <c r="D772" s="597"/>
      <c r="E772" s="597"/>
      <c r="F772" s="599"/>
      <c r="G772" s="600"/>
      <c r="H772" s="601"/>
      <c r="I772" s="597"/>
      <c r="J772" s="597"/>
      <c r="K772" s="597"/>
      <c r="L772" s="597"/>
      <c r="M772" s="597"/>
      <c r="N772" s="616" t="s">
        <v>1948</v>
      </c>
      <c r="O772" s="616" t="s">
        <v>2165</v>
      </c>
      <c r="P772" s="611" t="s">
        <v>3510</v>
      </c>
      <c r="Q772" s="597"/>
      <c r="R772" s="597"/>
      <c r="S772" s="597"/>
      <c r="T772" s="597"/>
      <c r="U772" s="597"/>
      <c r="V772" s="597"/>
      <c r="W772" s="597"/>
      <c r="X772" s="597"/>
      <c r="Y772" s="597"/>
      <c r="Z772" s="597"/>
      <c r="AA772" s="597"/>
    </row>
    <row r="773" spans="1:27" ht="12" customHeight="1">
      <c r="A773" s="597"/>
      <c r="B773" s="598"/>
      <c r="C773" s="597"/>
      <c r="D773" s="597"/>
      <c r="E773" s="597"/>
      <c r="F773" s="599"/>
      <c r="G773" s="600"/>
      <c r="H773" s="601"/>
      <c r="I773" s="597"/>
      <c r="J773" s="597"/>
      <c r="K773" s="597"/>
      <c r="L773" s="597"/>
      <c r="M773" s="597"/>
      <c r="N773" s="616" t="s">
        <v>1949</v>
      </c>
      <c r="O773" s="616" t="s">
        <v>1296</v>
      </c>
      <c r="P773" s="611" t="s">
        <v>3427</v>
      </c>
      <c r="Q773" s="597"/>
      <c r="R773" s="597"/>
      <c r="S773" s="597"/>
      <c r="T773" s="597"/>
      <c r="U773" s="597"/>
      <c r="V773" s="597"/>
      <c r="W773" s="597"/>
      <c r="X773" s="597"/>
      <c r="Y773" s="597"/>
      <c r="Z773" s="597"/>
      <c r="AA773" s="597"/>
    </row>
    <row r="774" spans="1:27" ht="12" customHeight="1">
      <c r="A774" s="597"/>
      <c r="B774" s="598"/>
      <c r="C774" s="597"/>
      <c r="D774" s="597"/>
      <c r="E774" s="597"/>
      <c r="F774" s="599"/>
      <c r="G774" s="600"/>
      <c r="H774" s="601"/>
      <c r="I774" s="597"/>
      <c r="J774" s="597"/>
      <c r="K774" s="597"/>
      <c r="L774" s="597"/>
      <c r="M774" s="597"/>
      <c r="N774" s="616" t="s">
        <v>1950</v>
      </c>
      <c r="O774" s="616" t="s">
        <v>1020</v>
      </c>
      <c r="P774" s="611" t="s">
        <v>3428</v>
      </c>
      <c r="Q774" s="597"/>
      <c r="R774" s="597"/>
      <c r="S774" s="597"/>
      <c r="T774" s="597"/>
      <c r="U774" s="597"/>
      <c r="V774" s="597"/>
      <c r="W774" s="597"/>
      <c r="X774" s="597"/>
      <c r="Y774" s="597"/>
      <c r="Z774" s="597"/>
      <c r="AA774" s="597"/>
    </row>
    <row r="775" spans="1:27" ht="12" customHeight="1">
      <c r="A775" s="597"/>
      <c r="B775" s="598"/>
      <c r="C775" s="597"/>
      <c r="D775" s="597"/>
      <c r="E775" s="597"/>
      <c r="F775" s="599"/>
      <c r="G775" s="600"/>
      <c r="H775" s="601"/>
      <c r="I775" s="597"/>
      <c r="J775" s="597"/>
      <c r="K775" s="597"/>
      <c r="L775" s="597"/>
      <c r="M775" s="597"/>
      <c r="N775" s="616" t="s">
        <v>1951</v>
      </c>
      <c r="O775" s="616" t="s">
        <v>3899</v>
      </c>
      <c r="P775" s="611" t="s">
        <v>3429</v>
      </c>
      <c r="Q775" s="597"/>
      <c r="R775" s="597"/>
      <c r="S775" s="597"/>
      <c r="T775" s="597"/>
      <c r="U775" s="597"/>
      <c r="V775" s="597"/>
      <c r="W775" s="597"/>
      <c r="X775" s="597"/>
      <c r="Y775" s="597"/>
      <c r="Z775" s="597"/>
      <c r="AA775" s="597"/>
    </row>
    <row r="776" spans="1:27" ht="12" customHeight="1">
      <c r="A776" s="597"/>
      <c r="B776" s="598"/>
      <c r="C776" s="597"/>
      <c r="D776" s="597"/>
      <c r="E776" s="597"/>
      <c r="F776" s="599"/>
      <c r="G776" s="600"/>
      <c r="H776" s="601"/>
      <c r="I776" s="597"/>
      <c r="J776" s="597"/>
      <c r="K776" s="597"/>
      <c r="L776" s="597"/>
      <c r="M776" s="597"/>
      <c r="N776" s="616" t="s">
        <v>771</v>
      </c>
      <c r="O776" s="616" t="s">
        <v>3180</v>
      </c>
      <c r="P776" s="611" t="s">
        <v>3513</v>
      </c>
      <c r="Q776" s="597"/>
      <c r="R776" s="597"/>
      <c r="S776" s="597"/>
      <c r="T776" s="597"/>
      <c r="U776" s="597"/>
      <c r="V776" s="597"/>
      <c r="W776" s="597"/>
      <c r="X776" s="597"/>
      <c r="Y776" s="597"/>
      <c r="Z776" s="597"/>
      <c r="AA776" s="597"/>
    </row>
    <row r="777" spans="1:27" ht="12" customHeight="1">
      <c r="A777" s="597"/>
      <c r="B777" s="598"/>
      <c r="C777" s="597"/>
      <c r="D777" s="597"/>
      <c r="E777" s="597"/>
      <c r="F777" s="599"/>
      <c r="G777" s="600"/>
      <c r="H777" s="601"/>
      <c r="I777" s="597"/>
      <c r="J777" s="597"/>
      <c r="K777" s="597"/>
      <c r="L777" s="597"/>
      <c r="M777" s="597"/>
      <c r="N777" s="616" t="s">
        <v>772</v>
      </c>
      <c r="O777" s="616" t="s">
        <v>3075</v>
      </c>
      <c r="P777" s="611" t="s">
        <v>3514</v>
      </c>
      <c r="Q777" s="597"/>
      <c r="R777" s="597"/>
      <c r="S777" s="597"/>
      <c r="T777" s="597"/>
      <c r="U777" s="597"/>
      <c r="V777" s="597"/>
      <c r="W777" s="597"/>
      <c r="X777" s="597"/>
      <c r="Y777" s="597"/>
      <c r="Z777" s="597"/>
      <c r="AA777" s="597"/>
    </row>
    <row r="778" spans="1:27" ht="12" customHeight="1">
      <c r="A778" s="597"/>
      <c r="B778" s="598"/>
      <c r="C778" s="597"/>
      <c r="D778" s="597"/>
      <c r="E778" s="597"/>
      <c r="F778" s="599"/>
      <c r="G778" s="600"/>
      <c r="H778" s="601"/>
      <c r="I778" s="597"/>
      <c r="J778" s="597"/>
      <c r="K778" s="597"/>
      <c r="L778" s="597"/>
      <c r="M778" s="597"/>
      <c r="N778" s="616" t="s">
        <v>773</v>
      </c>
      <c r="O778" s="616" t="s">
        <v>3751</v>
      </c>
      <c r="P778" s="611" t="s">
        <v>3515</v>
      </c>
      <c r="Q778" s="597"/>
      <c r="R778" s="597"/>
      <c r="S778" s="597"/>
      <c r="T778" s="597"/>
      <c r="U778" s="597"/>
      <c r="V778" s="597"/>
      <c r="W778" s="597"/>
      <c r="X778" s="597"/>
      <c r="Y778" s="597"/>
      <c r="Z778" s="597"/>
      <c r="AA778" s="597"/>
    </row>
    <row r="779" spans="1:27" ht="12" customHeight="1">
      <c r="A779" s="597"/>
      <c r="B779" s="598"/>
      <c r="C779" s="597"/>
      <c r="D779" s="597"/>
      <c r="E779" s="597"/>
      <c r="F779" s="599"/>
      <c r="G779" s="600"/>
      <c r="H779" s="601"/>
      <c r="I779" s="597"/>
      <c r="J779" s="597"/>
      <c r="K779" s="597"/>
      <c r="L779" s="597"/>
      <c r="M779" s="597"/>
      <c r="N779" s="616" t="s">
        <v>2858</v>
      </c>
      <c r="O779" s="616" t="s">
        <v>3755</v>
      </c>
      <c r="P779" s="611" t="s">
        <v>3516</v>
      </c>
      <c r="Q779" s="597"/>
      <c r="R779" s="597"/>
      <c r="S779" s="597"/>
      <c r="T779" s="597"/>
      <c r="U779" s="597"/>
      <c r="V779" s="597"/>
      <c r="W779" s="597"/>
      <c r="X779" s="597"/>
      <c r="Y779" s="597"/>
      <c r="Z779" s="597"/>
      <c r="AA779" s="597"/>
    </row>
    <row r="780" spans="1:27" ht="12" customHeight="1">
      <c r="A780" s="597"/>
      <c r="B780" s="598"/>
      <c r="C780" s="597"/>
      <c r="D780" s="597"/>
      <c r="E780" s="597"/>
      <c r="F780" s="599"/>
      <c r="G780" s="600"/>
      <c r="H780" s="601"/>
      <c r="I780" s="597"/>
      <c r="J780" s="597"/>
      <c r="K780" s="597"/>
      <c r="L780" s="597"/>
      <c r="M780" s="597"/>
      <c r="N780" s="616" t="s">
        <v>2710</v>
      </c>
      <c r="O780" s="616" t="s">
        <v>1174</v>
      </c>
      <c r="P780" s="611" t="s">
        <v>3517</v>
      </c>
      <c r="Q780" s="597"/>
      <c r="R780" s="597"/>
      <c r="S780" s="597"/>
      <c r="T780" s="597"/>
      <c r="U780" s="597"/>
      <c r="V780" s="597"/>
      <c r="W780" s="597"/>
      <c r="X780" s="597"/>
      <c r="Y780" s="597"/>
      <c r="Z780" s="597"/>
      <c r="AA780" s="597"/>
    </row>
    <row r="781" spans="1:27" ht="12" customHeight="1">
      <c r="A781" s="597"/>
      <c r="B781" s="598"/>
      <c r="C781" s="597"/>
      <c r="D781" s="597"/>
      <c r="E781" s="597"/>
      <c r="F781" s="599"/>
      <c r="G781" s="600"/>
      <c r="H781" s="601"/>
      <c r="I781" s="597"/>
      <c r="J781" s="597"/>
      <c r="K781" s="597"/>
      <c r="L781" s="597"/>
      <c r="M781" s="597"/>
      <c r="N781" s="616" t="s">
        <v>2711</v>
      </c>
      <c r="O781" s="616" t="s">
        <v>1330</v>
      </c>
      <c r="P781" s="611" t="s">
        <v>3518</v>
      </c>
      <c r="Q781" s="597"/>
      <c r="R781" s="597"/>
      <c r="S781" s="597"/>
      <c r="T781" s="597"/>
      <c r="U781" s="597"/>
      <c r="V781" s="597"/>
      <c r="W781" s="597"/>
      <c r="X781" s="597"/>
      <c r="Y781" s="597"/>
      <c r="Z781" s="597"/>
      <c r="AA781" s="597"/>
    </row>
    <row r="782" spans="1:27" ht="12" customHeight="1">
      <c r="A782" s="597"/>
      <c r="B782" s="598"/>
      <c r="C782" s="597"/>
      <c r="D782" s="597"/>
      <c r="E782" s="597"/>
      <c r="F782" s="599"/>
      <c r="G782" s="600"/>
      <c r="H782" s="601"/>
      <c r="I782" s="597"/>
      <c r="J782" s="597"/>
      <c r="K782" s="597"/>
      <c r="L782" s="597"/>
      <c r="M782" s="597"/>
      <c r="N782" s="616" t="s">
        <v>2712</v>
      </c>
      <c r="O782" s="616" t="s">
        <v>2452</v>
      </c>
      <c r="P782" s="611" t="s">
        <v>3519</v>
      </c>
      <c r="Q782" s="597"/>
      <c r="R782" s="597"/>
      <c r="S782" s="597"/>
      <c r="T782" s="597"/>
      <c r="U782" s="597"/>
      <c r="V782" s="597"/>
      <c r="W782" s="597"/>
      <c r="X782" s="597"/>
      <c r="Y782" s="597"/>
      <c r="Z782" s="597"/>
      <c r="AA782" s="597"/>
    </row>
    <row r="783" spans="1:27" ht="12" customHeight="1">
      <c r="A783" s="597"/>
      <c r="B783" s="598"/>
      <c r="C783" s="597"/>
      <c r="D783" s="597"/>
      <c r="E783" s="597"/>
      <c r="F783" s="599"/>
      <c r="G783" s="600"/>
      <c r="H783" s="601"/>
      <c r="I783" s="597"/>
      <c r="J783" s="597"/>
      <c r="K783" s="597"/>
      <c r="L783" s="597"/>
      <c r="M783" s="597"/>
      <c r="N783" s="611"/>
      <c r="O783" s="611"/>
      <c r="P783" s="597"/>
      <c r="Q783" s="597"/>
      <c r="R783" s="597"/>
      <c r="S783" s="597"/>
      <c r="T783" s="597"/>
      <c r="U783" s="597"/>
      <c r="V783" s="597"/>
      <c r="W783" s="597"/>
      <c r="X783" s="597"/>
      <c r="Y783" s="597"/>
      <c r="Z783" s="597"/>
      <c r="AA783" s="597"/>
    </row>
    <row r="784" spans="1:27" ht="12" customHeight="1">
      <c r="A784" s="597"/>
      <c r="B784" s="598"/>
      <c r="C784" s="597"/>
      <c r="D784" s="597"/>
      <c r="E784" s="597"/>
      <c r="F784" s="599"/>
      <c r="G784" s="600"/>
      <c r="H784" s="601"/>
      <c r="I784" s="597"/>
      <c r="J784" s="597"/>
      <c r="K784" s="597"/>
      <c r="L784" s="597"/>
      <c r="M784" s="597"/>
      <c r="N784" s="620"/>
      <c r="O784" s="616" t="s">
        <v>3947</v>
      </c>
      <c r="P784" s="597"/>
      <c r="Q784" s="597"/>
      <c r="R784" s="597"/>
      <c r="S784" s="597"/>
      <c r="T784" s="597"/>
      <c r="U784" s="597"/>
      <c r="V784" s="597"/>
      <c r="W784" s="597"/>
      <c r="X784" s="597"/>
      <c r="Y784" s="597"/>
      <c r="Z784" s="597"/>
      <c r="AA784" s="597"/>
    </row>
    <row r="785" spans="1:27" ht="12" customHeight="1">
      <c r="A785" s="597"/>
      <c r="B785" s="598"/>
      <c r="C785" s="597"/>
      <c r="D785" s="597"/>
      <c r="E785" s="597"/>
      <c r="F785" s="599"/>
      <c r="G785" s="600"/>
      <c r="H785" s="601"/>
      <c r="I785" s="597"/>
      <c r="J785" s="597"/>
      <c r="K785" s="597"/>
      <c r="L785" s="597"/>
      <c r="M785" s="597"/>
      <c r="N785" s="616" t="s">
        <v>490</v>
      </c>
      <c r="O785" s="611"/>
      <c r="P785" s="597"/>
      <c r="Q785" s="597"/>
      <c r="R785" s="597"/>
      <c r="S785" s="597"/>
      <c r="T785" s="597"/>
      <c r="U785" s="597"/>
      <c r="V785" s="597"/>
      <c r="W785" s="597"/>
      <c r="X785" s="597"/>
      <c r="Y785" s="597"/>
      <c r="Z785" s="597"/>
      <c r="AA785" s="597"/>
    </row>
    <row r="786" spans="1:27" ht="12" customHeight="1">
      <c r="A786" s="597"/>
      <c r="B786" s="598"/>
      <c r="C786" s="597"/>
      <c r="D786" s="597"/>
      <c r="E786" s="597"/>
      <c r="F786" s="599"/>
      <c r="G786" s="600"/>
      <c r="H786" s="601"/>
      <c r="I786" s="597"/>
      <c r="J786" s="597"/>
      <c r="K786" s="597"/>
      <c r="L786" s="597"/>
      <c r="M786" s="597"/>
      <c r="N786" s="597"/>
      <c r="O786" s="597"/>
      <c r="P786" s="597"/>
      <c r="Q786" s="597"/>
      <c r="R786" s="597"/>
      <c r="S786" s="597"/>
      <c r="T786" s="597"/>
      <c r="U786" s="597"/>
      <c r="V786" s="597"/>
      <c r="W786" s="597"/>
      <c r="X786" s="597"/>
      <c r="Y786" s="597"/>
      <c r="Z786" s="597"/>
      <c r="AA786" s="597"/>
    </row>
    <row r="787" spans="1:27" ht="12" customHeight="1">
      <c r="A787" s="597"/>
      <c r="B787" s="598"/>
      <c r="C787" s="597"/>
      <c r="D787" s="597"/>
      <c r="E787" s="597"/>
      <c r="F787" s="599"/>
      <c r="G787" s="600"/>
      <c r="H787" s="601"/>
      <c r="I787" s="597"/>
      <c r="J787" s="597"/>
      <c r="K787" s="597"/>
      <c r="L787" s="597"/>
      <c r="M787" s="597"/>
      <c r="N787" s="597"/>
      <c r="O787" s="597"/>
      <c r="P787" s="597"/>
      <c r="Q787" s="597"/>
      <c r="R787" s="597"/>
      <c r="S787" s="597"/>
      <c r="T787" s="597"/>
      <c r="U787" s="597"/>
      <c r="V787" s="597"/>
      <c r="W787" s="597"/>
      <c r="X787" s="597"/>
      <c r="Y787" s="597"/>
      <c r="Z787" s="597"/>
      <c r="AA787" s="597"/>
    </row>
    <row r="788" spans="1:27" ht="12" customHeight="1">
      <c r="A788" s="597"/>
      <c r="B788" s="598"/>
      <c r="C788" s="597"/>
      <c r="D788" s="597"/>
      <c r="E788" s="597"/>
      <c r="F788" s="599"/>
      <c r="G788" s="600"/>
      <c r="H788" s="601"/>
      <c r="I788" s="597"/>
      <c r="J788" s="597"/>
      <c r="K788" s="597"/>
      <c r="L788" s="597"/>
      <c r="M788" s="597"/>
      <c r="N788" s="597"/>
      <c r="O788" s="597"/>
      <c r="P788" s="597"/>
      <c r="Q788" s="597"/>
      <c r="R788" s="597"/>
      <c r="S788" s="597"/>
      <c r="T788" s="597"/>
      <c r="U788" s="597"/>
      <c r="V788" s="597"/>
      <c r="W788" s="597"/>
      <c r="X788" s="597"/>
      <c r="Y788" s="597"/>
      <c r="Z788" s="597"/>
      <c r="AA788" s="597"/>
    </row>
    <row r="789" spans="1:27" ht="12" customHeight="1">
      <c r="A789" s="597"/>
      <c r="B789" s="598"/>
      <c r="C789" s="597"/>
      <c r="D789" s="597"/>
      <c r="E789" s="597"/>
      <c r="F789" s="599"/>
      <c r="G789" s="600"/>
      <c r="H789" s="601"/>
      <c r="I789" s="597"/>
      <c r="J789" s="597"/>
      <c r="K789" s="597"/>
      <c r="L789" s="597"/>
      <c r="M789" s="597"/>
      <c r="N789" s="597"/>
      <c r="O789" s="597"/>
      <c r="P789" s="597"/>
      <c r="Q789" s="597"/>
      <c r="R789" s="597"/>
      <c r="S789" s="597"/>
      <c r="T789" s="597"/>
      <c r="U789" s="597"/>
      <c r="V789" s="597"/>
      <c r="W789" s="597"/>
      <c r="X789" s="597"/>
      <c r="Y789" s="597"/>
      <c r="Z789" s="597"/>
      <c r="AA789" s="597"/>
    </row>
    <row r="790" spans="1:27" ht="12" customHeight="1">
      <c r="A790" s="597"/>
      <c r="B790" s="598"/>
      <c r="C790" s="597"/>
      <c r="D790" s="597"/>
      <c r="E790" s="597"/>
      <c r="F790" s="599"/>
      <c r="G790" s="600"/>
      <c r="H790" s="601"/>
      <c r="I790" s="597"/>
      <c r="J790" s="597"/>
      <c r="K790" s="597"/>
      <c r="L790" s="597"/>
      <c r="M790" s="597"/>
      <c r="N790" s="597"/>
      <c r="O790" s="597"/>
      <c r="P790" s="597"/>
      <c r="Q790" s="597"/>
      <c r="R790" s="597"/>
      <c r="S790" s="597"/>
      <c r="T790" s="597"/>
      <c r="U790" s="597"/>
      <c r="V790" s="597"/>
      <c r="W790" s="597"/>
      <c r="X790" s="597"/>
      <c r="Y790" s="597"/>
      <c r="Z790" s="597"/>
      <c r="AA790" s="597"/>
    </row>
    <row r="791" spans="1:27" ht="12" customHeight="1">
      <c r="A791" s="597"/>
      <c r="B791" s="598"/>
      <c r="C791" s="597"/>
      <c r="D791" s="597"/>
      <c r="E791" s="597"/>
      <c r="F791" s="599"/>
      <c r="G791" s="600"/>
      <c r="H791" s="601"/>
      <c r="I791" s="597"/>
      <c r="J791" s="597"/>
      <c r="K791" s="597"/>
      <c r="L791" s="597"/>
      <c r="M791" s="597"/>
      <c r="N791" s="597"/>
      <c r="O791" s="597"/>
      <c r="P791" s="597"/>
      <c r="Q791" s="597"/>
      <c r="R791" s="597"/>
      <c r="S791" s="597"/>
      <c r="T791" s="597"/>
      <c r="U791" s="597"/>
      <c r="V791" s="597"/>
      <c r="W791" s="597"/>
      <c r="X791" s="597"/>
      <c r="Y791" s="597"/>
      <c r="Z791" s="597"/>
      <c r="AA791" s="597"/>
    </row>
    <row r="792" spans="1:27" ht="12" customHeight="1">
      <c r="A792" s="597"/>
      <c r="B792" s="598"/>
      <c r="C792" s="597"/>
      <c r="D792" s="597"/>
      <c r="E792" s="597"/>
      <c r="F792" s="599"/>
      <c r="G792" s="600"/>
      <c r="H792" s="601"/>
      <c r="I792" s="597"/>
      <c r="J792" s="597"/>
      <c r="K792" s="597"/>
      <c r="L792" s="597"/>
      <c r="M792" s="597"/>
      <c r="N792" s="597"/>
      <c r="O792" s="597"/>
      <c r="P792" s="597"/>
      <c r="Q792" s="597"/>
      <c r="R792" s="597"/>
      <c r="S792" s="597"/>
      <c r="T792" s="597"/>
      <c r="U792" s="597"/>
      <c r="V792" s="597"/>
      <c r="W792" s="597"/>
      <c r="X792" s="597"/>
      <c r="Y792" s="597"/>
      <c r="Z792" s="597"/>
      <c r="AA792" s="597"/>
    </row>
    <row r="793" spans="1:27" ht="12" customHeight="1">
      <c r="A793" s="597"/>
      <c r="B793" s="598"/>
      <c r="C793" s="597"/>
      <c r="D793" s="597"/>
      <c r="E793" s="597"/>
      <c r="F793" s="599"/>
      <c r="G793" s="597"/>
      <c r="H793" s="597"/>
      <c r="I793" s="597"/>
      <c r="J793" s="597"/>
      <c r="K793" s="597"/>
      <c r="L793" s="597"/>
      <c r="M793" s="597"/>
      <c r="N793" s="597"/>
      <c r="O793" s="597"/>
      <c r="P793" s="597"/>
      <c r="Q793" s="597"/>
      <c r="R793" s="597"/>
      <c r="S793" s="597"/>
      <c r="T793" s="597"/>
      <c r="U793" s="597"/>
      <c r="V793" s="597"/>
      <c r="W793" s="597"/>
      <c r="X793" s="597"/>
      <c r="Y793" s="597"/>
      <c r="Z793" s="597"/>
      <c r="AA793" s="597"/>
    </row>
    <row r="794" spans="1:27" ht="12" customHeight="1">
      <c r="A794" s="597"/>
      <c r="B794" s="598"/>
      <c r="C794" s="597"/>
      <c r="D794" s="597"/>
      <c r="E794" s="597"/>
      <c r="F794" s="597"/>
      <c r="G794" s="597"/>
      <c r="H794" s="597"/>
      <c r="I794" s="597"/>
      <c r="J794" s="597"/>
      <c r="K794" s="597"/>
      <c r="L794" s="597"/>
      <c r="M794" s="597"/>
      <c r="N794" s="597"/>
      <c r="O794" s="597"/>
      <c r="P794" s="597"/>
      <c r="Q794" s="597"/>
      <c r="R794" s="597"/>
      <c r="S794" s="597"/>
      <c r="T794" s="597"/>
      <c r="U794" s="597"/>
      <c r="V794" s="597"/>
      <c r="W794" s="597"/>
      <c r="X794" s="597"/>
      <c r="Y794" s="597"/>
      <c r="Z794" s="597"/>
      <c r="AA794" s="597"/>
    </row>
    <row r="795" spans="1:27" ht="12" customHeight="1">
      <c r="A795" s="597"/>
      <c r="B795" s="598"/>
      <c r="C795" s="597"/>
      <c r="D795" s="597"/>
      <c r="E795" s="597"/>
      <c r="F795" s="597"/>
      <c r="G795" s="597"/>
      <c r="H795" s="597"/>
      <c r="I795" s="597"/>
      <c r="J795" s="597"/>
      <c r="K795" s="597"/>
      <c r="L795" s="597"/>
      <c r="M795" s="597"/>
      <c r="N795" s="597"/>
      <c r="O795" s="597"/>
      <c r="P795" s="597"/>
      <c r="Q795" s="597"/>
      <c r="R795" s="597"/>
      <c r="S795" s="597"/>
      <c r="T795" s="597"/>
      <c r="U795" s="597"/>
      <c r="V795" s="597"/>
      <c r="W795" s="597"/>
      <c r="X795" s="597"/>
      <c r="Y795" s="597"/>
      <c r="Z795" s="597"/>
      <c r="AA795" s="597"/>
    </row>
    <row r="796" spans="1:27" ht="12" customHeight="1">
      <c r="A796" s="597"/>
      <c r="B796" s="598"/>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row>
    <row r="797" spans="1:27" ht="12" customHeight="1">
      <c r="A797" s="597"/>
      <c r="B797" s="598"/>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row>
    <row r="798" spans="1:27" ht="12" customHeight="1">
      <c r="A798" s="597"/>
      <c r="B798" s="598"/>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row>
    <row r="799" spans="1:27" ht="12" customHeight="1">
      <c r="A799" s="597"/>
      <c r="B799" s="598"/>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row>
    <row r="800" spans="1:27" ht="12" customHeight="1">
      <c r="A800" s="597"/>
      <c r="B800" s="598"/>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row>
    <row r="801" spans="1:27" ht="12" customHeight="1">
      <c r="A801" s="597"/>
      <c r="B801" s="598"/>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row>
    <row r="802" spans="1:27" ht="12" customHeight="1">
      <c r="A802" s="597"/>
      <c r="B802" s="598"/>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row>
    <row r="803" spans="1:27" ht="12" customHeight="1">
      <c r="A803" s="597"/>
      <c r="B803" s="598"/>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row>
    <row r="804" spans="1:27" ht="12" customHeight="1">
      <c r="A804" s="597"/>
      <c r="B804" s="598"/>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row>
    <row r="805" spans="1:27" ht="12" customHeight="1">
      <c r="A805" s="597"/>
      <c r="B805" s="598"/>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row>
    <row r="806" spans="1:27" ht="12" customHeight="1">
      <c r="A806" s="597"/>
      <c r="B806" s="598"/>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row>
    <row r="807" spans="1:27" ht="12" customHeight="1">
      <c r="A807" s="597"/>
      <c r="B807" s="598"/>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row>
    <row r="808" spans="1:27" ht="12" customHeight="1">
      <c r="A808" s="597"/>
      <c r="B808" s="598"/>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row>
    <row r="809" spans="1:27" ht="12" customHeight="1">
      <c r="A809" s="597"/>
      <c r="B809" s="598"/>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row>
    <row r="810" spans="1:27" ht="12" customHeight="1">
      <c r="A810" s="597"/>
      <c r="B810" s="598"/>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row>
    <row r="811" spans="1:27" ht="12" customHeight="1">
      <c r="A811" s="597"/>
      <c r="B811" s="598"/>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row>
    <row r="812" spans="1:27" ht="12" customHeight="1">
      <c r="A812" s="597"/>
      <c r="B812" s="598"/>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row>
    <row r="813" spans="1:27" ht="12" customHeight="1">
      <c r="A813" s="597"/>
      <c r="B813" s="598"/>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row>
    <row r="814" spans="1:27" ht="12" customHeight="1">
      <c r="A814" s="597"/>
      <c r="B814" s="598"/>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row>
    <row r="815" spans="1:27" ht="12" customHeight="1">
      <c r="A815" s="597"/>
      <c r="B815" s="598"/>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row>
    <row r="816" spans="1:27" ht="12" customHeight="1">
      <c r="A816" s="597"/>
      <c r="B816" s="598"/>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row>
    <row r="817" spans="1:27" ht="12" customHeight="1">
      <c r="A817" s="597"/>
      <c r="B817" s="598"/>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row>
    <row r="818" spans="1:27" ht="12" customHeight="1">
      <c r="A818" s="597"/>
      <c r="B818" s="598"/>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row>
    <row r="819" spans="1:27" ht="12" customHeight="1">
      <c r="A819" s="597"/>
      <c r="B819" s="598"/>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row>
    <row r="820" spans="1:27" ht="12" customHeight="1">
      <c r="A820" s="597"/>
      <c r="B820" s="598"/>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row>
    <row r="821" spans="1:27" ht="12" customHeight="1">
      <c r="A821" s="597"/>
      <c r="B821" s="598"/>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row>
    <row r="822" spans="1:27" ht="12" customHeight="1">
      <c r="A822" s="597"/>
      <c r="B822" s="598"/>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row>
    <row r="823" spans="1:27" ht="12" customHeight="1">
      <c r="A823" s="597"/>
      <c r="B823" s="598"/>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row>
    <row r="824" spans="1:27" ht="12" customHeight="1">
      <c r="A824" s="597"/>
      <c r="B824" s="598"/>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row>
    <row r="825" spans="1:27" ht="12" customHeight="1">
      <c r="A825" s="597"/>
      <c r="B825" s="598"/>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row>
    <row r="826" spans="1:27" ht="12" customHeight="1">
      <c r="A826" s="597"/>
      <c r="B826" s="598"/>
      <c r="C826" s="597"/>
      <c r="D826" s="597"/>
      <c r="E826" s="597"/>
      <c r="F826" s="597"/>
      <c r="G826" s="597"/>
      <c r="H826" s="597"/>
      <c r="I826" s="597"/>
      <c r="J826" s="597"/>
      <c r="K826" s="597"/>
      <c r="L826" s="597"/>
      <c r="M826" s="597"/>
      <c r="N826" s="597"/>
      <c r="O826" s="597"/>
      <c r="P826" s="597"/>
      <c r="Q826" s="597"/>
      <c r="R826" s="597"/>
      <c r="S826" s="597"/>
      <c r="T826" s="597"/>
      <c r="U826" s="597"/>
      <c r="V826" s="597"/>
      <c r="W826" s="597"/>
      <c r="X826" s="597"/>
      <c r="Y826" s="597"/>
      <c r="Z826" s="597"/>
      <c r="AA826" s="597"/>
    </row>
    <row r="827" spans="1:27" ht="12" customHeight="1">
      <c r="A827" s="597"/>
      <c r="B827" s="598"/>
      <c r="C827" s="597"/>
      <c r="D827" s="597"/>
      <c r="E827" s="597"/>
      <c r="F827" s="597"/>
      <c r="G827" s="597"/>
      <c r="H827" s="597"/>
      <c r="I827" s="597"/>
      <c r="J827" s="597"/>
      <c r="K827" s="597"/>
      <c r="L827" s="597"/>
      <c r="M827" s="597"/>
      <c r="N827" s="597"/>
      <c r="O827" s="597"/>
      <c r="P827" s="597"/>
      <c r="Q827" s="597"/>
      <c r="R827" s="597"/>
      <c r="S827" s="597"/>
      <c r="T827" s="597"/>
      <c r="U827" s="597"/>
      <c r="V827" s="597"/>
      <c r="W827" s="597"/>
      <c r="X827" s="597"/>
      <c r="Y827" s="597"/>
      <c r="Z827" s="597"/>
      <c r="AA827" s="597"/>
    </row>
    <row r="828" spans="1:27" ht="12" customHeight="1">
      <c r="A828" s="597"/>
      <c r="B828" s="598"/>
      <c r="C828" s="597"/>
      <c r="D828" s="597"/>
      <c r="E828" s="597"/>
      <c r="F828" s="597"/>
      <c r="G828" s="597"/>
      <c r="H828" s="597"/>
      <c r="I828" s="597"/>
      <c r="J828" s="597"/>
      <c r="K828" s="597"/>
      <c r="L828" s="597"/>
      <c r="M828" s="597"/>
      <c r="N828" s="597"/>
      <c r="O828" s="597"/>
      <c r="P828" s="597"/>
      <c r="Q828" s="597"/>
      <c r="R828" s="597"/>
      <c r="S828" s="597"/>
      <c r="T828" s="597"/>
      <c r="U828" s="597"/>
      <c r="V828" s="597"/>
      <c r="W828" s="597"/>
      <c r="X828" s="597"/>
      <c r="Y828" s="597"/>
      <c r="Z828" s="597"/>
      <c r="AA828" s="597"/>
    </row>
    <row r="829" spans="1:27" ht="12" customHeight="1">
      <c r="A829" s="597"/>
      <c r="B829" s="598"/>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row>
    <row r="830" spans="1:27" ht="12" customHeight="1">
      <c r="A830" s="597"/>
      <c r="B830" s="598"/>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row>
    <row r="831" spans="1:27" ht="12" customHeight="1">
      <c r="A831" s="597"/>
      <c r="B831" s="598"/>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row>
    <row r="832" spans="1:27" ht="12" customHeight="1">
      <c r="A832" s="597"/>
      <c r="B832" s="598"/>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row>
    <row r="833" spans="1:27" ht="12" customHeight="1">
      <c r="A833" s="597"/>
      <c r="B833" s="598"/>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row>
    <row r="834" spans="1:27" ht="12" customHeight="1">
      <c r="A834" s="597"/>
      <c r="B834" s="598"/>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row>
    <row r="835" spans="1:27" ht="12" customHeight="1">
      <c r="A835" s="597"/>
      <c r="B835" s="598"/>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row>
    <row r="836" spans="1:27" ht="12" customHeight="1">
      <c r="A836" s="597"/>
      <c r="B836" s="598"/>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row>
    <row r="837" spans="1:27" ht="12" customHeight="1">
      <c r="A837" s="597"/>
      <c r="B837" s="598"/>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row>
    <row r="838" spans="1:27" ht="12" customHeight="1">
      <c r="A838" s="597"/>
      <c r="B838" s="598"/>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row>
    <row r="839" spans="1:27" ht="12" customHeight="1">
      <c r="A839" s="597"/>
      <c r="B839" s="598"/>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row>
    <row r="840" spans="1:27" ht="12" customHeight="1">
      <c r="A840" s="597"/>
      <c r="B840" s="598"/>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row>
    <row r="841" spans="1:27" ht="12" customHeight="1">
      <c r="A841" s="597"/>
      <c r="B841" s="598"/>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row>
    <row r="842" spans="1:27" ht="12" customHeight="1">
      <c r="A842" s="597"/>
      <c r="B842" s="598"/>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row>
    <row r="843" spans="1:27" ht="12" customHeight="1">
      <c r="A843" s="597"/>
      <c r="B843" s="598"/>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row>
    <row r="844" spans="1:27" ht="12" customHeight="1">
      <c r="A844" s="597"/>
      <c r="B844" s="598"/>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row>
    <row r="845" spans="1:27" ht="12" customHeight="1">
      <c r="F845" s="597"/>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 ref="L17" r:id="rId3"/>
  </hyperlinks>
  <printOptions horizontalCentered="1"/>
  <pageMargins left="0.25" right="0.25" top="0.75" bottom="0.75" header="0.5" footer="0.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X201"/>
  <sheetViews>
    <sheetView showGridLines="0" zoomScale="118" zoomScaleNormal="118"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42578125" style="472" customWidth="1"/>
    <col min="25" max="16384" width="9.140625" style="472"/>
  </cols>
  <sheetData>
    <row r="1" spans="1:19" s="449" customFormat="1" ht="14.1" customHeight="1">
      <c r="A1" s="915" t="str">
        <f>CONCATENATE("PART TWO - DEVELOPMENT TEAM INFORMATION","  -  ",'Part I-Project Information'!$O$4," ",'Part I-Project Information'!$F$22,", ",'Part I-Project Information'!F24,", ",'Part I-Project Information'!J25," County")</f>
        <v>PART TWO - DEVELOPMENT TEAM INFORMATION  -  2012-042 Adair Court, Atlanta, Fulton County</v>
      </c>
      <c r="B1" s="916"/>
      <c r="C1" s="916"/>
      <c r="D1" s="916"/>
      <c r="E1" s="916"/>
      <c r="F1" s="916"/>
      <c r="G1" s="916"/>
      <c r="H1" s="916"/>
      <c r="I1" s="916"/>
      <c r="J1" s="916"/>
      <c r="K1" s="916"/>
      <c r="L1" s="916"/>
      <c r="M1" s="916"/>
      <c r="N1" s="916"/>
      <c r="O1" s="916"/>
      <c r="P1" s="916"/>
      <c r="Q1" s="916"/>
      <c r="R1" s="916"/>
      <c r="S1" s="917"/>
    </row>
    <row r="3" spans="1:19" s="449" customFormat="1" ht="13.35" customHeight="1">
      <c r="A3" s="452" t="s">
        <v>3133</v>
      </c>
      <c r="B3" s="456" t="s">
        <v>1383</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1150</v>
      </c>
      <c r="C5" s="456" t="s">
        <v>1379</v>
      </c>
      <c r="H5" s="1286" t="s">
        <v>82</v>
      </c>
      <c r="I5" s="1336"/>
      <c r="J5" s="1336"/>
      <c r="K5" s="1336"/>
      <c r="L5" s="1336"/>
      <c r="M5" s="1336"/>
      <c r="N5" s="1337"/>
      <c r="O5" s="828" t="s">
        <v>1157</v>
      </c>
      <c r="P5" s="828"/>
      <c r="Q5" s="1286" t="s">
        <v>4061</v>
      </c>
      <c r="R5" s="1336"/>
      <c r="S5" s="1337"/>
    </row>
    <row r="6" spans="1:19" s="449" customFormat="1" ht="12.6" customHeight="1">
      <c r="D6" s="499"/>
      <c r="E6" s="455" t="s">
        <v>2505</v>
      </c>
      <c r="F6" s="463"/>
      <c r="H6" s="1286" t="s">
        <v>4027</v>
      </c>
      <c r="I6" s="1336"/>
      <c r="J6" s="1336"/>
      <c r="K6" s="1336"/>
      <c r="L6" s="1336"/>
      <c r="M6" s="1336"/>
      <c r="N6" s="1337"/>
      <c r="O6" s="828" t="s">
        <v>1509</v>
      </c>
      <c r="Q6" s="1286" t="s">
        <v>4062</v>
      </c>
      <c r="R6" s="1336"/>
      <c r="S6" s="1337"/>
    </row>
    <row r="7" spans="1:19" s="449" customFormat="1" ht="12.6" customHeight="1">
      <c r="D7" s="499"/>
      <c r="E7" s="455" t="s">
        <v>3136</v>
      </c>
      <c r="H7" s="1286" t="s">
        <v>4028</v>
      </c>
      <c r="I7" s="1336"/>
      <c r="J7" s="1337"/>
      <c r="K7" s="1365" t="s">
        <v>3025</v>
      </c>
      <c r="L7" s="1286"/>
      <c r="M7" s="1336"/>
      <c r="N7" s="1337"/>
      <c r="O7" s="828" t="s">
        <v>1429</v>
      </c>
      <c r="Q7" s="1294">
        <v>7063405539</v>
      </c>
      <c r="R7" s="1299"/>
      <c r="S7" s="1295"/>
    </row>
    <row r="8" spans="1:19" s="449" customFormat="1" ht="12.6" customHeight="1">
      <c r="D8" s="499"/>
      <c r="E8" s="455" t="s">
        <v>1425</v>
      </c>
      <c r="H8" s="1300" t="s">
        <v>2723</v>
      </c>
      <c r="I8" s="837" t="s">
        <v>2256</v>
      </c>
      <c r="J8" s="1297">
        <v>306011929</v>
      </c>
      <c r="K8" s="1337"/>
      <c r="L8" s="397" t="s">
        <v>2259</v>
      </c>
      <c r="N8" s="1338">
        <v>10</v>
      </c>
      <c r="O8" s="828" t="s">
        <v>1146</v>
      </c>
      <c r="Q8" s="1294">
        <v>7063405539</v>
      </c>
      <c r="R8" s="1299"/>
      <c r="S8" s="1295"/>
    </row>
    <row r="9" spans="1:19" s="449" customFormat="1" ht="12.6" customHeight="1">
      <c r="D9" s="499"/>
      <c r="E9" s="455" t="s">
        <v>1152</v>
      </c>
      <c r="H9" s="1294">
        <v>7063405539</v>
      </c>
      <c r="I9" s="1295"/>
      <c r="J9" s="1366"/>
      <c r="K9" s="837" t="s">
        <v>1428</v>
      </c>
      <c r="L9" s="1324">
        <v>6143963243</v>
      </c>
      <c r="M9" s="1337"/>
      <c r="N9" s="457" t="s">
        <v>1151</v>
      </c>
      <c r="O9" s="1367" t="s">
        <v>10</v>
      </c>
      <c r="P9" s="1303"/>
      <c r="Q9" s="1303"/>
      <c r="R9" s="1303"/>
      <c r="S9" s="1304"/>
    </row>
    <row r="10" spans="1:19" s="449" customFormat="1" ht="13.35" customHeight="1">
      <c r="D10" s="499"/>
      <c r="E10" s="440" t="s">
        <v>3071</v>
      </c>
      <c r="H10" s="492"/>
      <c r="L10" s="541" t="s">
        <v>2257</v>
      </c>
      <c r="N10" s="837"/>
    </row>
    <row r="11" spans="1:19" s="449" customFormat="1" ht="4.3499999999999996" customHeight="1">
      <c r="D11" s="500"/>
      <c r="E11" s="455"/>
      <c r="F11" s="456"/>
      <c r="G11" s="456"/>
      <c r="H11" s="456"/>
      <c r="I11" s="456"/>
      <c r="J11" s="456"/>
      <c r="K11" s="456"/>
      <c r="L11" s="456"/>
      <c r="M11" s="456"/>
      <c r="N11" s="456"/>
      <c r="O11" s="456"/>
      <c r="P11" s="456"/>
      <c r="Q11" s="456"/>
    </row>
    <row r="12" spans="1:19" s="449" customFormat="1" ht="13.35" customHeight="1">
      <c r="B12" s="497" t="s">
        <v>1153</v>
      </c>
      <c r="C12" s="456" t="s">
        <v>1380</v>
      </c>
      <c r="F12" s="456"/>
      <c r="G12" s="456"/>
      <c r="H12" s="456"/>
      <c r="I12" s="456"/>
      <c r="J12" s="456"/>
      <c r="K12" s="456"/>
      <c r="L12" s="396" t="s">
        <v>2254</v>
      </c>
      <c r="O12" s="1368" t="s">
        <v>2255</v>
      </c>
      <c r="P12" s="1368"/>
      <c r="Q12" s="1368"/>
      <c r="R12" s="1368"/>
      <c r="S12" s="1368"/>
    </row>
    <row r="13" spans="1:19" s="449" customFormat="1" ht="4.3499999999999996" customHeight="1">
      <c r="D13" s="500"/>
      <c r="E13" s="455"/>
      <c r="F13" s="456"/>
      <c r="G13" s="456"/>
      <c r="H13" s="456"/>
      <c r="I13" s="456"/>
      <c r="J13" s="456"/>
      <c r="K13" s="456"/>
      <c r="L13" s="511"/>
      <c r="M13" s="456"/>
      <c r="N13" s="456"/>
      <c r="O13" s="508"/>
      <c r="P13" s="508"/>
      <c r="Q13" s="508"/>
      <c r="R13" s="397"/>
      <c r="S13" s="397"/>
    </row>
    <row r="14" spans="1:19" s="449" customFormat="1" ht="13.35" customHeight="1">
      <c r="C14" s="501" t="s">
        <v>1154</v>
      </c>
      <c r="D14" s="497" t="s">
        <v>1155</v>
      </c>
      <c r="H14" s="834"/>
      <c r="I14" s="834"/>
      <c r="J14" s="834"/>
      <c r="K14" s="450"/>
      <c r="L14" s="396" t="s">
        <v>2258</v>
      </c>
      <c r="M14" s="472"/>
      <c r="O14" s="1369" t="s">
        <v>2253</v>
      </c>
      <c r="P14" s="1369"/>
      <c r="Q14" s="1369"/>
      <c r="R14" s="1369"/>
      <c r="S14" s="1369"/>
    </row>
    <row r="15" spans="1:19" s="449" customFormat="1" ht="4.3499999999999996" customHeight="1">
      <c r="D15" s="501"/>
      <c r="E15" s="502"/>
      <c r="H15" s="1370"/>
      <c r="I15" s="1370"/>
      <c r="J15" s="1370"/>
      <c r="K15" s="827"/>
      <c r="L15" s="1370"/>
      <c r="M15" s="1370"/>
      <c r="N15" s="827"/>
      <c r="O15" s="863"/>
      <c r="P15" s="863"/>
      <c r="Q15" s="837"/>
      <c r="R15" s="863"/>
      <c r="S15" s="863"/>
    </row>
    <row r="16" spans="1:19" s="449" customFormat="1" ht="12.6" customHeight="1">
      <c r="D16" s="452" t="s">
        <v>1221</v>
      </c>
      <c r="E16" s="449" t="s">
        <v>1381</v>
      </c>
      <c r="H16" s="1286" t="s">
        <v>4063</v>
      </c>
      <c r="I16" s="1336"/>
      <c r="J16" s="1336"/>
      <c r="K16" s="1336"/>
      <c r="L16" s="1336"/>
      <c r="M16" s="1336"/>
      <c r="N16" s="1337"/>
      <c r="O16" s="828" t="s">
        <v>1157</v>
      </c>
      <c r="P16" s="828"/>
      <c r="Q16" s="1286" t="s">
        <v>4061</v>
      </c>
      <c r="R16" s="1336"/>
      <c r="S16" s="1337"/>
    </row>
    <row r="17" spans="4:19" s="449" customFormat="1" ht="12.6" customHeight="1">
      <c r="D17" s="499"/>
      <c r="E17" s="455" t="s">
        <v>2505</v>
      </c>
      <c r="F17" s="463"/>
      <c r="H17" s="1286" t="s">
        <v>4027</v>
      </c>
      <c r="I17" s="1336"/>
      <c r="J17" s="1336"/>
      <c r="K17" s="1336"/>
      <c r="L17" s="1336"/>
      <c r="M17" s="1336"/>
      <c r="N17" s="1337"/>
      <c r="O17" s="828" t="s">
        <v>1509</v>
      </c>
      <c r="Q17" s="1286" t="s">
        <v>4064</v>
      </c>
      <c r="R17" s="1336"/>
      <c r="S17" s="1337"/>
    </row>
    <row r="18" spans="4:19" s="449" customFormat="1" ht="12.6" customHeight="1">
      <c r="D18" s="499"/>
      <c r="E18" s="455" t="s">
        <v>3136</v>
      </c>
      <c r="H18" s="1286" t="s">
        <v>4028</v>
      </c>
      <c r="I18" s="1336"/>
      <c r="J18" s="1337"/>
      <c r="O18" s="828" t="s">
        <v>1429</v>
      </c>
      <c r="Q18" s="1294">
        <v>7063405539</v>
      </c>
      <c r="R18" s="1299"/>
      <c r="S18" s="1295"/>
    </row>
    <row r="19" spans="4:19" s="449" customFormat="1" ht="12.6" customHeight="1">
      <c r="D19" s="452"/>
      <c r="E19" s="455" t="s">
        <v>1425</v>
      </c>
      <c r="H19" s="1300" t="s">
        <v>2723</v>
      </c>
      <c r="I19" s="837" t="s">
        <v>2256</v>
      </c>
      <c r="J19" s="1297">
        <v>306011929</v>
      </c>
      <c r="K19" s="1337"/>
      <c r="L19" s="397"/>
      <c r="N19" s="1338"/>
      <c r="O19" s="828" t="s">
        <v>1146</v>
      </c>
      <c r="Q19" s="1294">
        <v>7063405539</v>
      </c>
      <c r="R19" s="1299"/>
      <c r="S19" s="1295"/>
    </row>
    <row r="20" spans="4:19" s="449" customFormat="1" ht="12.6" customHeight="1">
      <c r="D20" s="499"/>
      <c r="E20" s="455" t="s">
        <v>1152</v>
      </c>
      <c r="H20" s="1294">
        <v>7063405539</v>
      </c>
      <c r="I20" s="1295"/>
      <c r="J20" s="1366"/>
      <c r="K20" s="837" t="s">
        <v>1428</v>
      </c>
      <c r="L20" s="1324">
        <v>6143963243</v>
      </c>
      <c r="M20" s="1337"/>
      <c r="N20" s="457" t="s">
        <v>1151</v>
      </c>
      <c r="O20" s="1367" t="s">
        <v>10</v>
      </c>
      <c r="P20" s="1303"/>
      <c r="Q20" s="1303"/>
      <c r="R20" s="1303"/>
      <c r="S20" s="1304"/>
    </row>
    <row r="21" spans="4:19" ht="4.3499999999999996" customHeight="1">
      <c r="D21" s="481"/>
      <c r="H21" s="1371"/>
      <c r="I21" s="1371"/>
      <c r="J21" s="1371"/>
      <c r="K21" s="837"/>
      <c r="L21" s="1371"/>
      <c r="M21" s="1371"/>
      <c r="N21" s="827"/>
      <c r="O21" s="863"/>
      <c r="P21" s="863"/>
      <c r="Q21" s="837"/>
      <c r="R21" s="863"/>
      <c r="S21" s="863"/>
    </row>
    <row r="22" spans="4:19" s="449" customFormat="1" ht="12.6" customHeight="1">
      <c r="D22" s="452" t="s">
        <v>1222</v>
      </c>
      <c r="E22" s="449" t="s">
        <v>1382</v>
      </c>
      <c r="F22" s="834"/>
      <c r="H22" s="1286" t="s">
        <v>4065</v>
      </c>
      <c r="I22" s="1336"/>
      <c r="J22" s="1336"/>
      <c r="K22" s="1336"/>
      <c r="L22" s="1336"/>
      <c r="M22" s="1336"/>
      <c r="N22" s="1337"/>
      <c r="O22" s="828" t="s">
        <v>1157</v>
      </c>
      <c r="P22" s="828"/>
      <c r="Q22" s="1286" t="s">
        <v>4068</v>
      </c>
      <c r="R22" s="1336"/>
      <c r="S22" s="1337"/>
    </row>
    <row r="23" spans="4:19" s="449" customFormat="1" ht="12.6" customHeight="1">
      <c r="D23" s="499"/>
      <c r="E23" s="455" t="s">
        <v>2505</v>
      </c>
      <c r="F23" s="463"/>
      <c r="H23" s="1286" t="s">
        <v>4066</v>
      </c>
      <c r="I23" s="1336"/>
      <c r="J23" s="1336"/>
      <c r="K23" s="1336"/>
      <c r="L23" s="1336"/>
      <c r="M23" s="1336"/>
      <c r="N23" s="1337"/>
      <c r="O23" s="828" t="s">
        <v>1509</v>
      </c>
      <c r="Q23" s="1286" t="s">
        <v>4069</v>
      </c>
      <c r="R23" s="1336"/>
      <c r="S23" s="1337"/>
    </row>
    <row r="24" spans="4:19" s="449" customFormat="1" ht="12.6" customHeight="1">
      <c r="D24" s="499"/>
      <c r="E24" s="455" t="s">
        <v>3136</v>
      </c>
      <c r="H24" s="1286" t="s">
        <v>4067</v>
      </c>
      <c r="I24" s="1336"/>
      <c r="J24" s="1337"/>
      <c r="O24" s="828" t="s">
        <v>1429</v>
      </c>
      <c r="Q24" s="1294">
        <v>6145888920</v>
      </c>
      <c r="R24" s="1299"/>
      <c r="S24" s="1295"/>
    </row>
    <row r="25" spans="4:19" s="449" customFormat="1" ht="12.6" customHeight="1">
      <c r="E25" s="455" t="s">
        <v>1425</v>
      </c>
      <c r="H25" s="1300" t="s">
        <v>2183</v>
      </c>
      <c r="I25" s="483" t="s">
        <v>982</v>
      </c>
      <c r="J25" s="1297">
        <v>430812918</v>
      </c>
      <c r="K25" s="1337"/>
      <c r="O25" s="828" t="s">
        <v>1146</v>
      </c>
      <c r="Q25" s="1294">
        <v>6145618573</v>
      </c>
      <c r="R25" s="1299"/>
      <c r="S25" s="1295"/>
    </row>
    <row r="26" spans="4:19" s="449" customFormat="1" ht="12.6" customHeight="1">
      <c r="D26" s="499"/>
      <c r="E26" s="455" t="s">
        <v>1152</v>
      </c>
      <c r="H26" s="1294">
        <v>7063405539</v>
      </c>
      <c r="I26" s="1295"/>
      <c r="J26" s="1366"/>
      <c r="K26" s="837" t="s">
        <v>1428</v>
      </c>
      <c r="L26" s="1324">
        <v>6143963200</v>
      </c>
      <c r="M26" s="1337"/>
      <c r="N26" s="457" t="s">
        <v>1151</v>
      </c>
      <c r="O26" s="1367" t="s">
        <v>59</v>
      </c>
      <c r="P26" s="1303"/>
      <c r="Q26" s="1303"/>
      <c r="R26" s="1303"/>
      <c r="S26" s="1304"/>
    </row>
    <row r="27" spans="4:19" s="449" customFormat="1" ht="4.3499999999999996" customHeight="1">
      <c r="D27" s="499"/>
      <c r="E27" s="834"/>
      <c r="F27" s="834"/>
      <c r="G27" s="828"/>
      <c r="H27" s="1371"/>
      <c r="I27" s="1371"/>
      <c r="J27" s="1371"/>
      <c r="K27" s="837"/>
      <c r="L27" s="1371"/>
      <c r="M27" s="1371"/>
      <c r="N27" s="827"/>
      <c r="O27" s="863"/>
      <c r="P27" s="863"/>
      <c r="Q27" s="837"/>
      <c r="R27" s="863"/>
      <c r="S27" s="863"/>
    </row>
    <row r="28" spans="4:19" s="449" customFormat="1" ht="12.6" customHeight="1">
      <c r="D28" s="452" t="s">
        <v>1495</v>
      </c>
      <c r="E28" s="449" t="s">
        <v>1382</v>
      </c>
      <c r="F28" s="834"/>
      <c r="H28" s="1286"/>
      <c r="I28" s="1336"/>
      <c r="J28" s="1336"/>
      <c r="K28" s="1336"/>
      <c r="L28" s="1336"/>
      <c r="M28" s="1336"/>
      <c r="N28" s="1337"/>
      <c r="O28" s="828" t="s">
        <v>1157</v>
      </c>
      <c r="P28" s="828"/>
      <c r="Q28" s="1286"/>
      <c r="R28" s="1336"/>
      <c r="S28" s="1337"/>
    </row>
    <row r="29" spans="4:19" s="449" customFormat="1" ht="12.6" customHeight="1">
      <c r="D29" s="499"/>
      <c r="E29" s="455" t="s">
        <v>2505</v>
      </c>
      <c r="F29" s="463"/>
      <c r="H29" s="1286"/>
      <c r="I29" s="1336"/>
      <c r="J29" s="1336"/>
      <c r="K29" s="1336"/>
      <c r="L29" s="1336"/>
      <c r="M29" s="1336"/>
      <c r="N29" s="1337"/>
      <c r="O29" s="828" t="s">
        <v>1509</v>
      </c>
      <c r="Q29" s="1286"/>
      <c r="R29" s="1336"/>
      <c r="S29" s="1337"/>
    </row>
    <row r="30" spans="4:19" s="449" customFormat="1" ht="12.6" customHeight="1">
      <c r="D30" s="499"/>
      <c r="E30" s="455" t="s">
        <v>3136</v>
      </c>
      <c r="H30" s="1286"/>
      <c r="I30" s="1336"/>
      <c r="J30" s="1337"/>
      <c r="O30" s="828" t="s">
        <v>1429</v>
      </c>
      <c r="Q30" s="1294"/>
      <c r="R30" s="1299"/>
      <c r="S30" s="1295"/>
    </row>
    <row r="31" spans="4:19" s="449" customFormat="1" ht="12.6" customHeight="1">
      <c r="E31" s="455" t="s">
        <v>1425</v>
      </c>
      <c r="H31" s="1300"/>
      <c r="I31" s="483" t="s">
        <v>982</v>
      </c>
      <c r="J31" s="1297"/>
      <c r="K31" s="1337"/>
      <c r="O31" s="828" t="s">
        <v>1146</v>
      </c>
      <c r="Q31" s="1294"/>
      <c r="R31" s="1299"/>
      <c r="S31" s="1295"/>
    </row>
    <row r="32" spans="4:19" s="449" customFormat="1" ht="12.6" customHeight="1">
      <c r="D32" s="499"/>
      <c r="E32" s="455" t="s">
        <v>1152</v>
      </c>
      <c r="H32" s="1294"/>
      <c r="I32" s="1295"/>
      <c r="J32" s="1366"/>
      <c r="K32" s="837" t="s">
        <v>1428</v>
      </c>
      <c r="L32" s="1324"/>
      <c r="M32" s="1337"/>
      <c r="N32" s="457" t="s">
        <v>1151</v>
      </c>
      <c r="O32" s="1302"/>
      <c r="P32" s="1303"/>
      <c r="Q32" s="1303"/>
      <c r="R32" s="1303"/>
      <c r="S32" s="1304"/>
    </row>
    <row r="33" spans="3:19" ht="4.3499999999999996" customHeight="1"/>
    <row r="34" spans="3:19" s="449" customFormat="1" ht="13.35" customHeight="1">
      <c r="C34" s="501" t="s">
        <v>1156</v>
      </c>
      <c r="D34" s="497" t="s">
        <v>1272</v>
      </c>
      <c r="H34" s="834"/>
      <c r="I34" s="834"/>
      <c r="J34" s="834"/>
      <c r="K34" s="834"/>
      <c r="L34" s="834"/>
      <c r="M34" s="834"/>
    </row>
    <row r="35" spans="3:19" s="449" customFormat="1" ht="4.3499999999999996" customHeight="1">
      <c r="C35" s="503"/>
      <c r="D35" s="497"/>
      <c r="H35" s="1370"/>
      <c r="I35" s="1370"/>
      <c r="J35" s="1370"/>
      <c r="K35" s="827"/>
      <c r="L35" s="1370"/>
      <c r="M35" s="1370"/>
      <c r="N35" s="827"/>
      <c r="O35" s="863"/>
      <c r="P35" s="863"/>
      <c r="Q35" s="837"/>
      <c r="R35" s="863"/>
      <c r="S35" s="863"/>
    </row>
    <row r="36" spans="3:19" s="449" customFormat="1" ht="12.6" customHeight="1">
      <c r="D36" s="452" t="s">
        <v>1221</v>
      </c>
      <c r="E36" s="449" t="s">
        <v>2843</v>
      </c>
      <c r="H36" s="1286" t="s">
        <v>4070</v>
      </c>
      <c r="I36" s="1336"/>
      <c r="J36" s="1336"/>
      <c r="K36" s="1336"/>
      <c r="L36" s="1336"/>
      <c r="M36" s="1336"/>
      <c r="N36" s="1337"/>
      <c r="O36" s="828" t="s">
        <v>1157</v>
      </c>
      <c r="P36" s="828"/>
      <c r="Q36" s="1286" t="s">
        <v>4073</v>
      </c>
      <c r="R36" s="1336"/>
      <c r="S36" s="1337"/>
    </row>
    <row r="37" spans="3:19" s="449" customFormat="1" ht="12.6" customHeight="1">
      <c r="D37" s="499"/>
      <c r="E37" s="455" t="s">
        <v>2505</v>
      </c>
      <c r="F37" s="463"/>
      <c r="H37" s="1286" t="s">
        <v>4071</v>
      </c>
      <c r="I37" s="1336"/>
      <c r="J37" s="1336"/>
      <c r="K37" s="1336"/>
      <c r="L37" s="1336"/>
      <c r="M37" s="1336"/>
      <c r="N37" s="1337"/>
      <c r="O37" s="828" t="s">
        <v>1509</v>
      </c>
      <c r="Q37" s="1286" t="s">
        <v>4074</v>
      </c>
      <c r="R37" s="1336"/>
      <c r="S37" s="1337"/>
    </row>
    <row r="38" spans="3:19" s="449" customFormat="1" ht="12.6" customHeight="1">
      <c r="D38" s="499"/>
      <c r="E38" s="455" t="s">
        <v>3136</v>
      </c>
      <c r="H38" s="1286" t="s">
        <v>4072</v>
      </c>
      <c r="I38" s="1336"/>
      <c r="J38" s="1337"/>
      <c r="O38" s="828" t="s">
        <v>1429</v>
      </c>
      <c r="Q38" s="1294">
        <v>9802336462</v>
      </c>
      <c r="R38" s="1299"/>
      <c r="S38" s="1295"/>
    </row>
    <row r="39" spans="3:19" s="449" customFormat="1" ht="12.6" customHeight="1">
      <c r="E39" s="455" t="s">
        <v>1425</v>
      </c>
      <c r="H39" s="1300" t="s">
        <v>2181</v>
      </c>
      <c r="I39" s="483" t="s">
        <v>982</v>
      </c>
      <c r="J39" s="1297">
        <v>282104272</v>
      </c>
      <c r="K39" s="1337"/>
      <c r="O39" s="828" t="s">
        <v>1146</v>
      </c>
      <c r="Q39" s="1294">
        <v>7046084188</v>
      </c>
      <c r="R39" s="1299"/>
      <c r="S39" s="1295"/>
    </row>
    <row r="40" spans="3:19" s="449" customFormat="1" ht="12.6" customHeight="1">
      <c r="D40" s="499"/>
      <c r="E40" s="455" t="s">
        <v>1152</v>
      </c>
      <c r="H40" s="1294">
        <v>9802336462</v>
      </c>
      <c r="I40" s="1295"/>
      <c r="J40" s="1366"/>
      <c r="K40" s="837" t="s">
        <v>1428</v>
      </c>
      <c r="L40" s="1324"/>
      <c r="M40" s="1337"/>
      <c r="N40" s="457" t="s">
        <v>1151</v>
      </c>
      <c r="O40" s="1367" t="s">
        <v>4075</v>
      </c>
      <c r="P40" s="1303"/>
      <c r="Q40" s="1303"/>
      <c r="R40" s="1303"/>
      <c r="S40" s="1304"/>
    </row>
    <row r="41" spans="3:19" ht="4.3499999999999996" customHeight="1">
      <c r="H41" s="1371"/>
      <c r="I41" s="1371"/>
      <c r="J41" s="1371"/>
      <c r="K41" s="837"/>
      <c r="L41" s="1371"/>
      <c r="M41" s="1371"/>
      <c r="N41" s="827"/>
      <c r="O41" s="863"/>
      <c r="P41" s="863"/>
      <c r="Q41" s="837"/>
      <c r="R41" s="863"/>
      <c r="S41" s="863"/>
    </row>
    <row r="42" spans="3:19" s="449" customFormat="1" ht="12.6" customHeight="1">
      <c r="D42" s="452" t="s">
        <v>1222</v>
      </c>
      <c r="E42" s="449" t="s">
        <v>3013</v>
      </c>
      <c r="F42" s="452"/>
      <c r="H42" s="1286" t="s">
        <v>4076</v>
      </c>
      <c r="I42" s="1336"/>
      <c r="J42" s="1336"/>
      <c r="K42" s="1336"/>
      <c r="L42" s="1336"/>
      <c r="M42" s="1336"/>
      <c r="N42" s="1337"/>
      <c r="O42" s="828" t="s">
        <v>1157</v>
      </c>
      <c r="P42" s="828"/>
      <c r="Q42" s="1286" t="s">
        <v>4079</v>
      </c>
      <c r="R42" s="1336"/>
      <c r="S42" s="1337"/>
    </row>
    <row r="43" spans="3:19" s="449" customFormat="1" ht="12.6" customHeight="1">
      <c r="D43" s="499"/>
      <c r="E43" s="455" t="s">
        <v>2505</v>
      </c>
      <c r="F43" s="463"/>
      <c r="H43" s="1286" t="s">
        <v>4077</v>
      </c>
      <c r="I43" s="1336"/>
      <c r="J43" s="1336"/>
      <c r="K43" s="1336"/>
      <c r="L43" s="1336"/>
      <c r="M43" s="1336"/>
      <c r="N43" s="1337"/>
      <c r="O43" s="828" t="s">
        <v>1509</v>
      </c>
      <c r="Q43" s="1286" t="s">
        <v>4080</v>
      </c>
      <c r="R43" s="1336"/>
      <c r="S43" s="1337"/>
    </row>
    <row r="44" spans="3:19" s="449" customFormat="1" ht="12.6" customHeight="1">
      <c r="D44" s="499"/>
      <c r="E44" s="455" t="s">
        <v>3136</v>
      </c>
      <c r="H44" s="1286" t="s">
        <v>4078</v>
      </c>
      <c r="I44" s="1336"/>
      <c r="J44" s="1337"/>
      <c r="O44" s="828" t="s">
        <v>1429</v>
      </c>
      <c r="Q44" s="1294">
        <v>9802336462</v>
      </c>
      <c r="R44" s="1299"/>
      <c r="S44" s="1295"/>
    </row>
    <row r="45" spans="3:19" s="449" customFormat="1" ht="12.6" customHeight="1">
      <c r="D45" s="452"/>
      <c r="E45" s="455" t="s">
        <v>1425</v>
      </c>
      <c r="H45" s="1300" t="s">
        <v>2181</v>
      </c>
      <c r="I45" s="483" t="s">
        <v>982</v>
      </c>
      <c r="J45" s="1297">
        <v>282104272</v>
      </c>
      <c r="K45" s="1337"/>
      <c r="O45" s="828" t="s">
        <v>1146</v>
      </c>
      <c r="Q45" s="1294">
        <v>7046084188</v>
      </c>
      <c r="R45" s="1299"/>
      <c r="S45" s="1295"/>
    </row>
    <row r="46" spans="3:19" s="449" customFormat="1" ht="12.6" customHeight="1">
      <c r="D46" s="499"/>
      <c r="E46" s="455" t="s">
        <v>1152</v>
      </c>
      <c r="H46" s="1294">
        <v>9802336462</v>
      </c>
      <c r="I46" s="1295"/>
      <c r="J46" s="1366"/>
      <c r="K46" s="837" t="s">
        <v>1428</v>
      </c>
      <c r="L46" s="1324"/>
      <c r="M46" s="1337"/>
      <c r="N46" s="457" t="s">
        <v>1151</v>
      </c>
      <c r="O46" s="1367" t="s">
        <v>4075</v>
      </c>
      <c r="P46" s="1303"/>
      <c r="Q46" s="1303"/>
      <c r="R46" s="1303"/>
      <c r="S46" s="1304"/>
    </row>
    <row r="47" spans="3:19" s="449" customFormat="1" ht="4.3499999999999996" customHeight="1">
      <c r="D47" s="499"/>
      <c r="E47" s="455"/>
      <c r="F47" s="452"/>
      <c r="H47" s="492"/>
      <c r="I47" s="492"/>
      <c r="J47" s="864"/>
      <c r="K47" s="837"/>
      <c r="L47" s="492"/>
      <c r="M47" s="492"/>
      <c r="N47" s="837"/>
      <c r="O47" s="492"/>
      <c r="P47" s="492"/>
      <c r="Q47" s="837"/>
      <c r="R47" s="492"/>
      <c r="S47" s="492"/>
    </row>
    <row r="48" spans="3:19" s="449" customFormat="1" ht="13.35" customHeight="1">
      <c r="C48" s="503" t="s">
        <v>527</v>
      </c>
      <c r="D48" s="497" t="s">
        <v>3068</v>
      </c>
      <c r="H48" s="834"/>
      <c r="I48" s="834"/>
      <c r="J48" s="834"/>
      <c r="K48" s="834"/>
      <c r="L48" s="834"/>
      <c r="M48" s="834"/>
    </row>
    <row r="49" spans="1:19" s="449" customFormat="1" ht="4.3499999999999996" customHeight="1">
      <c r="D49" s="503"/>
      <c r="E49" s="502"/>
      <c r="H49" s="1370"/>
      <c r="I49" s="1370"/>
      <c r="J49" s="1370"/>
      <c r="K49" s="827"/>
      <c r="L49" s="1370"/>
      <c r="M49" s="1370"/>
      <c r="N49" s="827"/>
      <c r="O49" s="863"/>
      <c r="P49" s="863"/>
      <c r="Q49" s="837"/>
      <c r="R49" s="863"/>
      <c r="S49" s="863"/>
    </row>
    <row r="50" spans="1:19" s="449" customFormat="1" ht="12.6" customHeight="1">
      <c r="E50" s="449" t="s">
        <v>4059</v>
      </c>
      <c r="H50" s="1286" t="s">
        <v>4086</v>
      </c>
      <c r="I50" s="1336"/>
      <c r="J50" s="1336"/>
      <c r="K50" s="1336"/>
      <c r="L50" s="1336"/>
      <c r="M50" s="1336"/>
      <c r="N50" s="1337"/>
      <c r="O50" s="828" t="s">
        <v>1157</v>
      </c>
      <c r="P50" s="828"/>
      <c r="Q50" s="1286" t="s">
        <v>4084</v>
      </c>
      <c r="R50" s="1336"/>
      <c r="S50" s="1337"/>
    </row>
    <row r="51" spans="1:19" s="449" customFormat="1" ht="12.6" customHeight="1">
      <c r="D51" s="499"/>
      <c r="E51" s="455" t="s">
        <v>2505</v>
      </c>
      <c r="F51" s="463"/>
      <c r="H51" s="1286" t="s">
        <v>4081</v>
      </c>
      <c r="I51" s="1336"/>
      <c r="J51" s="1336"/>
      <c r="K51" s="1336"/>
      <c r="L51" s="1336"/>
      <c r="M51" s="1336"/>
      <c r="N51" s="1337"/>
      <c r="O51" s="828" t="s">
        <v>1509</v>
      </c>
      <c r="Q51" s="1286" t="s">
        <v>4085</v>
      </c>
      <c r="R51" s="1336"/>
      <c r="S51" s="1337"/>
    </row>
    <row r="52" spans="1:19" s="449" customFormat="1" ht="12.6" customHeight="1">
      <c r="D52" s="499"/>
      <c r="E52" s="455" t="s">
        <v>3136</v>
      </c>
      <c r="H52" s="1286" t="s">
        <v>4082</v>
      </c>
      <c r="I52" s="1336"/>
      <c r="J52" s="1337"/>
      <c r="O52" s="828" t="s">
        <v>1429</v>
      </c>
      <c r="Q52" s="1294">
        <v>7063405539</v>
      </c>
      <c r="R52" s="1299"/>
      <c r="S52" s="1295"/>
    </row>
    <row r="53" spans="1:19" s="449" customFormat="1" ht="12.6" customHeight="1">
      <c r="E53" s="455" t="s">
        <v>1425</v>
      </c>
      <c r="H53" s="1300" t="s">
        <v>4083</v>
      </c>
      <c r="I53" s="483" t="s">
        <v>982</v>
      </c>
      <c r="J53" s="1297">
        <v>306011929</v>
      </c>
      <c r="K53" s="1337"/>
      <c r="O53" s="828" t="s">
        <v>1146</v>
      </c>
      <c r="Q53" s="1294">
        <v>7063405539</v>
      </c>
      <c r="R53" s="1299"/>
      <c r="S53" s="1295"/>
    </row>
    <row r="54" spans="1:19" s="449" customFormat="1" ht="12.6" customHeight="1">
      <c r="D54" s="499"/>
      <c r="E54" s="455" t="s">
        <v>1152</v>
      </c>
      <c r="H54" s="1294">
        <v>7063405539</v>
      </c>
      <c r="I54" s="1295"/>
      <c r="J54" s="1366"/>
      <c r="K54" s="837" t="s">
        <v>1428</v>
      </c>
      <c r="L54" s="1324">
        <v>6143963200</v>
      </c>
      <c r="M54" s="1337"/>
      <c r="N54" s="457" t="s">
        <v>1151</v>
      </c>
      <c r="O54" s="1367" t="s">
        <v>10</v>
      </c>
      <c r="P54" s="1303"/>
      <c r="Q54" s="1303"/>
      <c r="R54" s="1303"/>
      <c r="S54" s="1304"/>
    </row>
    <row r="55" spans="1:19" ht="13.35" customHeight="1"/>
    <row r="56" spans="1:19" s="449" customFormat="1" ht="13.35" customHeight="1">
      <c r="A56" s="452" t="s">
        <v>2832</v>
      </c>
      <c r="B56" s="452" t="s">
        <v>3069</v>
      </c>
      <c r="F56" s="452"/>
      <c r="G56" s="837"/>
      <c r="H56" s="837"/>
      <c r="I56" s="837"/>
      <c r="J56" s="834"/>
      <c r="K56" s="834"/>
      <c r="L56" s="834"/>
      <c r="M56" s="834"/>
      <c r="N56" s="834"/>
      <c r="O56" s="834"/>
      <c r="P56" s="834"/>
      <c r="Q56" s="834"/>
      <c r="R56" s="834"/>
      <c r="S56" s="834"/>
    </row>
    <row r="57" spans="1:19" s="449" customFormat="1" ht="9" customHeight="1">
      <c r="A57" s="452"/>
      <c r="B57" s="452"/>
      <c r="F57" s="452"/>
      <c r="G57" s="837"/>
      <c r="H57" s="1370"/>
      <c r="I57" s="1370"/>
      <c r="J57" s="1370"/>
      <c r="K57" s="827"/>
      <c r="L57" s="1370"/>
      <c r="M57" s="1370"/>
      <c r="N57" s="827"/>
      <c r="O57" s="863"/>
      <c r="P57" s="863"/>
      <c r="Q57" s="837"/>
      <c r="R57" s="863"/>
      <c r="S57" s="863"/>
    </row>
    <row r="58" spans="1:19" s="449" customFormat="1" ht="13.35" customHeight="1">
      <c r="B58" s="452" t="s">
        <v>1150</v>
      </c>
      <c r="C58" s="452" t="s">
        <v>3562</v>
      </c>
      <c r="H58" s="1286" t="s">
        <v>79</v>
      </c>
      <c r="I58" s="1336"/>
      <c r="J58" s="1336"/>
      <c r="K58" s="1336"/>
      <c r="L58" s="1336"/>
      <c r="M58" s="1336"/>
      <c r="N58" s="1337"/>
      <c r="O58" s="828" t="s">
        <v>1157</v>
      </c>
      <c r="P58" s="828"/>
      <c r="Q58" s="1286" t="s">
        <v>83</v>
      </c>
      <c r="R58" s="1336"/>
      <c r="S58" s="1337"/>
    </row>
    <row r="59" spans="1:19" s="449" customFormat="1" ht="13.35" customHeight="1">
      <c r="D59" s="499"/>
      <c r="E59" s="455" t="s">
        <v>2505</v>
      </c>
      <c r="F59" s="463"/>
      <c r="H59" s="1286" t="s">
        <v>88</v>
      </c>
      <c r="I59" s="1336"/>
      <c r="J59" s="1336"/>
      <c r="K59" s="1336"/>
      <c r="L59" s="1336"/>
      <c r="M59" s="1336"/>
      <c r="N59" s="1337"/>
      <c r="O59" s="828" t="s">
        <v>1509</v>
      </c>
      <c r="Q59" s="1286" t="s">
        <v>84</v>
      </c>
      <c r="R59" s="1336"/>
      <c r="S59" s="1337"/>
    </row>
    <row r="60" spans="1:19" s="449" customFormat="1" ht="13.35" customHeight="1">
      <c r="D60" s="499"/>
      <c r="E60" s="455" t="s">
        <v>3136</v>
      </c>
      <c r="H60" s="1286" t="s">
        <v>58</v>
      </c>
      <c r="I60" s="1336"/>
      <c r="J60" s="1337"/>
      <c r="O60" s="828" t="s">
        <v>1429</v>
      </c>
      <c r="Q60" s="1294">
        <v>6143963206</v>
      </c>
      <c r="R60" s="1299"/>
      <c r="S60" s="1295"/>
    </row>
    <row r="61" spans="1:19" s="449" customFormat="1" ht="13.35" customHeight="1">
      <c r="E61" s="455" t="s">
        <v>1425</v>
      </c>
      <c r="H61" s="1300" t="s">
        <v>2183</v>
      </c>
      <c r="I61" s="483" t="s">
        <v>982</v>
      </c>
      <c r="J61" s="1297">
        <v>430818075</v>
      </c>
      <c r="K61" s="1337"/>
      <c r="O61" s="828" t="s">
        <v>1146</v>
      </c>
      <c r="Q61" s="1294">
        <v>6145618573</v>
      </c>
      <c r="R61" s="1299"/>
      <c r="S61" s="1295"/>
    </row>
    <row r="62" spans="1:19" s="449" customFormat="1" ht="13.35" customHeight="1">
      <c r="D62" s="499"/>
      <c r="E62" s="455" t="s">
        <v>1152</v>
      </c>
      <c r="H62" s="1294">
        <v>6143963200</v>
      </c>
      <c r="I62" s="1295"/>
      <c r="J62" s="1366">
        <v>206</v>
      </c>
      <c r="K62" s="837" t="s">
        <v>1428</v>
      </c>
      <c r="L62" s="1324">
        <v>6143963243</v>
      </c>
      <c r="M62" s="1337"/>
      <c r="N62" s="457" t="s">
        <v>1151</v>
      </c>
      <c r="O62" s="1302" t="s">
        <v>59</v>
      </c>
      <c r="P62" s="1303"/>
      <c r="Q62" s="1303"/>
      <c r="R62" s="1303"/>
      <c r="S62" s="1304"/>
    </row>
    <row r="63" spans="1:19" s="449" customFormat="1" ht="6.6" customHeight="1">
      <c r="D63" s="499"/>
      <c r="E63" s="834"/>
      <c r="F63" s="834"/>
      <c r="G63" s="828"/>
      <c r="H63" s="1371"/>
      <c r="I63" s="1371"/>
      <c r="J63" s="1371"/>
      <c r="K63" s="837"/>
      <c r="L63" s="1371"/>
      <c r="M63" s="1371"/>
      <c r="N63" s="827"/>
      <c r="O63" s="863"/>
      <c r="P63" s="863"/>
      <c r="Q63" s="837"/>
      <c r="R63" s="863"/>
      <c r="S63" s="863"/>
    </row>
    <row r="64" spans="1:19" s="449" customFormat="1" ht="13.35" customHeight="1">
      <c r="B64" s="452" t="s">
        <v>1153</v>
      </c>
      <c r="C64" s="452" t="s">
        <v>3563</v>
      </c>
      <c r="H64" s="1286" t="s">
        <v>89</v>
      </c>
      <c r="I64" s="1336"/>
      <c r="J64" s="1336"/>
      <c r="K64" s="1336"/>
      <c r="L64" s="1336"/>
      <c r="M64" s="1336"/>
      <c r="N64" s="1337"/>
      <c r="O64" s="828" t="s">
        <v>1157</v>
      </c>
      <c r="P64" s="828"/>
      <c r="Q64" s="1286" t="s">
        <v>85</v>
      </c>
      <c r="R64" s="1336"/>
      <c r="S64" s="1337"/>
    </row>
    <row r="65" spans="2:19" s="449" customFormat="1" ht="13.35" customHeight="1">
      <c r="D65" s="499"/>
      <c r="E65" s="455" t="s">
        <v>2505</v>
      </c>
      <c r="F65" s="463"/>
      <c r="H65" s="1286" t="s">
        <v>87</v>
      </c>
      <c r="I65" s="1336"/>
      <c r="J65" s="1336"/>
      <c r="K65" s="1336"/>
      <c r="L65" s="1336"/>
      <c r="M65" s="1336"/>
      <c r="N65" s="1337"/>
      <c r="O65" s="828" t="s">
        <v>1509</v>
      </c>
      <c r="Q65" s="1286" t="s">
        <v>90</v>
      </c>
      <c r="R65" s="1336"/>
      <c r="S65" s="1337"/>
    </row>
    <row r="66" spans="2:19" s="449" customFormat="1" ht="13.35" customHeight="1">
      <c r="D66" s="499"/>
      <c r="E66" s="455" t="s">
        <v>3136</v>
      </c>
      <c r="H66" s="1286" t="s">
        <v>3901</v>
      </c>
      <c r="I66" s="1336"/>
      <c r="J66" s="1337"/>
      <c r="O66" s="828" t="s">
        <v>1429</v>
      </c>
      <c r="Q66" s="1294">
        <v>7063405539</v>
      </c>
      <c r="R66" s="1299"/>
      <c r="S66" s="1295"/>
    </row>
    <row r="67" spans="2:19" s="449" customFormat="1" ht="13.35" customHeight="1">
      <c r="E67" s="455" t="s">
        <v>1425</v>
      </c>
      <c r="H67" s="1300" t="s">
        <v>2723</v>
      </c>
      <c r="I67" s="483" t="s">
        <v>982</v>
      </c>
      <c r="J67" s="1297">
        <v>306011929</v>
      </c>
      <c r="K67" s="1337"/>
      <c r="O67" s="828" t="s">
        <v>1146</v>
      </c>
      <c r="Q67" s="1294">
        <v>7063405539</v>
      </c>
      <c r="R67" s="1299"/>
      <c r="S67" s="1295"/>
    </row>
    <row r="68" spans="2:19" s="449" customFormat="1" ht="13.35" customHeight="1">
      <c r="D68" s="499"/>
      <c r="E68" s="455" t="s">
        <v>1152</v>
      </c>
      <c r="H68" s="1294">
        <v>7063405539</v>
      </c>
      <c r="I68" s="1295"/>
      <c r="J68" s="1366"/>
      <c r="K68" s="837" t="s">
        <v>1428</v>
      </c>
      <c r="L68" s="1324">
        <v>7067433564</v>
      </c>
      <c r="M68" s="1337"/>
      <c r="N68" s="457" t="s">
        <v>1151</v>
      </c>
      <c r="O68" s="1302" t="s">
        <v>86</v>
      </c>
      <c r="P68" s="1303"/>
      <c r="Q68" s="1303"/>
      <c r="R68" s="1303"/>
      <c r="S68" s="1304"/>
    </row>
    <row r="69" spans="2:19" s="449" customFormat="1" ht="6.6" customHeight="1">
      <c r="D69" s="499"/>
      <c r="E69" s="834"/>
      <c r="F69" s="834"/>
      <c r="G69" s="828"/>
      <c r="H69" s="1371"/>
      <c r="I69" s="1371"/>
      <c r="J69" s="1371"/>
      <c r="K69" s="837"/>
      <c r="L69" s="1371"/>
      <c r="M69" s="1371"/>
      <c r="N69" s="827"/>
      <c r="O69" s="863"/>
      <c r="P69" s="863"/>
      <c r="Q69" s="837"/>
      <c r="R69" s="863"/>
      <c r="S69" s="863"/>
    </row>
    <row r="70" spans="2:19" s="449" customFormat="1" ht="13.35" customHeight="1">
      <c r="B70" s="452" t="s">
        <v>3012</v>
      </c>
      <c r="C70" s="452" t="s">
        <v>1928</v>
      </c>
      <c r="H70" s="1286"/>
      <c r="I70" s="1336"/>
      <c r="J70" s="1336"/>
      <c r="K70" s="1336"/>
      <c r="L70" s="1336"/>
      <c r="M70" s="1336"/>
      <c r="N70" s="1337"/>
      <c r="O70" s="828" t="s">
        <v>1157</v>
      </c>
      <c r="P70" s="828"/>
      <c r="Q70" s="1286"/>
      <c r="R70" s="1336"/>
      <c r="S70" s="1337"/>
    </row>
    <row r="71" spans="2:19" s="449" customFormat="1" ht="13.35" customHeight="1">
      <c r="D71" s="499"/>
      <c r="E71" s="455" t="s">
        <v>2505</v>
      </c>
      <c r="F71" s="463"/>
      <c r="H71" s="1286"/>
      <c r="I71" s="1336"/>
      <c r="J71" s="1336"/>
      <c r="K71" s="1336"/>
      <c r="L71" s="1336"/>
      <c r="M71" s="1336"/>
      <c r="N71" s="1337"/>
      <c r="O71" s="828" t="s">
        <v>1509</v>
      </c>
      <c r="Q71" s="1286"/>
      <c r="R71" s="1336"/>
      <c r="S71" s="1337"/>
    </row>
    <row r="72" spans="2:19" s="449" customFormat="1" ht="13.35" customHeight="1">
      <c r="D72" s="499"/>
      <c r="E72" s="455" t="s">
        <v>3136</v>
      </c>
      <c r="H72" s="1286"/>
      <c r="I72" s="1336"/>
      <c r="J72" s="1337"/>
      <c r="O72" s="828" t="s">
        <v>1429</v>
      </c>
      <c r="Q72" s="1294"/>
      <c r="R72" s="1299"/>
      <c r="S72" s="1295"/>
    </row>
    <row r="73" spans="2:19" s="449" customFormat="1" ht="13.35" customHeight="1">
      <c r="E73" s="455" t="s">
        <v>1425</v>
      </c>
      <c r="H73" s="1300"/>
      <c r="I73" s="483" t="s">
        <v>982</v>
      </c>
      <c r="J73" s="1297"/>
      <c r="K73" s="1337"/>
      <c r="O73" s="828" t="s">
        <v>1146</v>
      </c>
      <c r="Q73" s="1294"/>
      <c r="R73" s="1299"/>
      <c r="S73" s="1295"/>
    </row>
    <row r="74" spans="2:19" s="449" customFormat="1" ht="13.35" customHeight="1">
      <c r="D74" s="499"/>
      <c r="E74" s="455" t="s">
        <v>1152</v>
      </c>
      <c r="H74" s="1294"/>
      <c r="I74" s="1295"/>
      <c r="J74" s="1366"/>
      <c r="K74" s="837" t="s">
        <v>1428</v>
      </c>
      <c r="L74" s="1324"/>
      <c r="M74" s="1337"/>
      <c r="N74" s="457" t="s">
        <v>1151</v>
      </c>
      <c r="O74" s="1302"/>
      <c r="P74" s="1303"/>
      <c r="Q74" s="1303"/>
      <c r="R74" s="1303"/>
      <c r="S74" s="1304"/>
    </row>
    <row r="75" spans="2:19" ht="6.6" customHeight="1">
      <c r="H75" s="1371"/>
      <c r="I75" s="1371"/>
      <c r="J75" s="1371"/>
      <c r="K75" s="837"/>
      <c r="L75" s="1371"/>
      <c r="M75" s="1371"/>
      <c r="N75" s="827"/>
      <c r="O75" s="863"/>
      <c r="P75" s="863"/>
      <c r="Q75" s="837"/>
      <c r="R75" s="863"/>
      <c r="S75" s="863"/>
    </row>
    <row r="76" spans="2:19" s="449" customFormat="1" ht="13.35" customHeight="1">
      <c r="B76" s="452" t="s">
        <v>1220</v>
      </c>
      <c r="C76" s="452" t="s">
        <v>3564</v>
      </c>
      <c r="H76" s="1286"/>
      <c r="I76" s="1336"/>
      <c r="J76" s="1336"/>
      <c r="K76" s="1336"/>
      <c r="L76" s="1336"/>
      <c r="M76" s="1336"/>
      <c r="N76" s="1337"/>
      <c r="O76" s="828" t="s">
        <v>1157</v>
      </c>
      <c r="P76" s="828"/>
      <c r="Q76" s="1286"/>
      <c r="R76" s="1336"/>
      <c r="S76" s="1337"/>
    </row>
    <row r="77" spans="2:19" s="449" customFormat="1" ht="13.35" customHeight="1">
      <c r="D77" s="499"/>
      <c r="E77" s="455" t="s">
        <v>2505</v>
      </c>
      <c r="F77" s="463"/>
      <c r="H77" s="1286"/>
      <c r="I77" s="1336"/>
      <c r="J77" s="1336"/>
      <c r="K77" s="1336"/>
      <c r="L77" s="1336"/>
      <c r="M77" s="1336"/>
      <c r="N77" s="1337"/>
      <c r="O77" s="828" t="s">
        <v>1509</v>
      </c>
      <c r="Q77" s="1286"/>
      <c r="R77" s="1336"/>
      <c r="S77" s="1337"/>
    </row>
    <row r="78" spans="2:19" s="449" customFormat="1" ht="13.35" customHeight="1">
      <c r="D78" s="499"/>
      <c r="E78" s="455" t="s">
        <v>3136</v>
      </c>
      <c r="H78" s="1286"/>
      <c r="I78" s="1336"/>
      <c r="J78" s="1337"/>
      <c r="O78" s="828" t="s">
        <v>1429</v>
      </c>
      <c r="Q78" s="1294"/>
      <c r="R78" s="1299"/>
      <c r="S78" s="1295"/>
    </row>
    <row r="79" spans="2:19" s="449" customFormat="1" ht="13.35" customHeight="1">
      <c r="E79" s="455" t="s">
        <v>1425</v>
      </c>
      <c r="H79" s="1300"/>
      <c r="I79" s="483" t="s">
        <v>982</v>
      </c>
      <c r="J79" s="1297"/>
      <c r="K79" s="1337"/>
      <c r="O79" s="828" t="s">
        <v>1146</v>
      </c>
      <c r="Q79" s="1294"/>
      <c r="R79" s="1299"/>
      <c r="S79" s="1295"/>
    </row>
    <row r="80" spans="2:19" s="449" customFormat="1" ht="13.35" customHeight="1">
      <c r="D80" s="499"/>
      <c r="E80" s="455" t="s">
        <v>1152</v>
      </c>
      <c r="H80" s="1294"/>
      <c r="I80" s="1295"/>
      <c r="J80" s="1366"/>
      <c r="K80" s="837" t="s">
        <v>1428</v>
      </c>
      <c r="L80" s="1324"/>
      <c r="M80" s="1337"/>
      <c r="N80" s="457" t="s">
        <v>1151</v>
      </c>
      <c r="O80" s="1302"/>
      <c r="P80" s="1303"/>
      <c r="Q80" s="1303"/>
      <c r="R80" s="1303"/>
      <c r="S80" s="1304"/>
    </row>
    <row r="81" spans="1:19" ht="13.35" customHeight="1"/>
    <row r="82" spans="1:19" s="455" customFormat="1" ht="13.35" customHeight="1">
      <c r="A82" s="456" t="s">
        <v>2834</v>
      </c>
      <c r="B82" s="456" t="s">
        <v>3715</v>
      </c>
      <c r="D82" s="456"/>
      <c r="E82" s="828"/>
      <c r="F82" s="394"/>
      <c r="G82" s="394"/>
      <c r="H82" s="394"/>
      <c r="I82" s="394"/>
      <c r="J82" s="394"/>
      <c r="K82" s="394"/>
      <c r="L82" s="394"/>
      <c r="M82" s="394"/>
    </row>
    <row r="83" spans="1:19" s="455" customFormat="1" ht="9" customHeight="1">
      <c r="A83" s="456"/>
      <c r="B83" s="456"/>
      <c r="D83" s="456"/>
      <c r="E83" s="828"/>
      <c r="F83" s="394"/>
      <c r="G83" s="394"/>
      <c r="H83" s="1370"/>
      <c r="I83" s="1370"/>
      <c r="J83" s="1370"/>
      <c r="K83" s="827"/>
      <c r="L83" s="1370"/>
      <c r="M83" s="1370"/>
      <c r="N83" s="827"/>
      <c r="O83" s="863"/>
      <c r="P83" s="863"/>
      <c r="Q83" s="837"/>
      <c r="R83" s="863"/>
      <c r="S83" s="863"/>
    </row>
    <row r="84" spans="1:19" s="449" customFormat="1" ht="13.35" customHeight="1">
      <c r="B84" s="452" t="s">
        <v>1150</v>
      </c>
      <c r="C84" s="452" t="s">
        <v>3716</v>
      </c>
      <c r="H84" s="1286"/>
      <c r="I84" s="1336"/>
      <c r="J84" s="1336"/>
      <c r="K84" s="1336"/>
      <c r="L84" s="1336"/>
      <c r="M84" s="1336"/>
      <c r="N84" s="1337"/>
      <c r="O84" s="828" t="s">
        <v>1157</v>
      </c>
      <c r="P84" s="828"/>
      <c r="Q84" s="1286"/>
      <c r="R84" s="1336"/>
      <c r="S84" s="1337"/>
    </row>
    <row r="85" spans="1:19" s="449" customFormat="1" ht="13.35" customHeight="1">
      <c r="D85" s="499"/>
      <c r="E85" s="455" t="s">
        <v>2505</v>
      </c>
      <c r="F85" s="463"/>
      <c r="H85" s="1286"/>
      <c r="I85" s="1336"/>
      <c r="J85" s="1336"/>
      <c r="K85" s="1336"/>
      <c r="L85" s="1336"/>
      <c r="M85" s="1336"/>
      <c r="N85" s="1337"/>
      <c r="O85" s="828" t="s">
        <v>1509</v>
      </c>
      <c r="Q85" s="1286"/>
      <c r="R85" s="1336"/>
      <c r="S85" s="1337"/>
    </row>
    <row r="86" spans="1:19" s="449" customFormat="1" ht="13.35" customHeight="1">
      <c r="D86" s="499"/>
      <c r="E86" s="455" t="s">
        <v>3136</v>
      </c>
      <c r="H86" s="1286"/>
      <c r="I86" s="1336"/>
      <c r="J86" s="1337"/>
      <c r="O86" s="828" t="s">
        <v>1429</v>
      </c>
      <c r="Q86" s="1294"/>
      <c r="R86" s="1299"/>
      <c r="S86" s="1295"/>
    </row>
    <row r="87" spans="1:19" s="449" customFormat="1" ht="13.35" customHeight="1">
      <c r="E87" s="455" t="s">
        <v>1425</v>
      </c>
      <c r="H87" s="1300"/>
      <c r="I87" s="483" t="s">
        <v>982</v>
      </c>
      <c r="J87" s="1297"/>
      <c r="K87" s="1337"/>
      <c r="O87" s="828" t="s">
        <v>1146</v>
      </c>
      <c r="Q87" s="1294"/>
      <c r="R87" s="1299"/>
      <c r="S87" s="1295"/>
    </row>
    <row r="88" spans="1:19" s="449" customFormat="1" ht="13.35" customHeight="1">
      <c r="D88" s="499"/>
      <c r="E88" s="455" t="s">
        <v>1152</v>
      </c>
      <c r="H88" s="1294"/>
      <c r="I88" s="1295"/>
      <c r="J88" s="1366"/>
      <c r="K88" s="837" t="s">
        <v>1428</v>
      </c>
      <c r="L88" s="1324"/>
      <c r="M88" s="1337"/>
      <c r="N88" s="457" t="s">
        <v>1151</v>
      </c>
      <c r="O88" s="1302"/>
      <c r="P88" s="1303"/>
      <c r="Q88" s="1303"/>
      <c r="R88" s="1303"/>
      <c r="S88" s="1304"/>
    </row>
    <row r="89" spans="1:19" ht="6.6" customHeight="1">
      <c r="H89" s="1371"/>
      <c r="I89" s="1371"/>
      <c r="J89" s="1371"/>
      <c r="K89" s="837"/>
      <c r="L89" s="1371"/>
      <c r="M89" s="1371"/>
      <c r="N89" s="827"/>
      <c r="O89" s="863"/>
      <c r="P89" s="863"/>
      <c r="Q89" s="837"/>
      <c r="R89" s="863"/>
      <c r="S89" s="863"/>
    </row>
    <row r="90" spans="1:19" s="449" customFormat="1" ht="13.35" customHeight="1">
      <c r="B90" s="452" t="s">
        <v>1153</v>
      </c>
      <c r="C90" s="452" t="s">
        <v>3717</v>
      </c>
      <c r="H90" s="1286" t="s">
        <v>91</v>
      </c>
      <c r="I90" s="1336"/>
      <c r="J90" s="1336"/>
      <c r="K90" s="1336"/>
      <c r="L90" s="1336"/>
      <c r="M90" s="1336"/>
      <c r="N90" s="1337"/>
      <c r="O90" s="828" t="s">
        <v>1157</v>
      </c>
      <c r="P90" s="828"/>
      <c r="Q90" s="1286" t="s">
        <v>92</v>
      </c>
      <c r="R90" s="1336"/>
      <c r="S90" s="1337"/>
    </row>
    <row r="91" spans="1:19" s="449" customFormat="1" ht="13.35" customHeight="1">
      <c r="D91" s="499"/>
      <c r="E91" s="455" t="s">
        <v>2505</v>
      </c>
      <c r="F91" s="463"/>
      <c r="H91" s="1286" t="s">
        <v>57</v>
      </c>
      <c r="I91" s="1336"/>
      <c r="J91" s="1336"/>
      <c r="K91" s="1336"/>
      <c r="L91" s="1336"/>
      <c r="M91" s="1336"/>
      <c r="N91" s="1337"/>
      <c r="O91" s="828" t="s">
        <v>1509</v>
      </c>
      <c r="Q91" s="1286" t="s">
        <v>93</v>
      </c>
      <c r="R91" s="1336"/>
      <c r="S91" s="1337"/>
    </row>
    <row r="92" spans="1:19" s="449" customFormat="1" ht="13.35" customHeight="1">
      <c r="D92" s="499"/>
      <c r="E92" s="455" t="s">
        <v>3136</v>
      </c>
      <c r="H92" s="1286" t="s">
        <v>58</v>
      </c>
      <c r="I92" s="1336"/>
      <c r="J92" s="1337"/>
      <c r="O92" s="828" t="s">
        <v>1429</v>
      </c>
      <c r="Q92" s="1294">
        <v>6143963202</v>
      </c>
      <c r="R92" s="1299"/>
      <c r="S92" s="1295"/>
    </row>
    <row r="93" spans="1:19" s="449" customFormat="1" ht="13.35" customHeight="1">
      <c r="E93" s="455" t="s">
        <v>1425</v>
      </c>
      <c r="H93" s="1300" t="s">
        <v>2183</v>
      </c>
      <c r="I93" s="483" t="s">
        <v>982</v>
      </c>
      <c r="J93" s="1297">
        <v>430818075</v>
      </c>
      <c r="K93" s="1337"/>
      <c r="O93" s="828" t="s">
        <v>1146</v>
      </c>
      <c r="Q93" s="1294">
        <v>6149469632</v>
      </c>
      <c r="R93" s="1299"/>
      <c r="S93" s="1295"/>
    </row>
    <row r="94" spans="1:19" s="449" customFormat="1" ht="13.35" customHeight="1">
      <c r="D94" s="499"/>
      <c r="E94" s="455" t="s">
        <v>1152</v>
      </c>
      <c r="H94" s="1294">
        <v>6143963200</v>
      </c>
      <c r="I94" s="1295"/>
      <c r="J94" s="1366">
        <v>202</v>
      </c>
      <c r="K94" s="837" t="s">
        <v>1428</v>
      </c>
      <c r="L94" s="1324">
        <v>6143963243</v>
      </c>
      <c r="M94" s="1337"/>
      <c r="N94" s="457" t="s">
        <v>1151</v>
      </c>
      <c r="O94" s="1302" t="s">
        <v>94</v>
      </c>
      <c r="P94" s="1303"/>
      <c r="Q94" s="1303"/>
      <c r="R94" s="1303"/>
      <c r="S94" s="1304"/>
    </row>
    <row r="95" spans="1:19" ht="6.6" customHeight="1">
      <c r="H95" s="1371"/>
      <c r="I95" s="1371"/>
      <c r="J95" s="1371"/>
      <c r="K95" s="837"/>
      <c r="L95" s="1371"/>
      <c r="M95" s="1371"/>
      <c r="N95" s="827"/>
      <c r="O95" s="863"/>
      <c r="P95" s="863"/>
      <c r="Q95" s="837"/>
      <c r="R95" s="863"/>
      <c r="S95" s="863"/>
    </row>
    <row r="96" spans="1:19" s="449" customFormat="1" ht="13.35" customHeight="1">
      <c r="B96" s="452" t="s">
        <v>3012</v>
      </c>
      <c r="C96" s="452" t="s">
        <v>3718</v>
      </c>
      <c r="F96" s="472"/>
      <c r="H96" s="1286" t="s">
        <v>95</v>
      </c>
      <c r="I96" s="1336"/>
      <c r="J96" s="1336"/>
      <c r="K96" s="1336"/>
      <c r="L96" s="1336"/>
      <c r="M96" s="1336"/>
      <c r="N96" s="1337"/>
      <c r="O96" s="828" t="s">
        <v>1157</v>
      </c>
      <c r="P96" s="828"/>
      <c r="Q96" s="1286" t="s">
        <v>83</v>
      </c>
      <c r="R96" s="1336"/>
      <c r="S96" s="1337"/>
    </row>
    <row r="97" spans="2:19" s="449" customFormat="1" ht="13.35" customHeight="1">
      <c r="D97" s="499"/>
      <c r="E97" s="455" t="s">
        <v>2505</v>
      </c>
      <c r="F97" s="463"/>
      <c r="H97" s="1286" t="s">
        <v>57</v>
      </c>
      <c r="I97" s="1336"/>
      <c r="J97" s="1336"/>
      <c r="K97" s="1336"/>
      <c r="L97" s="1336"/>
      <c r="M97" s="1336"/>
      <c r="N97" s="1337"/>
      <c r="O97" s="828" t="s">
        <v>1509</v>
      </c>
      <c r="Q97" s="1286" t="s">
        <v>96</v>
      </c>
      <c r="R97" s="1336"/>
      <c r="S97" s="1337"/>
    </row>
    <row r="98" spans="2:19" s="449" customFormat="1" ht="13.35" customHeight="1">
      <c r="D98" s="499"/>
      <c r="E98" s="455" t="s">
        <v>3136</v>
      </c>
      <c r="H98" s="1286" t="s">
        <v>58</v>
      </c>
      <c r="I98" s="1336"/>
      <c r="J98" s="1337"/>
      <c r="O98" s="828" t="s">
        <v>1429</v>
      </c>
      <c r="Q98" s="1294">
        <v>6143963206</v>
      </c>
      <c r="R98" s="1299"/>
      <c r="S98" s="1295"/>
    </row>
    <row r="99" spans="2:19" s="449" customFormat="1" ht="13.35" customHeight="1">
      <c r="D99" s="499"/>
      <c r="E99" s="455" t="s">
        <v>1425</v>
      </c>
      <c r="H99" s="1300" t="s">
        <v>2183</v>
      </c>
      <c r="I99" s="483" t="s">
        <v>982</v>
      </c>
      <c r="J99" s="1297">
        <v>430818075</v>
      </c>
      <c r="K99" s="1337"/>
      <c r="O99" s="828" t="s">
        <v>1146</v>
      </c>
      <c r="Q99" s="1294">
        <v>6145618573</v>
      </c>
      <c r="R99" s="1299"/>
      <c r="S99" s="1295"/>
    </row>
    <row r="100" spans="2:19" s="449" customFormat="1" ht="13.35" customHeight="1">
      <c r="D100" s="499"/>
      <c r="E100" s="455" t="s">
        <v>1152</v>
      </c>
      <c r="H100" s="1294">
        <v>6143963200</v>
      </c>
      <c r="I100" s="1295"/>
      <c r="J100" s="1366">
        <v>206</v>
      </c>
      <c r="K100" s="837" t="s">
        <v>1428</v>
      </c>
      <c r="L100" s="1324">
        <v>6143963243</v>
      </c>
      <c r="M100" s="1337"/>
      <c r="N100" s="457" t="s">
        <v>1151</v>
      </c>
      <c r="O100" s="1302" t="s">
        <v>59</v>
      </c>
      <c r="P100" s="1303"/>
      <c r="Q100" s="1303"/>
      <c r="R100" s="1303"/>
      <c r="S100" s="1304"/>
    </row>
    <row r="101" spans="2:19" ht="6.6" customHeight="1">
      <c r="H101" s="1371"/>
      <c r="I101" s="1371"/>
      <c r="J101" s="1371"/>
      <c r="K101" s="837"/>
      <c r="L101" s="1371"/>
      <c r="M101" s="1371"/>
      <c r="N101" s="827"/>
      <c r="O101" s="863"/>
      <c r="P101" s="863"/>
      <c r="Q101" s="837"/>
      <c r="R101" s="863"/>
      <c r="S101" s="863"/>
    </row>
    <row r="102" spans="2:19" s="449" customFormat="1" ht="13.35" customHeight="1">
      <c r="B102" s="452" t="s">
        <v>1220</v>
      </c>
      <c r="C102" s="452" t="s">
        <v>3570</v>
      </c>
      <c r="H102" s="1286" t="s">
        <v>97</v>
      </c>
      <c r="I102" s="1336"/>
      <c r="J102" s="1336"/>
      <c r="K102" s="1336"/>
      <c r="L102" s="1336"/>
      <c r="M102" s="1336"/>
      <c r="N102" s="1337"/>
      <c r="O102" s="828" t="s">
        <v>1157</v>
      </c>
      <c r="P102" s="828"/>
      <c r="Q102" s="1286" t="s">
        <v>98</v>
      </c>
      <c r="R102" s="1336"/>
      <c r="S102" s="1337"/>
    </row>
    <row r="103" spans="2:19" s="449" customFormat="1" ht="13.35" customHeight="1">
      <c r="D103" s="499"/>
      <c r="E103" s="455" t="s">
        <v>2505</v>
      </c>
      <c r="F103" s="463"/>
      <c r="H103" s="1286" t="s">
        <v>106</v>
      </c>
      <c r="I103" s="1336"/>
      <c r="J103" s="1336"/>
      <c r="K103" s="1336"/>
      <c r="L103" s="1336"/>
      <c r="M103" s="1336"/>
      <c r="N103" s="1337"/>
      <c r="O103" s="828" t="s">
        <v>1509</v>
      </c>
      <c r="Q103" s="1286" t="s">
        <v>100</v>
      </c>
      <c r="R103" s="1336"/>
      <c r="S103" s="1337"/>
    </row>
    <row r="104" spans="2:19" s="449" customFormat="1" ht="13.35" customHeight="1">
      <c r="D104" s="499"/>
      <c r="E104" s="455" t="s">
        <v>3136</v>
      </c>
      <c r="H104" s="1286" t="s">
        <v>2157</v>
      </c>
      <c r="I104" s="1336"/>
      <c r="J104" s="1337"/>
      <c r="O104" s="828" t="s">
        <v>1429</v>
      </c>
      <c r="Q104" s="1294">
        <v>9124413863</v>
      </c>
      <c r="R104" s="1299"/>
      <c r="S104" s="1295"/>
    </row>
    <row r="105" spans="2:19" s="449" customFormat="1" ht="13.35" customHeight="1">
      <c r="D105" s="499"/>
      <c r="E105" s="455" t="s">
        <v>1425</v>
      </c>
      <c r="H105" s="1300" t="s">
        <v>2723</v>
      </c>
      <c r="I105" s="483" t="s">
        <v>982</v>
      </c>
      <c r="J105" s="1297">
        <v>314129848</v>
      </c>
      <c r="K105" s="1337"/>
      <c r="O105" s="828" t="s">
        <v>1146</v>
      </c>
      <c r="Q105" s="1294"/>
      <c r="R105" s="1299"/>
      <c r="S105" s="1295"/>
    </row>
    <row r="106" spans="2:19" ht="13.35" customHeight="1">
      <c r="E106" s="455" t="s">
        <v>1152</v>
      </c>
      <c r="F106" s="449"/>
      <c r="G106" s="449"/>
      <c r="H106" s="1294">
        <v>9129441635</v>
      </c>
      <c r="I106" s="1295"/>
      <c r="J106" s="1366"/>
      <c r="K106" s="837" t="s">
        <v>1428</v>
      </c>
      <c r="L106" s="1324">
        <v>9122367936</v>
      </c>
      <c r="M106" s="1337"/>
      <c r="N106" s="457" t="s">
        <v>1151</v>
      </c>
      <c r="O106" s="1302" t="s">
        <v>101</v>
      </c>
      <c r="P106" s="1303"/>
      <c r="Q106" s="1303"/>
      <c r="R106" s="1303"/>
      <c r="S106" s="1304"/>
    </row>
    <row r="107" spans="2:19" ht="6" customHeight="1">
      <c r="E107" s="455"/>
      <c r="F107" s="449"/>
      <c r="G107" s="449"/>
      <c r="H107" s="449"/>
      <c r="I107" s="449"/>
      <c r="J107" s="449"/>
      <c r="K107" s="449"/>
      <c r="L107" s="449"/>
      <c r="M107" s="449"/>
      <c r="N107" s="449"/>
      <c r="O107" s="449"/>
      <c r="P107" s="449"/>
      <c r="Q107" s="837"/>
      <c r="R107" s="837"/>
      <c r="S107" s="1372"/>
    </row>
    <row r="108" spans="2:19" ht="0.6" customHeight="1">
      <c r="E108" s="455"/>
      <c r="F108" s="449"/>
      <c r="G108" s="834"/>
      <c r="H108" s="1370"/>
      <c r="I108" s="1370"/>
      <c r="J108" s="1370"/>
      <c r="K108" s="827"/>
      <c r="L108" s="1370"/>
      <c r="M108" s="1370"/>
      <c r="N108" s="827"/>
      <c r="O108" s="863"/>
      <c r="P108" s="863"/>
      <c r="Q108" s="837"/>
      <c r="R108" s="863"/>
      <c r="S108" s="863"/>
    </row>
    <row r="109" spans="2:19" s="449" customFormat="1" ht="13.35" customHeight="1">
      <c r="B109" s="452" t="s">
        <v>1496</v>
      </c>
      <c r="C109" s="452" t="s">
        <v>3571</v>
      </c>
      <c r="H109" s="1286" t="s">
        <v>102</v>
      </c>
      <c r="I109" s="1336"/>
      <c r="J109" s="1336"/>
      <c r="K109" s="1336"/>
      <c r="L109" s="1336"/>
      <c r="M109" s="1336"/>
      <c r="N109" s="1337"/>
      <c r="O109" s="828" t="s">
        <v>1157</v>
      </c>
      <c r="P109" s="828"/>
      <c r="Q109" s="1286" t="s">
        <v>103</v>
      </c>
      <c r="R109" s="1336"/>
      <c r="S109" s="1337"/>
    </row>
    <row r="110" spans="2:19" s="449" customFormat="1" ht="13.35" customHeight="1">
      <c r="D110" s="499"/>
      <c r="E110" s="455" t="s">
        <v>2505</v>
      </c>
      <c r="F110" s="463"/>
      <c r="H110" s="1286" t="s">
        <v>99</v>
      </c>
      <c r="I110" s="1336"/>
      <c r="J110" s="1336"/>
      <c r="K110" s="1336"/>
      <c r="L110" s="1336"/>
      <c r="M110" s="1336"/>
      <c r="N110" s="1337"/>
      <c r="O110" s="828" t="s">
        <v>1509</v>
      </c>
      <c r="Q110" s="1286" t="s">
        <v>104</v>
      </c>
      <c r="R110" s="1336"/>
      <c r="S110" s="1337"/>
    </row>
    <row r="111" spans="2:19" s="449" customFormat="1" ht="13.35" customHeight="1">
      <c r="D111" s="499"/>
      <c r="E111" s="455" t="s">
        <v>3136</v>
      </c>
      <c r="H111" s="1286" t="s">
        <v>3896</v>
      </c>
      <c r="I111" s="1336"/>
      <c r="J111" s="1337"/>
      <c r="O111" s="828" t="s">
        <v>1429</v>
      </c>
      <c r="Q111" s="1294"/>
      <c r="R111" s="1299"/>
      <c r="S111" s="1295"/>
    </row>
    <row r="112" spans="2:19" s="449" customFormat="1" ht="13.35" customHeight="1">
      <c r="D112" s="499"/>
      <c r="E112" s="455" t="s">
        <v>1425</v>
      </c>
      <c r="H112" s="1300" t="s">
        <v>2183</v>
      </c>
      <c r="I112" s="483" t="s">
        <v>982</v>
      </c>
      <c r="J112" s="1297">
        <v>432155400</v>
      </c>
      <c r="K112" s="1337"/>
      <c r="O112" s="828" t="s">
        <v>1146</v>
      </c>
      <c r="Q112" s="1294"/>
      <c r="R112" s="1299"/>
      <c r="S112" s="1295"/>
    </row>
    <row r="113" spans="1:19" ht="13.35" customHeight="1">
      <c r="E113" s="455" t="s">
        <v>1152</v>
      </c>
      <c r="F113" s="449"/>
      <c r="G113" s="449"/>
      <c r="H113" s="1294">
        <v>6142240955</v>
      </c>
      <c r="I113" s="1295"/>
      <c r="J113" s="1366"/>
      <c r="K113" s="837" t="s">
        <v>1428</v>
      </c>
      <c r="L113" s="1324">
        <v>6142240971</v>
      </c>
      <c r="M113" s="1337"/>
      <c r="N113" s="457" t="s">
        <v>1151</v>
      </c>
      <c r="O113" s="1302" t="s">
        <v>105</v>
      </c>
      <c r="P113" s="1303"/>
      <c r="Q113" s="1303"/>
      <c r="R113" s="1303"/>
      <c r="S113" s="1304"/>
    </row>
    <row r="114" spans="1:19" ht="6.6" customHeight="1">
      <c r="E114" s="455"/>
      <c r="F114" s="449"/>
      <c r="G114" s="834"/>
      <c r="H114" s="1371"/>
      <c r="I114" s="1371"/>
      <c r="J114" s="1371"/>
      <c r="K114" s="837"/>
      <c r="L114" s="1371"/>
      <c r="M114" s="1371"/>
      <c r="N114" s="827"/>
      <c r="O114" s="863"/>
      <c r="P114" s="863"/>
      <c r="Q114" s="837"/>
      <c r="R114" s="863"/>
      <c r="S114" s="863"/>
    </row>
    <row r="115" spans="1:19" s="449" customFormat="1" ht="13.35" customHeight="1">
      <c r="B115" s="452" t="s">
        <v>1497</v>
      </c>
      <c r="C115" s="452" t="s">
        <v>3572</v>
      </c>
      <c r="H115" s="1286" t="s">
        <v>107</v>
      </c>
      <c r="I115" s="1336"/>
      <c r="J115" s="1336"/>
      <c r="K115" s="1336"/>
      <c r="L115" s="1336"/>
      <c r="M115" s="1336"/>
      <c r="N115" s="1337"/>
      <c r="O115" s="828" t="s">
        <v>1157</v>
      </c>
      <c r="P115" s="828"/>
      <c r="Q115" s="1286" t="s">
        <v>108</v>
      </c>
      <c r="R115" s="1336"/>
      <c r="S115" s="1337"/>
    </row>
    <row r="116" spans="1:19" s="449" customFormat="1" ht="13.35" customHeight="1">
      <c r="D116" s="499"/>
      <c r="E116" s="455" t="s">
        <v>2505</v>
      </c>
      <c r="F116" s="463"/>
      <c r="H116" s="1286" t="s">
        <v>109</v>
      </c>
      <c r="I116" s="1336"/>
      <c r="J116" s="1336"/>
      <c r="K116" s="1336"/>
      <c r="L116" s="1336"/>
      <c r="M116" s="1336"/>
      <c r="N116" s="1337"/>
      <c r="O116" s="828" t="s">
        <v>1509</v>
      </c>
      <c r="Q116" s="1286" t="s">
        <v>656</v>
      </c>
      <c r="R116" s="1336"/>
      <c r="S116" s="1337"/>
    </row>
    <row r="117" spans="1:19" s="449" customFormat="1" ht="13.35" customHeight="1">
      <c r="D117" s="499"/>
      <c r="E117" s="455" t="s">
        <v>3136</v>
      </c>
      <c r="H117" s="1286" t="s">
        <v>2378</v>
      </c>
      <c r="I117" s="1336"/>
      <c r="J117" s="1337"/>
      <c r="O117" s="828" t="s">
        <v>1429</v>
      </c>
      <c r="Q117" s="1294">
        <v>4048751517</v>
      </c>
      <c r="R117" s="1299"/>
      <c r="S117" s="1295"/>
    </row>
    <row r="118" spans="1:19" s="449" customFormat="1" ht="13.35" customHeight="1">
      <c r="D118" s="504"/>
      <c r="E118" s="455" t="s">
        <v>1425</v>
      </c>
      <c r="H118" s="1300" t="s">
        <v>2723</v>
      </c>
      <c r="I118" s="483" t="s">
        <v>982</v>
      </c>
      <c r="J118" s="1297">
        <v>303092845</v>
      </c>
      <c r="K118" s="1337"/>
      <c r="O118" s="828" t="s">
        <v>1146</v>
      </c>
      <c r="Q118" s="1294"/>
      <c r="R118" s="1299"/>
      <c r="S118" s="1295"/>
    </row>
    <row r="119" spans="1:19" s="449" customFormat="1" ht="13.35" customHeight="1">
      <c r="D119" s="504"/>
      <c r="E119" s="455" t="s">
        <v>1152</v>
      </c>
      <c r="H119" s="1294">
        <v>4048751517</v>
      </c>
      <c r="I119" s="1295"/>
      <c r="J119" s="1366">
        <v>212</v>
      </c>
      <c r="K119" s="837" t="s">
        <v>1428</v>
      </c>
      <c r="L119" s="1324">
        <v>4048752475</v>
      </c>
      <c r="M119" s="1337"/>
      <c r="N119" s="457" t="s">
        <v>1151</v>
      </c>
      <c r="O119" s="1302" t="s">
        <v>23</v>
      </c>
      <c r="P119" s="1303"/>
      <c r="Q119" s="1303"/>
      <c r="R119" s="1303"/>
      <c r="S119" s="1304"/>
    </row>
    <row r="120" spans="1:19" ht="13.35" customHeight="1"/>
    <row r="121" spans="1:19" s="449" customFormat="1" ht="13.35" customHeight="1">
      <c r="A121" s="452" t="s">
        <v>1418</v>
      </c>
      <c r="B121" s="452" t="s">
        <v>506</v>
      </c>
      <c r="F121" s="452"/>
      <c r="G121" s="837"/>
      <c r="H121" s="837"/>
      <c r="I121" s="837"/>
      <c r="J121" s="837"/>
      <c r="K121" s="837"/>
      <c r="L121" s="837"/>
      <c r="M121" s="837"/>
      <c r="N121" s="837"/>
      <c r="O121" s="837"/>
      <c r="P121" s="837"/>
      <c r="Q121" s="829"/>
    </row>
    <row r="122" spans="1:19" s="449" customFormat="1" ht="6.6" customHeight="1">
      <c r="A122" s="452"/>
      <c r="B122" s="452"/>
      <c r="F122" s="452"/>
      <c r="G122" s="837"/>
      <c r="H122" s="837"/>
      <c r="I122" s="837"/>
      <c r="J122" s="837"/>
      <c r="K122" s="837"/>
      <c r="L122" s="837"/>
      <c r="M122" s="837"/>
      <c r="N122" s="837"/>
      <c r="O122" s="837"/>
      <c r="P122" s="837"/>
      <c r="Q122" s="829"/>
    </row>
    <row r="123" spans="1:19" s="449" customFormat="1" ht="21.6" customHeight="1">
      <c r="A123" s="918" t="s">
        <v>3237</v>
      </c>
      <c r="B123" s="1373"/>
      <c r="C123" s="1373"/>
      <c r="D123" s="1374"/>
      <c r="E123" s="919" t="s">
        <v>826</v>
      </c>
      <c r="F123" s="922" t="s">
        <v>709</v>
      </c>
      <c r="G123" s="926" t="s">
        <v>710</v>
      </c>
      <c r="H123" s="927"/>
      <c r="I123" s="928"/>
      <c r="J123" s="926" t="s">
        <v>821</v>
      </c>
      <c r="K123" s="935"/>
      <c r="L123" s="926" t="s">
        <v>822</v>
      </c>
      <c r="M123" s="940"/>
      <c r="N123" s="926" t="s">
        <v>823</v>
      </c>
      <c r="O123" s="928"/>
      <c r="P123" s="926" t="s">
        <v>824</v>
      </c>
      <c r="Q123" s="928"/>
      <c r="R123" s="926" t="s">
        <v>825</v>
      </c>
      <c r="S123" s="945"/>
    </row>
    <row r="124" spans="1:19" s="449" customFormat="1" ht="21.6" customHeight="1">
      <c r="A124" s="1375"/>
      <c r="B124" s="1376"/>
      <c r="C124" s="1376"/>
      <c r="D124" s="1377"/>
      <c r="E124" s="920"/>
      <c r="F124" s="923"/>
      <c r="G124" s="929"/>
      <c r="H124" s="930"/>
      <c r="I124" s="931"/>
      <c r="J124" s="936"/>
      <c r="K124" s="937"/>
      <c r="L124" s="929"/>
      <c r="M124" s="941"/>
      <c r="N124" s="929"/>
      <c r="O124" s="931"/>
      <c r="P124" s="929"/>
      <c r="Q124" s="931"/>
      <c r="R124" s="929"/>
      <c r="S124" s="946"/>
    </row>
    <row r="125" spans="1:19" s="449" customFormat="1" ht="21.6" customHeight="1">
      <c r="A125" s="1375"/>
      <c r="B125" s="1376"/>
      <c r="C125" s="1376"/>
      <c r="D125" s="1377"/>
      <c r="E125" s="920"/>
      <c r="F125" s="924"/>
      <c r="G125" s="929"/>
      <c r="H125" s="930"/>
      <c r="I125" s="931"/>
      <c r="J125" s="936"/>
      <c r="K125" s="937"/>
      <c r="L125" s="942"/>
      <c r="M125" s="941"/>
      <c r="N125" s="929"/>
      <c r="O125" s="931"/>
      <c r="P125" s="929"/>
      <c r="Q125" s="931"/>
      <c r="R125" s="947"/>
      <c r="S125" s="946"/>
    </row>
    <row r="126" spans="1:19" s="449" customFormat="1" ht="21.6" customHeight="1">
      <c r="A126" s="1375"/>
      <c r="B126" s="1376"/>
      <c r="C126" s="1376"/>
      <c r="D126" s="1377"/>
      <c r="E126" s="920"/>
      <c r="F126" s="924"/>
      <c r="G126" s="929"/>
      <c r="H126" s="930"/>
      <c r="I126" s="931"/>
      <c r="J126" s="936"/>
      <c r="K126" s="937"/>
      <c r="L126" s="942"/>
      <c r="M126" s="941"/>
      <c r="N126" s="929"/>
      <c r="O126" s="931"/>
      <c r="P126" s="929"/>
      <c r="Q126" s="931"/>
      <c r="R126" s="947"/>
      <c r="S126" s="946"/>
    </row>
    <row r="127" spans="1:19" s="449" customFormat="1" ht="21.6" customHeight="1">
      <c r="A127" s="1378"/>
      <c r="B127" s="1379"/>
      <c r="C127" s="1379"/>
      <c r="D127" s="1380"/>
      <c r="E127" s="921"/>
      <c r="F127" s="925"/>
      <c r="G127" s="932"/>
      <c r="H127" s="933"/>
      <c r="I127" s="934"/>
      <c r="J127" s="938"/>
      <c r="K127" s="939"/>
      <c r="L127" s="943"/>
      <c r="M127" s="944"/>
      <c r="N127" s="932"/>
      <c r="O127" s="934"/>
      <c r="P127" s="932"/>
      <c r="Q127" s="934"/>
      <c r="R127" s="948"/>
      <c r="S127" s="949"/>
    </row>
    <row r="128" spans="1:19" s="449" customFormat="1" ht="14.1" customHeight="1">
      <c r="A128" s="835" t="s">
        <v>708</v>
      </c>
      <c r="B128" s="836"/>
      <c r="C128" s="836"/>
      <c r="D128" s="842"/>
      <c r="E128" s="1381" t="s">
        <v>61</v>
      </c>
      <c r="F128" s="1381" t="s">
        <v>61</v>
      </c>
      <c r="G128" s="1382" t="s">
        <v>61</v>
      </c>
      <c r="H128" s="1383"/>
      <c r="I128" s="1384"/>
      <c r="J128" s="1382" t="s">
        <v>63</v>
      </c>
      <c r="K128" s="1384"/>
      <c r="L128" s="1382" t="s">
        <v>61</v>
      </c>
      <c r="M128" s="1384"/>
      <c r="N128" s="1382" t="s">
        <v>61</v>
      </c>
      <c r="O128" s="1384"/>
      <c r="P128" s="1385" t="s">
        <v>502</v>
      </c>
      <c r="Q128" s="1386"/>
      <c r="R128" s="1387">
        <v>5.1000000000000004E-3</v>
      </c>
      <c r="S128" s="1388"/>
    </row>
    <row r="129" spans="1:19" s="449" customFormat="1" ht="14.1" customHeight="1">
      <c r="A129" s="833" t="s">
        <v>698</v>
      </c>
      <c r="B129" s="834"/>
      <c r="C129" s="834"/>
      <c r="D129" s="840"/>
      <c r="E129" s="1389" t="s">
        <v>61</v>
      </c>
      <c r="F129" s="1389" t="s">
        <v>61</v>
      </c>
      <c r="G129" s="1390" t="s">
        <v>61</v>
      </c>
      <c r="H129" s="1391"/>
      <c r="I129" s="1392"/>
      <c r="J129" s="1390" t="s">
        <v>61</v>
      </c>
      <c r="K129" s="1392"/>
      <c r="L129" s="1390" t="s">
        <v>61</v>
      </c>
      <c r="M129" s="1392"/>
      <c r="N129" s="1390" t="s">
        <v>61</v>
      </c>
      <c r="O129" s="1392"/>
      <c r="P129" s="1393" t="s">
        <v>24</v>
      </c>
      <c r="Q129" s="1394"/>
      <c r="R129" s="1395">
        <v>4.8999999999999998E-3</v>
      </c>
      <c r="S129" s="1396"/>
    </row>
    <row r="130" spans="1:19" s="449" customFormat="1" ht="14.1" customHeight="1">
      <c r="A130" s="833" t="s">
        <v>699</v>
      </c>
      <c r="B130" s="834"/>
      <c r="C130" s="834"/>
      <c r="D130" s="840"/>
      <c r="E130" s="1389"/>
      <c r="F130" s="1389"/>
      <c r="G130" s="1390"/>
      <c r="H130" s="1391"/>
      <c r="I130" s="1392"/>
      <c r="J130" s="1390"/>
      <c r="K130" s="1392"/>
      <c r="L130" s="1390"/>
      <c r="M130" s="1392"/>
      <c r="N130" s="1390"/>
      <c r="O130" s="1392"/>
      <c r="P130" s="1393"/>
      <c r="Q130" s="1394"/>
      <c r="R130" s="1395"/>
      <c r="S130" s="1396"/>
    </row>
    <row r="131" spans="1:19" s="449" customFormat="1" ht="14.1" customHeight="1">
      <c r="A131" s="833" t="s">
        <v>700</v>
      </c>
      <c r="B131" s="834"/>
      <c r="C131" s="834"/>
      <c r="D131" s="840"/>
      <c r="E131" s="1389" t="s">
        <v>61</v>
      </c>
      <c r="F131" s="1389" t="s">
        <v>61</v>
      </c>
      <c r="G131" s="1390" t="s">
        <v>61</v>
      </c>
      <c r="H131" s="1391"/>
      <c r="I131" s="1392"/>
      <c r="J131" s="1390" t="s">
        <v>61</v>
      </c>
      <c r="K131" s="1392"/>
      <c r="L131" s="1390" t="s">
        <v>61</v>
      </c>
      <c r="M131" s="1392"/>
      <c r="N131" s="1390" t="s">
        <v>61</v>
      </c>
      <c r="O131" s="1392"/>
      <c r="P131" s="1393" t="s">
        <v>24</v>
      </c>
      <c r="Q131" s="1394"/>
      <c r="R131" s="1395">
        <v>0.99</v>
      </c>
      <c r="S131" s="1396"/>
    </row>
    <row r="132" spans="1:19" s="449" customFormat="1" ht="14.1" customHeight="1">
      <c r="A132" s="833" t="s">
        <v>701</v>
      </c>
      <c r="B132" s="834"/>
      <c r="C132" s="834"/>
      <c r="D132" s="840"/>
      <c r="E132" s="1389" t="s">
        <v>61</v>
      </c>
      <c r="F132" s="1389" t="s">
        <v>61</v>
      </c>
      <c r="G132" s="1390" t="s">
        <v>61</v>
      </c>
      <c r="H132" s="1391"/>
      <c r="I132" s="1392"/>
      <c r="J132" s="1390" t="s">
        <v>61</v>
      </c>
      <c r="K132" s="1392"/>
      <c r="L132" s="1390" t="s">
        <v>61</v>
      </c>
      <c r="M132" s="1392"/>
      <c r="N132" s="1390" t="s">
        <v>61</v>
      </c>
      <c r="O132" s="1392"/>
      <c r="P132" s="1393" t="s">
        <v>24</v>
      </c>
      <c r="Q132" s="1394"/>
      <c r="R132" s="1395"/>
      <c r="S132" s="1396"/>
    </row>
    <row r="133" spans="1:19" s="449" customFormat="1" ht="14.1" customHeight="1">
      <c r="A133" s="833" t="s">
        <v>702</v>
      </c>
      <c r="B133" s="834"/>
      <c r="C133" s="834"/>
      <c r="D133" s="840"/>
      <c r="E133" s="1389" t="s">
        <v>61</v>
      </c>
      <c r="F133" s="1389" t="s">
        <v>61</v>
      </c>
      <c r="G133" s="1390" t="s">
        <v>61</v>
      </c>
      <c r="H133" s="1391"/>
      <c r="I133" s="1392"/>
      <c r="J133" s="1390" t="s">
        <v>61</v>
      </c>
      <c r="K133" s="1392"/>
      <c r="L133" s="1390" t="s">
        <v>61</v>
      </c>
      <c r="M133" s="1392"/>
      <c r="N133" s="1390" t="s">
        <v>61</v>
      </c>
      <c r="O133" s="1392"/>
      <c r="P133" s="1393" t="s">
        <v>502</v>
      </c>
      <c r="Q133" s="1394"/>
      <c r="R133" s="1395"/>
      <c r="S133" s="1396"/>
    </row>
    <row r="134" spans="1:19" s="449" customFormat="1" ht="14.1" customHeight="1">
      <c r="A134" s="833" t="s">
        <v>3070</v>
      </c>
      <c r="B134" s="834"/>
      <c r="C134" s="834"/>
      <c r="D134" s="840"/>
      <c r="E134" s="1389" t="s">
        <v>61</v>
      </c>
      <c r="F134" s="1389" t="s">
        <v>61</v>
      </c>
      <c r="G134" s="1390" t="s">
        <v>61</v>
      </c>
      <c r="H134" s="1391"/>
      <c r="I134" s="1392"/>
      <c r="J134" s="1390" t="s">
        <v>63</v>
      </c>
      <c r="K134" s="1392"/>
      <c r="L134" s="1390" t="s">
        <v>61</v>
      </c>
      <c r="M134" s="1392"/>
      <c r="N134" s="1390" t="s">
        <v>61</v>
      </c>
      <c r="O134" s="1392"/>
      <c r="P134" s="1393" t="s">
        <v>24</v>
      </c>
      <c r="Q134" s="1394"/>
      <c r="R134" s="1395">
        <v>0</v>
      </c>
      <c r="S134" s="1396"/>
    </row>
    <row r="135" spans="1:19" s="449" customFormat="1" ht="14.1" customHeight="1">
      <c r="A135" s="833" t="s">
        <v>703</v>
      </c>
      <c r="B135" s="834"/>
      <c r="C135" s="834"/>
      <c r="D135" s="840"/>
      <c r="E135" s="1389" t="s">
        <v>61</v>
      </c>
      <c r="F135" s="1389" t="s">
        <v>61</v>
      </c>
      <c r="G135" s="1390" t="s">
        <v>61</v>
      </c>
      <c r="H135" s="1391"/>
      <c r="I135" s="1392"/>
      <c r="J135" s="1390" t="s">
        <v>61</v>
      </c>
      <c r="K135" s="1392"/>
      <c r="L135" s="1390" t="s">
        <v>61</v>
      </c>
      <c r="M135" s="1392"/>
      <c r="N135" s="1390" t="s">
        <v>61</v>
      </c>
      <c r="O135" s="1392"/>
      <c r="P135" s="1393" t="s">
        <v>502</v>
      </c>
      <c r="Q135" s="1394"/>
      <c r="R135" s="1395">
        <v>0</v>
      </c>
      <c r="S135" s="1396"/>
    </row>
    <row r="136" spans="1:19" s="449" customFormat="1" ht="14.1" customHeight="1">
      <c r="A136" s="833" t="s">
        <v>704</v>
      </c>
      <c r="B136" s="834"/>
      <c r="C136" s="834"/>
      <c r="D136" s="840"/>
      <c r="E136" s="1389"/>
      <c r="F136" s="1389"/>
      <c r="G136" s="1390"/>
      <c r="H136" s="1391"/>
      <c r="I136" s="1392"/>
      <c r="J136" s="1390"/>
      <c r="K136" s="1392"/>
      <c r="L136" s="1390"/>
      <c r="M136" s="1392"/>
      <c r="N136" s="1390"/>
      <c r="O136" s="1392"/>
      <c r="P136" s="1393"/>
      <c r="Q136" s="1394"/>
      <c r="R136" s="1395"/>
      <c r="S136" s="1396"/>
    </row>
    <row r="137" spans="1:19" s="449" customFormat="1" ht="14.1" customHeight="1">
      <c r="A137" s="833" t="s">
        <v>705</v>
      </c>
      <c r="B137" s="834"/>
      <c r="C137" s="834"/>
      <c r="D137" s="840"/>
      <c r="E137" s="1389"/>
      <c r="F137" s="1389"/>
      <c r="G137" s="1390"/>
      <c r="H137" s="1391"/>
      <c r="I137" s="1392"/>
      <c r="J137" s="1390"/>
      <c r="K137" s="1392"/>
      <c r="L137" s="1390"/>
      <c r="M137" s="1392"/>
      <c r="N137" s="1390"/>
      <c r="O137" s="1392"/>
      <c r="P137" s="1393"/>
      <c r="Q137" s="1394"/>
      <c r="R137" s="1395"/>
      <c r="S137" s="1396"/>
    </row>
    <row r="138" spans="1:19" s="449" customFormat="1" ht="14.1" customHeight="1">
      <c r="A138" s="833" t="s">
        <v>706</v>
      </c>
      <c r="B138" s="834"/>
      <c r="C138" s="834"/>
      <c r="D138" s="840"/>
      <c r="E138" s="1389"/>
      <c r="F138" s="1389"/>
      <c r="G138" s="1390"/>
      <c r="H138" s="1391"/>
      <c r="I138" s="1392"/>
      <c r="J138" s="1390"/>
      <c r="K138" s="1392"/>
      <c r="L138" s="1390"/>
      <c r="M138" s="1392"/>
      <c r="N138" s="1390"/>
      <c r="O138" s="1392"/>
      <c r="P138" s="1393"/>
      <c r="Q138" s="1394"/>
      <c r="R138" s="1395"/>
      <c r="S138" s="1396"/>
    </row>
    <row r="139" spans="1:19" s="449" customFormat="1" ht="14.1" customHeight="1">
      <c r="A139" s="833" t="s">
        <v>1929</v>
      </c>
      <c r="B139" s="834"/>
      <c r="C139" s="834"/>
      <c r="D139" s="840"/>
      <c r="E139" s="1389" t="s">
        <v>61</v>
      </c>
      <c r="F139" s="1389" t="s">
        <v>61</v>
      </c>
      <c r="G139" s="1390" t="s">
        <v>61</v>
      </c>
      <c r="H139" s="1391"/>
      <c r="I139" s="1392"/>
      <c r="J139" s="1390" t="s">
        <v>63</v>
      </c>
      <c r="K139" s="1392"/>
      <c r="L139" s="1390" t="s">
        <v>61</v>
      </c>
      <c r="M139" s="1392"/>
      <c r="N139" s="1390" t="s">
        <v>61</v>
      </c>
      <c r="O139" s="1392"/>
      <c r="P139" s="1393" t="s">
        <v>24</v>
      </c>
      <c r="Q139" s="1394"/>
      <c r="R139" s="1395">
        <v>0</v>
      </c>
      <c r="S139" s="1396"/>
    </row>
    <row r="140" spans="1:19" s="449" customFormat="1" ht="14.1" customHeight="1">
      <c r="A140" s="838" t="s">
        <v>707</v>
      </c>
      <c r="B140" s="839"/>
      <c r="C140" s="839"/>
      <c r="D140" s="505"/>
      <c r="E140" s="1397" t="s">
        <v>61</v>
      </c>
      <c r="F140" s="1397" t="s">
        <v>61</v>
      </c>
      <c r="G140" s="1398" t="s">
        <v>61</v>
      </c>
      <c r="H140" s="1399"/>
      <c r="I140" s="1400"/>
      <c r="J140" s="1398" t="s">
        <v>63</v>
      </c>
      <c r="K140" s="1400"/>
      <c r="L140" s="1398" t="s">
        <v>61</v>
      </c>
      <c r="M140" s="1400"/>
      <c r="N140" s="1398" t="s">
        <v>61</v>
      </c>
      <c r="O140" s="1400"/>
      <c r="P140" s="1401" t="s">
        <v>24</v>
      </c>
      <c r="Q140" s="1402"/>
      <c r="R140" s="1403">
        <v>0</v>
      </c>
      <c r="S140" s="1404"/>
    </row>
    <row r="141" spans="1:19" s="834" customFormat="1" ht="14.1" customHeight="1">
      <c r="G141" s="461"/>
      <c r="H141" s="461"/>
      <c r="I141" s="461"/>
      <c r="J141" s="837"/>
      <c r="K141" s="837"/>
      <c r="L141" s="837"/>
      <c r="M141" s="837"/>
      <c r="P141" s="459"/>
      <c r="Q141" s="479" t="s">
        <v>3308</v>
      </c>
      <c r="R141" s="950">
        <f>SUM(R128:S140)</f>
        <v>1</v>
      </c>
      <c r="S141" s="951"/>
    </row>
    <row r="142" spans="1:19" s="834" customFormat="1" ht="12" customHeight="1">
      <c r="G142" s="461"/>
      <c r="H142" s="461"/>
      <c r="I142" s="461"/>
      <c r="J142" s="837"/>
      <c r="K142" s="837"/>
      <c r="L142" s="837"/>
      <c r="M142" s="837"/>
      <c r="P142" s="459"/>
      <c r="R142" s="450"/>
      <c r="S142" s="506"/>
    </row>
    <row r="143" spans="1:19" ht="12" customHeight="1">
      <c r="A143" s="481" t="s">
        <v>1420</v>
      </c>
      <c r="B143" s="497"/>
      <c r="C143" s="481" t="s">
        <v>3248</v>
      </c>
      <c r="N143" s="481" t="s">
        <v>3298</v>
      </c>
      <c r="O143" s="481" t="s">
        <v>4046</v>
      </c>
    </row>
    <row r="144" spans="1:19" ht="3.6" customHeight="1">
      <c r="B144" s="497"/>
    </row>
    <row r="145" spans="1:24" ht="42.6" customHeight="1">
      <c r="A145" s="1355" t="s">
        <v>4116</v>
      </c>
      <c r="B145" s="1356"/>
      <c r="C145" s="1356"/>
      <c r="D145" s="1356"/>
      <c r="E145" s="1356"/>
      <c r="F145" s="1356"/>
      <c r="G145" s="1356"/>
      <c r="H145" s="1356"/>
      <c r="I145" s="1356"/>
      <c r="J145" s="1356"/>
      <c r="K145" s="1356"/>
      <c r="L145" s="1356"/>
      <c r="M145" s="1357"/>
      <c r="N145" s="1358"/>
      <c r="O145" s="1359"/>
      <c r="P145" s="1359"/>
      <c r="Q145" s="1359"/>
      <c r="R145" s="1359"/>
      <c r="S145" s="1360"/>
      <c r="T145" s="886" t="s">
        <v>121</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5"/>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5" t="s">
        <v>1425</v>
      </c>
    </row>
    <row r="151" spans="1:24" s="449" customFormat="1" ht="12" customHeight="1">
      <c r="A151" s="499"/>
      <c r="B151" s="472"/>
      <c r="C151" s="472"/>
      <c r="D151" s="472"/>
      <c r="E151" s="472"/>
      <c r="F151" s="472"/>
      <c r="G151" s="472"/>
      <c r="H151" s="472"/>
      <c r="I151" s="472"/>
      <c r="J151" s="472"/>
      <c r="K151" s="472"/>
      <c r="L151" s="472"/>
      <c r="M151" s="472"/>
      <c r="N151" s="472"/>
      <c r="O151" s="472"/>
      <c r="P151" s="498" t="s">
        <v>2713</v>
      </c>
    </row>
    <row r="152" spans="1:24" s="449" customFormat="1" ht="12" customHeight="1">
      <c r="A152" s="499"/>
      <c r="B152" s="472"/>
      <c r="C152" s="472"/>
      <c r="D152" s="472"/>
      <c r="E152" s="472"/>
      <c r="F152" s="472"/>
      <c r="G152" s="472"/>
      <c r="H152" s="472"/>
      <c r="I152" s="472"/>
      <c r="J152" s="472"/>
      <c r="K152" s="472"/>
      <c r="L152" s="472"/>
      <c r="M152" s="472"/>
      <c r="N152" s="472"/>
      <c r="O152" s="472"/>
      <c r="P152" s="498" t="s">
        <v>2714</v>
      </c>
    </row>
    <row r="153" spans="1:24" s="449" customFormat="1" ht="12" customHeight="1">
      <c r="A153" s="499"/>
      <c r="B153" s="472"/>
      <c r="C153" s="472"/>
      <c r="D153" s="472"/>
      <c r="E153" s="472"/>
      <c r="F153" s="472"/>
      <c r="G153" s="472"/>
      <c r="H153" s="472"/>
      <c r="I153" s="472"/>
      <c r="J153" s="472"/>
      <c r="K153" s="472"/>
      <c r="L153" s="472"/>
      <c r="M153" s="472"/>
      <c r="N153" s="472"/>
      <c r="O153" s="472"/>
      <c r="P153" s="498" t="s">
        <v>2715</v>
      </c>
    </row>
    <row r="154" spans="1:24" s="449" customFormat="1" ht="12" customHeight="1">
      <c r="A154" s="845"/>
      <c r="B154" s="472"/>
      <c r="C154" s="472"/>
      <c r="D154" s="472"/>
      <c r="E154" s="472"/>
      <c r="F154" s="472"/>
      <c r="G154" s="472"/>
      <c r="H154" s="472"/>
      <c r="I154" s="472"/>
      <c r="J154" s="472"/>
      <c r="K154" s="472"/>
      <c r="L154" s="472"/>
      <c r="M154" s="472"/>
      <c r="N154" s="472"/>
      <c r="O154" s="472"/>
      <c r="P154" s="498" t="s">
        <v>2716</v>
      </c>
    </row>
    <row r="155" spans="1:24" s="449" customFormat="1" ht="12" customHeight="1">
      <c r="B155" s="472"/>
      <c r="C155" s="472"/>
      <c r="D155" s="472"/>
      <c r="E155" s="472"/>
      <c r="F155" s="472"/>
      <c r="G155" s="472"/>
      <c r="H155" s="472"/>
      <c r="I155" s="472"/>
      <c r="J155" s="472"/>
      <c r="K155" s="472"/>
      <c r="L155" s="472"/>
      <c r="M155" s="472"/>
      <c r="N155" s="472"/>
      <c r="O155" s="472"/>
      <c r="P155" s="498" t="s">
        <v>2717</v>
      </c>
    </row>
    <row r="156" spans="1:24" s="449" customFormat="1" ht="12" customHeight="1">
      <c r="B156" s="472"/>
      <c r="C156" s="472"/>
      <c r="D156" s="472"/>
      <c r="E156" s="472"/>
      <c r="F156" s="472"/>
      <c r="G156" s="472"/>
      <c r="H156" s="472"/>
      <c r="I156" s="472"/>
      <c r="J156" s="472"/>
      <c r="K156" s="472"/>
      <c r="L156" s="472"/>
      <c r="M156" s="472"/>
      <c r="N156" s="472"/>
      <c r="O156" s="472"/>
      <c r="P156" s="498" t="s">
        <v>2718</v>
      </c>
    </row>
    <row r="157" spans="1:24" s="449" customFormat="1" ht="12" customHeight="1">
      <c r="B157" s="472"/>
      <c r="C157" s="472"/>
      <c r="D157" s="472"/>
      <c r="E157" s="472"/>
      <c r="F157" s="472"/>
      <c r="G157" s="472"/>
      <c r="H157" s="472"/>
      <c r="I157" s="472"/>
      <c r="J157" s="472"/>
      <c r="K157" s="472"/>
      <c r="L157" s="472"/>
      <c r="M157" s="472"/>
      <c r="N157" s="472"/>
      <c r="O157" s="472"/>
      <c r="P157" s="498" t="s">
        <v>2719</v>
      </c>
    </row>
    <row r="158" spans="1:24" s="449" customFormat="1" ht="12" customHeight="1">
      <c r="B158" s="472"/>
      <c r="C158" s="472"/>
      <c r="D158" s="472"/>
      <c r="E158" s="472"/>
      <c r="F158" s="472"/>
      <c r="G158" s="472"/>
      <c r="H158" s="472"/>
      <c r="I158" s="472"/>
      <c r="J158" s="472"/>
      <c r="K158" s="472"/>
      <c r="L158" s="472"/>
      <c r="M158" s="472"/>
      <c r="N158" s="472"/>
      <c r="O158" s="472"/>
      <c r="P158" s="498" t="s">
        <v>2720</v>
      </c>
    </row>
    <row r="159" spans="1:24" ht="12" customHeight="1">
      <c r="P159" s="498" t="s">
        <v>2721</v>
      </c>
    </row>
    <row r="160" spans="1:24" ht="12" customHeight="1">
      <c r="A160" s="481"/>
      <c r="P160" s="498" t="s">
        <v>2722</v>
      </c>
    </row>
    <row r="161" spans="16:16" ht="12" customHeight="1">
      <c r="P161" s="498" t="s">
        <v>2723</v>
      </c>
    </row>
    <row r="162" spans="16:16" ht="12" customHeight="1">
      <c r="P162" s="498" t="s">
        <v>2724</v>
      </c>
    </row>
    <row r="163" spans="16:16" ht="12" customHeight="1">
      <c r="P163" s="498" t="s">
        <v>2725</v>
      </c>
    </row>
    <row r="164" spans="16:16" ht="12" customHeight="1">
      <c r="P164" s="498" t="s">
        <v>2726</v>
      </c>
    </row>
    <row r="165" spans="16:16" ht="12" customHeight="1">
      <c r="P165" s="498" t="s">
        <v>2727</v>
      </c>
    </row>
    <row r="166" spans="16:16" ht="12" customHeight="1">
      <c r="P166" s="498" t="s">
        <v>2728</v>
      </c>
    </row>
    <row r="167" spans="16:16" ht="12" customHeight="1">
      <c r="P167" s="498" t="s">
        <v>2729</v>
      </c>
    </row>
    <row r="168" spans="16:16" ht="12" customHeight="1">
      <c r="P168" s="498" t="s">
        <v>2730</v>
      </c>
    </row>
    <row r="169" spans="16:16" ht="12" customHeight="1">
      <c r="P169" s="498" t="s">
        <v>2731</v>
      </c>
    </row>
    <row r="170" spans="16:16" ht="12" customHeight="1">
      <c r="P170" s="498" t="s">
        <v>2732</v>
      </c>
    </row>
    <row r="171" spans="16:16" ht="12" customHeight="1">
      <c r="P171" s="498" t="s">
        <v>2733</v>
      </c>
    </row>
    <row r="172" spans="16:16" ht="12" customHeight="1">
      <c r="P172" s="498" t="s">
        <v>2734</v>
      </c>
    </row>
    <row r="173" spans="16:16" ht="12" customHeight="1">
      <c r="P173" s="498" t="s">
        <v>2735</v>
      </c>
    </row>
    <row r="174" spans="16:16" ht="12" customHeight="1">
      <c r="P174" s="498" t="s">
        <v>2736</v>
      </c>
    </row>
    <row r="175" spans="16:16" ht="12" customHeight="1">
      <c r="P175" s="498" t="s">
        <v>2737</v>
      </c>
    </row>
    <row r="176" spans="16:16" ht="12" customHeight="1">
      <c r="P176" s="498" t="s">
        <v>2173</v>
      </c>
    </row>
    <row r="177" spans="16:16" ht="12" customHeight="1">
      <c r="P177" s="498" t="s">
        <v>2174</v>
      </c>
    </row>
    <row r="178" spans="16:16" ht="12" customHeight="1">
      <c r="P178" s="498" t="s">
        <v>2175</v>
      </c>
    </row>
    <row r="179" spans="16:16" ht="12" customHeight="1">
      <c r="P179" s="498" t="s">
        <v>2176</v>
      </c>
    </row>
    <row r="180" spans="16:16" ht="12" customHeight="1">
      <c r="P180" s="498" t="s">
        <v>2177</v>
      </c>
    </row>
    <row r="181" spans="16:16" ht="13.5">
      <c r="P181" s="498" t="s">
        <v>2178</v>
      </c>
    </row>
    <row r="182" spans="16:16" ht="12" customHeight="1">
      <c r="P182" s="498" t="s">
        <v>2179</v>
      </c>
    </row>
    <row r="183" spans="16:16" ht="12" customHeight="1">
      <c r="P183" s="498" t="s">
        <v>2180</v>
      </c>
    </row>
    <row r="184" spans="16:16" ht="12" customHeight="1">
      <c r="P184" s="498" t="s">
        <v>2181</v>
      </c>
    </row>
    <row r="185" spans="16:16" ht="12" customHeight="1">
      <c r="P185" s="498" t="s">
        <v>2182</v>
      </c>
    </row>
    <row r="186" spans="16:16" ht="12" customHeight="1">
      <c r="P186" s="498" t="s">
        <v>2183</v>
      </c>
    </row>
    <row r="187" spans="16:16" ht="12" customHeight="1">
      <c r="P187" s="498" t="s">
        <v>2184</v>
      </c>
    </row>
    <row r="188" spans="16:16" ht="12" customHeight="1">
      <c r="P188" s="498" t="s">
        <v>2185</v>
      </c>
    </row>
    <row r="189" spans="16:16" ht="12" customHeight="1">
      <c r="P189" s="498" t="s">
        <v>2186</v>
      </c>
    </row>
    <row r="190" spans="16:16" ht="12" customHeight="1">
      <c r="P190" s="498" t="s">
        <v>2187</v>
      </c>
    </row>
    <row r="191" spans="16:16" ht="12" customHeight="1">
      <c r="P191" s="498" t="s">
        <v>2188</v>
      </c>
    </row>
    <row r="192" spans="16:16" ht="12" customHeight="1">
      <c r="P192" s="498" t="s">
        <v>2189</v>
      </c>
    </row>
    <row r="193" spans="16:16" ht="12" customHeight="1">
      <c r="P193" s="498" t="s">
        <v>2190</v>
      </c>
    </row>
    <row r="194" spans="16:16" ht="12" customHeight="1">
      <c r="P194" s="498" t="s">
        <v>2191</v>
      </c>
    </row>
    <row r="195" spans="16:16" ht="12" customHeight="1">
      <c r="P195" s="498" t="s">
        <v>2192</v>
      </c>
    </row>
    <row r="196" spans="16:16" ht="12" customHeight="1">
      <c r="P196" s="498" t="s">
        <v>2193</v>
      </c>
    </row>
    <row r="197" spans="16:16" ht="12" customHeight="1">
      <c r="P197" s="498" t="s">
        <v>2194</v>
      </c>
    </row>
    <row r="198" spans="16:16" ht="12" customHeight="1">
      <c r="P198" s="498" t="s">
        <v>2195</v>
      </c>
    </row>
    <row r="199" spans="16:16" ht="12" customHeight="1">
      <c r="P199" s="498" t="s">
        <v>2196</v>
      </c>
    </row>
    <row r="200" spans="16:16" ht="12" customHeight="1">
      <c r="P200" s="498" t="s">
        <v>2197</v>
      </c>
    </row>
    <row r="201" spans="16:16" ht="12" customHeight="1">
      <c r="P201" s="498" t="s">
        <v>2198</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 ref="O9" r:id="rId3"/>
    <hyperlink ref="O20" r:id="rId4"/>
    <hyperlink ref="O26" r:id="rId5"/>
    <hyperlink ref="O40" r:id="rId6"/>
    <hyperlink ref="O46" r:id="rId7"/>
    <hyperlink ref="O54" r:id="rId8"/>
  </hyperlinks>
  <printOptions horizontalCentered="1"/>
  <pageMargins left="0.5" right="0.5" top="0.75" bottom="0.5" header="0.5" footer="0.25"/>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8"/>
  <sheetViews>
    <sheetView showGridLines="0" zoomScaleSheetLayoutView="90" workbookViewId="0">
      <selection sqref="A1:XFD1048576"/>
    </sheetView>
  </sheetViews>
  <sheetFormatPr defaultColWidth="9.140625" defaultRowHeight="13.5"/>
  <cols>
    <col min="1" max="1" width="4.28515625" style="507" customWidth="1"/>
    <col min="2" max="17" width="7.7109375" style="507" customWidth="1"/>
    <col min="18" max="18" width="3.28515625" style="507" customWidth="1"/>
    <col min="19" max="19" width="13.42578125" style="507" customWidth="1"/>
    <col min="20" max="20" width="98.7109375" style="507" customWidth="1"/>
    <col min="21" max="16384" width="9.140625" style="507"/>
  </cols>
  <sheetData>
    <row r="1" spans="1:20" s="397" customFormat="1" ht="14.1" customHeight="1">
      <c r="A1" s="915" t="str">
        <f>CONCATENATE("PART THREE - SOURCES OF FUNDS","  -  ",'Part I-Project Information'!$O$4," ",'Part I-Project Information'!$F$22,", ",'Part I-Project Information'!$F$24,", ",'Part I-Project Information'!$J$25," County")</f>
        <v>PART THREE - SOURCES OF FUNDS  -  2012-042 Adair Court, Atlanta, Fulton County</v>
      </c>
      <c r="B1" s="916"/>
      <c r="C1" s="916"/>
      <c r="D1" s="916"/>
      <c r="E1" s="916"/>
      <c r="F1" s="916"/>
      <c r="G1" s="916"/>
      <c r="H1" s="916"/>
      <c r="I1" s="916"/>
      <c r="J1" s="916"/>
      <c r="K1" s="916"/>
      <c r="L1" s="916"/>
      <c r="M1" s="916"/>
      <c r="N1" s="916"/>
      <c r="O1" s="916"/>
      <c r="P1" s="916"/>
      <c r="Q1" s="917"/>
      <c r="S1" s="988" t="str">
        <f>$A$1</f>
        <v>PART THREE - SOURCES OF FUNDS  -  2012-042 Adair Court, Atlanta, Fulton County</v>
      </c>
      <c r="T1" s="988"/>
    </row>
    <row r="2" spans="1:20" ht="17.45" customHeight="1">
      <c r="A2" s="472"/>
      <c r="B2" s="472"/>
      <c r="C2" s="472"/>
      <c r="D2" s="472"/>
      <c r="E2" s="472"/>
      <c r="F2" s="472"/>
      <c r="G2" s="472"/>
      <c r="H2" s="472"/>
      <c r="I2" s="472"/>
      <c r="J2" s="472"/>
      <c r="N2" s="472"/>
      <c r="O2" s="472"/>
      <c r="P2" s="472"/>
      <c r="Q2" s="472"/>
    </row>
    <row r="3" spans="1:20" s="397" customFormat="1" ht="13.35" customHeight="1">
      <c r="A3" s="452" t="s">
        <v>3133</v>
      </c>
      <c r="B3" s="475" t="s">
        <v>568</v>
      </c>
      <c r="C3" s="449"/>
      <c r="D3" s="834"/>
      <c r="E3" s="834"/>
      <c r="F3" s="834"/>
      <c r="G3" s="834"/>
      <c r="H3" s="834"/>
      <c r="I3" s="449"/>
      <c r="J3" s="449"/>
      <c r="K3" s="449"/>
      <c r="L3" s="449"/>
      <c r="M3" s="449"/>
      <c r="S3" s="508" t="str">
        <f>B3</f>
        <v>GOVERNMENT FUNDING SOURCES  (check all that apply)</v>
      </c>
    </row>
    <row r="4" spans="1:20" s="397" customFormat="1" ht="14.1" customHeight="1">
      <c r="A4" s="481"/>
      <c r="B4" s="845"/>
      <c r="C4" s="475"/>
      <c r="D4" s="834"/>
      <c r="E4" s="834"/>
      <c r="F4" s="834"/>
      <c r="G4" s="834"/>
      <c r="I4" s="449"/>
      <c r="J4" s="449"/>
      <c r="K4" s="449"/>
      <c r="L4" s="449"/>
      <c r="M4" s="449"/>
      <c r="S4" s="976" t="s">
        <v>197</v>
      </c>
      <c r="T4" s="976"/>
    </row>
    <row r="5" spans="1:20" s="397" customFormat="1" ht="17.100000000000001" customHeight="1">
      <c r="A5" s="845"/>
      <c r="B5" s="1300" t="s">
        <v>63</v>
      </c>
      <c r="C5" s="828" t="s">
        <v>692</v>
      </c>
      <c r="D5" s="449"/>
      <c r="E5" s="1300"/>
      <c r="F5" s="830" t="s">
        <v>1536</v>
      </c>
      <c r="G5" s="449"/>
      <c r="J5" s="1406"/>
      <c r="K5" s="1407"/>
      <c r="M5" s="1300"/>
      <c r="N5" s="828" t="s">
        <v>3319</v>
      </c>
      <c r="P5" s="1300"/>
      <c r="Q5" s="990" t="s">
        <v>437</v>
      </c>
      <c r="S5" s="1408"/>
      <c r="T5" s="1409"/>
    </row>
    <row r="6" spans="1:20" s="397" customFormat="1" ht="17.100000000000001" customHeight="1">
      <c r="A6" s="845"/>
      <c r="B6" s="1300"/>
      <c r="C6" s="828" t="s">
        <v>1430</v>
      </c>
      <c r="D6" s="449"/>
      <c r="E6" s="1300"/>
      <c r="F6" s="830" t="s">
        <v>1051</v>
      </c>
      <c r="H6" s="1300" t="s">
        <v>63</v>
      </c>
      <c r="I6" s="834" t="s">
        <v>3320</v>
      </c>
      <c r="J6" s="1300"/>
      <c r="K6" s="834" t="s">
        <v>1939</v>
      </c>
      <c r="M6" s="1300"/>
      <c r="N6" s="830" t="s">
        <v>3318</v>
      </c>
      <c r="Q6" s="990"/>
      <c r="S6" s="1410"/>
      <c r="T6" s="1411"/>
    </row>
    <row r="7" spans="1:20" s="397" customFormat="1" ht="17.100000000000001" customHeight="1">
      <c r="A7" s="449"/>
      <c r="B7" s="1300"/>
      <c r="C7" s="828" t="s">
        <v>1431</v>
      </c>
      <c r="E7" s="1300"/>
      <c r="F7" s="830" t="s">
        <v>916</v>
      </c>
      <c r="G7" s="449"/>
      <c r="H7" s="1300"/>
      <c r="I7" s="989" t="s">
        <v>435</v>
      </c>
      <c r="J7" s="1300"/>
      <c r="K7" s="990" t="s">
        <v>434</v>
      </c>
      <c r="L7" s="991"/>
      <c r="M7" s="1300"/>
      <c r="N7" s="455" t="s">
        <v>436</v>
      </c>
      <c r="Q7" s="992"/>
      <c r="S7" s="1410"/>
      <c r="T7" s="1411"/>
    </row>
    <row r="8" spans="1:20" s="397" customFormat="1" ht="17.100000000000001" customHeight="1">
      <c r="A8" s="845"/>
      <c r="B8" s="1300"/>
      <c r="C8" s="834" t="s">
        <v>503</v>
      </c>
      <c r="D8" s="449"/>
      <c r="E8" s="1300"/>
      <c r="F8" s="477" t="s">
        <v>504</v>
      </c>
      <c r="I8" s="989"/>
      <c r="K8" s="990"/>
      <c r="L8" s="991"/>
      <c r="M8" s="1300" t="s">
        <v>63</v>
      </c>
      <c r="N8" s="1286" t="s">
        <v>4020</v>
      </c>
      <c r="O8" s="1287"/>
      <c r="P8" s="1287"/>
      <c r="Q8" s="1288"/>
      <c r="S8" s="1412"/>
      <c r="T8" s="1413"/>
    </row>
    <row r="9" spans="1:20" s="397" customFormat="1" ht="17.100000000000001" customHeight="1">
      <c r="A9" s="845"/>
      <c r="B9" s="397" t="s">
        <v>3772</v>
      </c>
      <c r="C9" s="449"/>
      <c r="D9" s="449"/>
      <c r="E9" s="449"/>
      <c r="F9" s="449"/>
      <c r="G9" s="449"/>
      <c r="H9" s="449"/>
      <c r="I9" s="449"/>
      <c r="J9" s="449"/>
      <c r="K9" s="449"/>
      <c r="L9" s="449"/>
      <c r="M9" s="477"/>
      <c r="N9" s="449"/>
      <c r="O9" s="449"/>
      <c r="P9" s="449"/>
      <c r="Q9" s="449"/>
    </row>
    <row r="10" spans="1:20" s="397" customFormat="1" ht="17.45" customHeight="1">
      <c r="A10" s="845"/>
      <c r="L10" s="449"/>
      <c r="M10" s="477"/>
      <c r="N10" s="449"/>
      <c r="O10" s="449"/>
      <c r="P10" s="449"/>
      <c r="Q10" s="449"/>
    </row>
    <row r="11" spans="1:20" s="508" customFormat="1" ht="15" customHeight="1">
      <c r="A11" s="452" t="s">
        <v>2832</v>
      </c>
      <c r="B11" s="394" t="s">
        <v>880</v>
      </c>
      <c r="C11" s="449"/>
      <c r="D11" s="834"/>
      <c r="E11" s="449"/>
      <c r="F11" s="449"/>
      <c r="G11" s="449"/>
      <c r="H11" s="397"/>
      <c r="I11" s="397"/>
      <c r="J11" s="452"/>
      <c r="K11" s="449"/>
      <c r="L11" s="449"/>
      <c r="M11" s="834"/>
      <c r="N11" s="910"/>
      <c r="O11" s="910"/>
      <c r="P11" s="449"/>
      <c r="Q11" s="449"/>
      <c r="S11" s="508" t="str">
        <f>B11</f>
        <v>CONSTRUCTION FINANCING</v>
      </c>
    </row>
    <row r="12" spans="1:20" s="508" customFormat="1" ht="14.1" customHeight="1">
      <c r="A12" s="452"/>
      <c r="B12" s="394"/>
      <c r="C12" s="449"/>
      <c r="K12" s="449"/>
      <c r="L12" s="449"/>
      <c r="M12" s="834"/>
      <c r="N12" s="829"/>
      <c r="O12" s="829"/>
      <c r="P12" s="449"/>
      <c r="Q12" s="449"/>
    </row>
    <row r="13" spans="1:20" s="397" customFormat="1" ht="17.100000000000001" customHeight="1">
      <c r="A13" s="449"/>
      <c r="B13" s="828" t="s">
        <v>1285</v>
      </c>
      <c r="C13" s="449"/>
      <c r="D13" s="449"/>
      <c r="E13" s="449"/>
      <c r="F13" s="449"/>
      <c r="G13" s="449"/>
      <c r="H13" s="964" t="s">
        <v>2128</v>
      </c>
      <c r="I13" s="964"/>
      <c r="J13" s="964"/>
      <c r="K13" s="964"/>
      <c r="L13" s="896" t="s">
        <v>1158</v>
      </c>
      <c r="M13" s="896"/>
      <c r="N13" s="896" t="s">
        <v>2023</v>
      </c>
      <c r="O13" s="896"/>
      <c r="P13" s="896" t="s">
        <v>1703</v>
      </c>
      <c r="Q13" s="896"/>
      <c r="S13" s="976" t="s">
        <v>197</v>
      </c>
      <c r="T13" s="976"/>
    </row>
    <row r="14" spans="1:20" s="397" customFormat="1" ht="17.100000000000001" customHeight="1">
      <c r="A14" s="449"/>
      <c r="B14" s="959" t="s">
        <v>1862</v>
      </c>
      <c r="C14" s="960"/>
      <c r="D14" s="960"/>
      <c r="E14" s="836"/>
      <c r="F14" s="836"/>
      <c r="G14" s="836"/>
      <c r="H14" s="1286" t="s">
        <v>43</v>
      </c>
      <c r="I14" s="1287"/>
      <c r="J14" s="1287"/>
      <c r="K14" s="1288"/>
      <c r="L14" s="1414">
        <v>8600000</v>
      </c>
      <c r="M14" s="1415"/>
      <c r="N14" s="1416">
        <v>5.2499999999999998E-2</v>
      </c>
      <c r="O14" s="1417"/>
      <c r="P14" s="1418">
        <v>12</v>
      </c>
      <c r="Q14" s="1419"/>
      <c r="S14" s="1408"/>
      <c r="T14" s="1409"/>
    </row>
    <row r="15" spans="1:20" s="397" customFormat="1" ht="17.100000000000001" customHeight="1">
      <c r="A15" s="449"/>
      <c r="B15" s="957" t="s">
        <v>1863</v>
      </c>
      <c r="C15" s="958"/>
      <c r="D15" s="958"/>
      <c r="E15" s="834"/>
      <c r="F15" s="834"/>
      <c r="G15" s="834"/>
      <c r="H15" s="1286"/>
      <c r="I15" s="1287"/>
      <c r="J15" s="1287"/>
      <c r="K15" s="1288"/>
      <c r="L15" s="1414"/>
      <c r="M15" s="1415"/>
      <c r="N15" s="1416"/>
      <c r="O15" s="1417"/>
      <c r="P15" s="1420"/>
      <c r="Q15" s="1421"/>
      <c r="S15" s="1410"/>
      <c r="T15" s="1411"/>
    </row>
    <row r="16" spans="1:20" s="397" customFormat="1" ht="17.100000000000001" customHeight="1">
      <c r="A16" s="449"/>
      <c r="B16" s="985" t="s">
        <v>1864</v>
      </c>
      <c r="C16" s="986"/>
      <c r="D16" s="986"/>
      <c r="E16" s="839"/>
      <c r="F16" s="839"/>
      <c r="G16" s="839"/>
      <c r="H16" s="1286"/>
      <c r="I16" s="1287"/>
      <c r="J16" s="1287"/>
      <c r="K16" s="1288"/>
      <c r="L16" s="1414"/>
      <c r="M16" s="1415"/>
      <c r="N16" s="1416"/>
      <c r="O16" s="1417"/>
      <c r="P16" s="1420"/>
      <c r="Q16" s="1421"/>
      <c r="S16" s="1410"/>
      <c r="T16" s="1411"/>
    </row>
    <row r="17" spans="1:20" s="397" customFormat="1" ht="17.100000000000001" customHeight="1">
      <c r="A17" s="449"/>
      <c r="B17" s="959" t="s">
        <v>946</v>
      </c>
      <c r="C17" s="960"/>
      <c r="D17" s="960"/>
      <c r="E17" s="834"/>
      <c r="F17" s="834"/>
      <c r="G17" s="834"/>
      <c r="H17" s="1286"/>
      <c r="I17" s="1287"/>
      <c r="J17" s="1287"/>
      <c r="K17" s="1288"/>
      <c r="L17" s="1414"/>
      <c r="M17" s="1415"/>
      <c r="N17" s="970"/>
      <c r="O17" s="971"/>
      <c r="P17" s="969"/>
      <c r="Q17" s="969"/>
      <c r="S17" s="1410"/>
      <c r="T17" s="1411"/>
    </row>
    <row r="18" spans="1:20" s="397" customFormat="1" ht="17.100000000000001" customHeight="1">
      <c r="A18" s="449"/>
      <c r="B18" s="957" t="s">
        <v>2688</v>
      </c>
      <c r="C18" s="958"/>
      <c r="D18" s="958"/>
      <c r="E18" s="834"/>
      <c r="H18" s="1286"/>
      <c r="I18" s="1287"/>
      <c r="J18" s="1287"/>
      <c r="K18" s="1288"/>
      <c r="L18" s="1414"/>
      <c r="M18" s="1415"/>
      <c r="N18" s="970"/>
      <c r="O18" s="971"/>
      <c r="P18" s="969"/>
      <c r="Q18" s="969"/>
      <c r="S18" s="1410"/>
      <c r="T18" s="1411"/>
    </row>
    <row r="19" spans="1:20" s="397" customFormat="1" ht="17.100000000000001" customHeight="1">
      <c r="A19" s="449"/>
      <c r="B19" s="957" t="s">
        <v>3238</v>
      </c>
      <c r="C19" s="958"/>
      <c r="D19" s="958"/>
      <c r="E19" s="834"/>
      <c r="H19" s="1286" t="s">
        <v>46</v>
      </c>
      <c r="I19" s="1287"/>
      <c r="J19" s="1287"/>
      <c r="K19" s="1288"/>
      <c r="L19" s="1414">
        <v>567363</v>
      </c>
      <c r="M19" s="1415"/>
      <c r="N19" s="970"/>
      <c r="O19" s="971"/>
      <c r="P19" s="969"/>
      <c r="Q19" s="969"/>
      <c r="S19" s="1410"/>
      <c r="T19" s="1411"/>
    </row>
    <row r="20" spans="1:20" s="397" customFormat="1" ht="17.100000000000001" customHeight="1">
      <c r="A20" s="449"/>
      <c r="B20" s="957" t="s">
        <v>2689</v>
      </c>
      <c r="C20" s="958"/>
      <c r="D20" s="958"/>
      <c r="E20" s="834"/>
      <c r="H20" s="1286" t="s">
        <v>44</v>
      </c>
      <c r="I20" s="1287"/>
      <c r="J20" s="1287"/>
      <c r="K20" s="1288"/>
      <c r="L20" s="1414">
        <v>1731266.8</v>
      </c>
      <c r="M20" s="1415"/>
      <c r="N20" s="449"/>
      <c r="O20" s="449"/>
      <c r="P20" s="449"/>
      <c r="Q20" s="449"/>
      <c r="S20" s="1412"/>
      <c r="T20" s="1413"/>
    </row>
    <row r="21" spans="1:20" s="397" customFormat="1" ht="17.100000000000001" customHeight="1">
      <c r="A21" s="449"/>
      <c r="B21" s="957" t="s">
        <v>2690</v>
      </c>
      <c r="C21" s="958"/>
      <c r="D21" s="958"/>
      <c r="E21" s="834"/>
      <c r="H21" s="1286" t="s">
        <v>44</v>
      </c>
      <c r="I21" s="1287"/>
      <c r="J21" s="1287"/>
      <c r="K21" s="1288"/>
      <c r="L21" s="1414">
        <v>489320</v>
      </c>
      <c r="M21" s="1415"/>
      <c r="N21" s="449"/>
      <c r="O21" s="449"/>
      <c r="P21" s="449"/>
      <c r="Q21" s="449"/>
      <c r="S21" s="1408"/>
      <c r="T21" s="1409"/>
    </row>
    <row r="22" spans="1:20" s="397" customFormat="1" ht="17.100000000000001" customHeight="1">
      <c r="A22" s="449"/>
      <c r="B22" s="833" t="s">
        <v>3771</v>
      </c>
      <c r="C22" s="834"/>
      <c r="D22" s="1422"/>
      <c r="E22" s="1422"/>
      <c r="F22" s="1422"/>
      <c r="G22" s="1422"/>
      <c r="H22" s="1286"/>
      <c r="I22" s="1287"/>
      <c r="J22" s="1287"/>
      <c r="K22" s="1288"/>
      <c r="L22" s="1414"/>
      <c r="M22" s="1415"/>
      <c r="N22" s="449"/>
      <c r="O22" s="449"/>
      <c r="P22" s="449"/>
      <c r="Q22" s="449"/>
      <c r="S22" s="1410"/>
      <c r="T22" s="1411"/>
    </row>
    <row r="23" spans="1:20" s="397" customFormat="1" ht="17.100000000000001" customHeight="1">
      <c r="A23" s="449"/>
      <c r="B23" s="833" t="s">
        <v>3771</v>
      </c>
      <c r="C23" s="834"/>
      <c r="D23" s="1422"/>
      <c r="E23" s="1422"/>
      <c r="F23" s="1422"/>
      <c r="G23" s="1422"/>
      <c r="H23" s="1286"/>
      <c r="I23" s="1287"/>
      <c r="J23" s="1287"/>
      <c r="K23" s="1288"/>
      <c r="L23" s="1414"/>
      <c r="M23" s="1415"/>
      <c r="N23" s="449"/>
      <c r="O23" s="449"/>
      <c r="P23" s="449"/>
      <c r="Q23" s="449"/>
      <c r="S23" s="1410"/>
      <c r="T23" s="1411"/>
    </row>
    <row r="24" spans="1:20" s="397" customFormat="1" ht="17.100000000000001" customHeight="1">
      <c r="A24" s="449"/>
      <c r="B24" s="838" t="s">
        <v>3771</v>
      </c>
      <c r="C24" s="839"/>
      <c r="D24" s="1422"/>
      <c r="E24" s="1422"/>
      <c r="F24" s="1422"/>
      <c r="G24" s="1422"/>
      <c r="H24" s="1286"/>
      <c r="I24" s="1287"/>
      <c r="J24" s="1287"/>
      <c r="K24" s="1288"/>
      <c r="L24" s="1414"/>
      <c r="M24" s="1415"/>
      <c r="N24" s="449"/>
      <c r="O24" s="449"/>
      <c r="P24" s="449"/>
      <c r="Q24" s="449"/>
      <c r="S24" s="1410"/>
      <c r="T24" s="1411"/>
    </row>
    <row r="25" spans="1:20" s="397" customFormat="1" ht="17.100000000000001" customHeight="1">
      <c r="A25" s="449"/>
      <c r="B25" s="394" t="s">
        <v>2129</v>
      </c>
      <c r="C25" s="449"/>
      <c r="D25" s="449"/>
      <c r="E25" s="449"/>
      <c r="F25" s="449"/>
      <c r="G25" s="449"/>
      <c r="H25" s="449"/>
      <c r="I25" s="449"/>
      <c r="L25" s="972">
        <f>SUM(L14:L24)</f>
        <v>11387949.800000001</v>
      </c>
      <c r="M25" s="973"/>
      <c r="N25" s="472"/>
      <c r="O25" s="472"/>
      <c r="P25" s="472"/>
      <c r="Q25" s="472"/>
      <c r="S25" s="1410"/>
      <c r="T25" s="1411"/>
    </row>
    <row r="26" spans="1:20" s="397" customFormat="1" ht="17.100000000000001" customHeight="1">
      <c r="A26" s="449"/>
      <c r="B26" s="828" t="s">
        <v>2130</v>
      </c>
      <c r="C26" s="449"/>
      <c r="D26" s="449"/>
      <c r="E26" s="449"/>
      <c r="F26" s="449"/>
      <c r="G26" s="449"/>
      <c r="H26" s="449"/>
      <c r="I26" s="449"/>
      <c r="L26" s="142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11387949.5</v>
      </c>
      <c r="M26" s="1424"/>
      <c r="N26" s="967"/>
      <c r="O26" s="968"/>
      <c r="P26" s="968"/>
      <c r="Q26" s="968"/>
      <c r="S26" s="1410"/>
      <c r="T26" s="1411"/>
    </row>
    <row r="27" spans="1:20" s="397" customFormat="1" ht="17.100000000000001" customHeight="1">
      <c r="A27" s="449"/>
      <c r="B27" s="455" t="s">
        <v>1105</v>
      </c>
      <c r="C27" s="449"/>
      <c r="D27" s="449"/>
      <c r="E27" s="449"/>
      <c r="F27" s="449"/>
      <c r="G27" s="449"/>
      <c r="H27" s="449"/>
      <c r="I27" s="449"/>
      <c r="L27" s="974">
        <f>L25-L26</f>
        <v>0.30000000074505806</v>
      </c>
      <c r="M27" s="975"/>
      <c r="N27" s="967"/>
      <c r="O27" s="968"/>
      <c r="P27" s="968"/>
      <c r="Q27" s="968"/>
      <c r="S27" s="1412"/>
      <c r="T27" s="1413"/>
    </row>
    <row r="28" spans="1:20" ht="9.6" customHeight="1">
      <c r="A28" s="481"/>
      <c r="B28" s="394"/>
      <c r="C28" s="472"/>
      <c r="D28" s="472"/>
      <c r="E28" s="472"/>
      <c r="F28" s="472"/>
      <c r="G28" s="472"/>
      <c r="H28" s="472"/>
      <c r="I28" s="472"/>
      <c r="J28" s="472"/>
      <c r="K28" s="472"/>
      <c r="L28" s="472"/>
      <c r="M28" s="837"/>
      <c r="N28" s="837"/>
      <c r="O28" s="472"/>
      <c r="P28" s="452"/>
      <c r="Q28" s="452"/>
    </row>
    <row r="29" spans="1:20" ht="9.6" customHeight="1">
      <c r="A29" s="452" t="s">
        <v>2834</v>
      </c>
      <c r="B29" s="394" t="s">
        <v>2687</v>
      </c>
      <c r="C29" s="472"/>
      <c r="D29" s="472"/>
      <c r="E29" s="472"/>
      <c r="F29" s="472"/>
      <c r="G29" s="472"/>
      <c r="H29" s="472"/>
      <c r="I29" s="472"/>
      <c r="J29" s="472"/>
      <c r="K29" s="472"/>
      <c r="L29" s="472"/>
      <c r="M29" s="837"/>
      <c r="N29" s="837"/>
      <c r="O29" s="472"/>
      <c r="P29" s="452"/>
      <c r="Q29" s="452"/>
      <c r="S29" s="508" t="str">
        <f>B29</f>
        <v>PERMANENT FINANCING</v>
      </c>
    </row>
    <row r="30" spans="1:20" s="397" customFormat="1" ht="13.35" customHeight="1">
      <c r="A30" s="449"/>
      <c r="B30" s="449"/>
      <c r="C30" s="449"/>
      <c r="D30" s="449"/>
      <c r="E30" s="449"/>
      <c r="F30" s="837"/>
      <c r="G30" s="837"/>
      <c r="H30" s="969"/>
      <c r="I30" s="969"/>
      <c r="J30" s="543" t="s">
        <v>1074</v>
      </c>
      <c r="K30" s="837" t="s">
        <v>2279</v>
      </c>
      <c r="L30" s="837" t="s">
        <v>2131</v>
      </c>
      <c r="M30" s="903" t="s">
        <v>4111</v>
      </c>
      <c r="N30" s="903"/>
      <c r="O30" s="829"/>
      <c r="P30" s="837"/>
      <c r="Q30" s="977" t="s">
        <v>877</v>
      </c>
      <c r="S30" s="508"/>
    </row>
    <row r="31" spans="1:20" s="397" customFormat="1" ht="13.35" customHeight="1">
      <c r="A31" s="449"/>
      <c r="B31" s="841" t="s">
        <v>1285</v>
      </c>
      <c r="C31" s="839"/>
      <c r="D31" s="839"/>
      <c r="E31" s="958" t="s">
        <v>2128</v>
      </c>
      <c r="F31" s="958"/>
      <c r="G31" s="958"/>
      <c r="H31" s="896" t="s">
        <v>3440</v>
      </c>
      <c r="I31" s="896"/>
      <c r="J31" s="827" t="s">
        <v>1437</v>
      </c>
      <c r="K31" s="827" t="s">
        <v>945</v>
      </c>
      <c r="L31" s="827" t="s">
        <v>945</v>
      </c>
      <c r="M31" s="1425"/>
      <c r="N31" s="1425"/>
      <c r="O31" s="896" t="s">
        <v>4041</v>
      </c>
      <c r="P31" s="896"/>
      <c r="Q31" s="978"/>
      <c r="S31" s="976" t="s">
        <v>197</v>
      </c>
      <c r="T31" s="976"/>
    </row>
    <row r="32" spans="1:20" s="397" customFormat="1" ht="13.35" customHeight="1">
      <c r="A32" s="449"/>
      <c r="B32" s="959" t="s">
        <v>376</v>
      </c>
      <c r="C32" s="960"/>
      <c r="D32" s="960"/>
      <c r="E32" s="1286" t="s">
        <v>43</v>
      </c>
      <c r="F32" s="1426"/>
      <c r="G32" s="1427"/>
      <c r="H32" s="1428">
        <v>700000</v>
      </c>
      <c r="I32" s="1427"/>
      <c r="J32" s="1429">
        <v>7.0000000000000007E-2</v>
      </c>
      <c r="K32" s="1300">
        <v>18</v>
      </c>
      <c r="L32" s="1300">
        <v>30</v>
      </c>
      <c r="M32" s="1430">
        <f t="shared" ref="M32:M36" si="0">IF(OR(H32&lt;=0,H32=""),"",IF(O32="Amortizing",-PMT(J32/12,L32*12,H32,0,0)*12,""))</f>
        <v>55885.40959505138</v>
      </c>
      <c r="N32" s="1431"/>
      <c r="O32" s="1280" t="s">
        <v>64</v>
      </c>
      <c r="P32" s="1281"/>
      <c r="Q32" s="1432"/>
      <c r="S32" s="1408"/>
      <c r="T32" s="1409"/>
    </row>
    <row r="33" spans="1:20" s="397" customFormat="1" ht="13.35" customHeight="1">
      <c r="A33" s="449"/>
      <c r="B33" s="957" t="s">
        <v>377</v>
      </c>
      <c r="C33" s="958"/>
      <c r="D33" s="958"/>
      <c r="E33" s="1291" t="s">
        <v>45</v>
      </c>
      <c r="F33" s="1433"/>
      <c r="G33" s="1434"/>
      <c r="H33" s="1435">
        <v>252890</v>
      </c>
      <c r="I33" s="1427"/>
      <c r="J33" s="1429">
        <v>0.02</v>
      </c>
      <c r="K33" s="1300">
        <v>40</v>
      </c>
      <c r="L33" s="1300">
        <v>40</v>
      </c>
      <c r="M33" s="1430" t="str">
        <f t="shared" si="0"/>
        <v/>
      </c>
      <c r="N33" s="1431"/>
      <c r="O33" s="1280" t="s">
        <v>2429</v>
      </c>
      <c r="P33" s="1281"/>
      <c r="Q33" s="1432">
        <v>1.2</v>
      </c>
      <c r="S33" s="1410"/>
      <c r="T33" s="1411"/>
    </row>
    <row r="34" spans="1:20" s="397" customFormat="1" ht="13.35" customHeight="1">
      <c r="A34" s="449"/>
      <c r="B34" s="957" t="s">
        <v>378</v>
      </c>
      <c r="C34" s="958"/>
      <c r="D34" s="958"/>
      <c r="E34" s="1286"/>
      <c r="F34" s="1426"/>
      <c r="G34" s="1427"/>
      <c r="H34" s="1435"/>
      <c r="I34" s="1427"/>
      <c r="J34" s="1429"/>
      <c r="K34" s="1300"/>
      <c r="L34" s="1300"/>
      <c r="M34" s="1430" t="str">
        <f t="shared" si="0"/>
        <v/>
      </c>
      <c r="N34" s="1431"/>
      <c r="O34" s="1280"/>
      <c r="P34" s="1281"/>
      <c r="Q34" s="1432"/>
      <c r="S34" s="1410"/>
      <c r="T34" s="1411"/>
    </row>
    <row r="35" spans="1:20" s="397" customFormat="1" ht="13.35" customHeight="1">
      <c r="A35" s="449"/>
      <c r="B35" s="833" t="s">
        <v>2833</v>
      </c>
      <c r="C35" s="1280"/>
      <c r="D35" s="1281"/>
      <c r="E35" s="1286"/>
      <c r="F35" s="1426"/>
      <c r="G35" s="1427"/>
      <c r="H35" s="1435"/>
      <c r="I35" s="1427"/>
      <c r="J35" s="1429"/>
      <c r="K35" s="1300"/>
      <c r="L35" s="1300"/>
      <c r="M35" s="1430" t="str">
        <f t="shared" si="0"/>
        <v/>
      </c>
      <c r="N35" s="1431"/>
      <c r="O35" s="1280"/>
      <c r="P35" s="1281"/>
      <c r="Q35" s="1432"/>
      <c r="S35" s="1410"/>
      <c r="T35" s="1411"/>
    </row>
    <row r="36" spans="1:20" s="397" customFormat="1" ht="13.35" customHeight="1">
      <c r="A36" s="449"/>
      <c r="B36" s="833" t="s">
        <v>2213</v>
      </c>
      <c r="C36" s="834"/>
      <c r="D36" s="840"/>
      <c r="E36" s="1286" t="s">
        <v>65</v>
      </c>
      <c r="F36" s="1426"/>
      <c r="G36" s="1427"/>
      <c r="H36" s="1435">
        <v>1100000</v>
      </c>
      <c r="I36" s="1427"/>
      <c r="J36" s="791"/>
      <c r="K36" s="843"/>
      <c r="L36" s="843"/>
      <c r="M36" s="961" t="str">
        <f t="shared" si="0"/>
        <v/>
      </c>
      <c r="N36" s="961"/>
      <c r="O36" s="956"/>
      <c r="P36" s="956"/>
      <c r="Q36" s="792"/>
      <c r="S36" s="1410"/>
      <c r="T36" s="1411"/>
    </row>
    <row r="37" spans="1:20" s="397" customFormat="1" ht="13.35" customHeight="1">
      <c r="A37" s="449"/>
      <c r="B37" s="838" t="s">
        <v>3864</v>
      </c>
      <c r="C37" s="839"/>
      <c r="D37" s="544">
        <f>IF(OR(H37="",H37=0,'Part IV-Uses of Funds'!$G$109="",'Part IV-Uses of Funds'!$G$109=0),"",H37/'Part IV-Uses of Funds'!$G$109)</f>
        <v>1.0700831419657478E-2</v>
      </c>
      <c r="E37" s="1286" t="s">
        <v>46</v>
      </c>
      <c r="F37" s="1426"/>
      <c r="G37" s="1427"/>
      <c r="H37" s="1435">
        <v>14944</v>
      </c>
      <c r="I37" s="1427"/>
      <c r="J37" s="1429">
        <v>0.08</v>
      </c>
      <c r="K37" s="1300">
        <v>15</v>
      </c>
      <c r="L37" s="1300">
        <v>15</v>
      </c>
      <c r="M37" s="1430">
        <v>13944</v>
      </c>
      <c r="N37" s="1431"/>
      <c r="O37" s="1280" t="s">
        <v>2429</v>
      </c>
      <c r="P37" s="1281"/>
      <c r="Q37" s="1432"/>
      <c r="S37" s="1410"/>
      <c r="T37" s="1411"/>
    </row>
    <row r="38" spans="1:20" s="397" customFormat="1" ht="13.35" customHeight="1">
      <c r="A38" s="449"/>
      <c r="B38" s="959" t="s">
        <v>946</v>
      </c>
      <c r="C38" s="960"/>
      <c r="D38" s="962"/>
      <c r="E38" s="1286"/>
      <c r="F38" s="1426"/>
      <c r="G38" s="1427"/>
      <c r="H38" s="1436"/>
      <c r="I38" s="1437"/>
      <c r="K38" s="545"/>
      <c r="L38" s="545"/>
      <c r="M38" s="545"/>
      <c r="N38" s="545"/>
      <c r="O38" s="545"/>
      <c r="P38" s="545"/>
      <c r="Q38" s="545"/>
      <c r="S38" s="1408"/>
      <c r="T38" s="1409"/>
    </row>
    <row r="39" spans="1:20" s="397" customFormat="1" ht="13.35" customHeight="1">
      <c r="A39" s="449"/>
      <c r="B39" s="957" t="s">
        <v>2688</v>
      </c>
      <c r="C39" s="958"/>
      <c r="D39" s="963"/>
      <c r="E39" s="1286"/>
      <c r="F39" s="1426"/>
      <c r="G39" s="1427"/>
      <c r="H39" s="1436"/>
      <c r="I39" s="1437"/>
      <c r="J39" s="981" t="s">
        <v>3285</v>
      </c>
      <c r="K39" s="982"/>
      <c r="L39" s="980" t="s">
        <v>3286</v>
      </c>
      <c r="M39" s="980"/>
      <c r="O39" s="626" t="s">
        <v>3284</v>
      </c>
      <c r="P39" s="546"/>
      <c r="Q39" s="545"/>
      <c r="S39" s="1410"/>
      <c r="T39" s="1411"/>
    </row>
    <row r="40" spans="1:20" s="397" customFormat="1" ht="13.35" customHeight="1">
      <c r="A40" s="449"/>
      <c r="B40" s="957" t="s">
        <v>2689</v>
      </c>
      <c r="C40" s="958"/>
      <c r="D40" s="963"/>
      <c r="E40" s="1286" t="s">
        <v>44</v>
      </c>
      <c r="F40" s="1287"/>
      <c r="G40" s="1288"/>
      <c r="H40" s="1435">
        <v>8656334</v>
      </c>
      <c r="I40" s="1438"/>
      <c r="J40" s="983">
        <f>'Part IV-Uses of Funds'!$J$165*10*'Part IV-Uses of Funds'!$N$158</f>
        <v>8657200</v>
      </c>
      <c r="K40" s="984"/>
      <c r="L40" s="979">
        <f>H40-J40</f>
        <v>-866</v>
      </c>
      <c r="M40" s="979"/>
      <c r="O40" s="627" t="s">
        <v>664</v>
      </c>
      <c r="P40" s="546"/>
      <c r="Q40" s="545"/>
      <c r="S40" s="1410"/>
      <c r="T40" s="1411"/>
    </row>
    <row r="41" spans="1:20" s="397" customFormat="1" ht="13.35" customHeight="1">
      <c r="A41" s="449"/>
      <c r="B41" s="957" t="s">
        <v>2690</v>
      </c>
      <c r="C41" s="958"/>
      <c r="D41" s="963"/>
      <c r="E41" s="1286" t="s">
        <v>44</v>
      </c>
      <c r="F41" s="1287"/>
      <c r="G41" s="1288"/>
      <c r="H41" s="1435">
        <v>2446600</v>
      </c>
      <c r="I41" s="1438"/>
      <c r="J41" s="983">
        <f>'Part IV-Uses of Funds'!$J$165*10*'Part IV-Uses of Funds'!$Q$158</f>
        <v>2446600</v>
      </c>
      <c r="K41" s="984"/>
      <c r="L41" s="979">
        <f>H41-J41</f>
        <v>0</v>
      </c>
      <c r="M41" s="979"/>
      <c r="O41" s="628">
        <f>H40/H50</f>
        <v>0.65723836301725158</v>
      </c>
      <c r="P41" s="546"/>
      <c r="Q41" s="545"/>
      <c r="S41" s="1410"/>
      <c r="T41" s="1411"/>
    </row>
    <row r="42" spans="1:20" s="397" customFormat="1" ht="13.35" customHeight="1">
      <c r="A42" s="449"/>
      <c r="B42" s="957" t="s">
        <v>2105</v>
      </c>
      <c r="C42" s="958"/>
      <c r="D42" s="963"/>
      <c r="E42" s="1286"/>
      <c r="F42" s="1287"/>
      <c r="G42" s="1288"/>
      <c r="H42" s="1435"/>
      <c r="I42" s="1438"/>
      <c r="M42" s="546"/>
      <c r="O42" s="628">
        <f>H41/H50</f>
        <v>0.18575985849876028</v>
      </c>
      <c r="P42" s="546"/>
      <c r="Q42" s="545"/>
      <c r="S42" s="1412"/>
      <c r="T42" s="1413"/>
    </row>
    <row r="43" spans="1:20" s="397" customFormat="1" ht="13.35" customHeight="1">
      <c r="A43" s="449"/>
      <c r="B43" s="833" t="s">
        <v>3300</v>
      </c>
      <c r="C43" s="834"/>
      <c r="D43" s="840"/>
      <c r="E43" s="1286"/>
      <c r="F43" s="1287"/>
      <c r="G43" s="1288"/>
      <c r="H43" s="1435"/>
      <c r="I43" s="1438"/>
      <c r="K43" s="449"/>
      <c r="L43" s="449"/>
      <c r="M43" s="546"/>
      <c r="O43" s="629">
        <f>SUM(O41:O42)</f>
        <v>0.84299822151601189</v>
      </c>
      <c r="P43" s="546"/>
      <c r="Q43" s="545"/>
      <c r="S43" s="1410"/>
      <c r="T43" s="1411"/>
    </row>
    <row r="44" spans="1:20" s="397" customFormat="1" ht="13.35" customHeight="1">
      <c r="A44" s="449"/>
      <c r="B44" s="833" t="s">
        <v>1283</v>
      </c>
      <c r="C44" s="834"/>
      <c r="D44" s="840"/>
      <c r="E44" s="1286"/>
      <c r="F44" s="1287"/>
      <c r="G44" s="1288"/>
      <c r="H44" s="1435"/>
      <c r="I44" s="1438"/>
      <c r="J44" s="449"/>
      <c r="M44" s="546"/>
      <c r="N44" s="546"/>
      <c r="O44" s="546"/>
      <c r="P44" s="546"/>
      <c r="Q44" s="545"/>
      <c r="S44" s="1410"/>
      <c r="T44" s="1411"/>
    </row>
    <row r="45" spans="1:20" s="397" customFormat="1" ht="13.35" customHeight="1">
      <c r="A45" s="449"/>
      <c r="B45" s="833" t="s">
        <v>1284</v>
      </c>
      <c r="C45" s="834"/>
      <c r="D45" s="840"/>
      <c r="E45" s="1286"/>
      <c r="F45" s="1287"/>
      <c r="G45" s="1288"/>
      <c r="H45" s="1435"/>
      <c r="I45" s="1438"/>
      <c r="J45" s="449"/>
      <c r="M45" s="546"/>
      <c r="N45" s="546"/>
      <c r="O45" s="546"/>
      <c r="P45" s="546"/>
      <c r="Q45" s="545"/>
      <c r="S45" s="1410"/>
      <c r="T45" s="1411"/>
    </row>
    <row r="46" spans="1:20" s="397" customFormat="1" ht="13.35" customHeight="1">
      <c r="A46" s="449"/>
      <c r="B46" s="833" t="s">
        <v>2833</v>
      </c>
      <c r="C46" s="1286"/>
      <c r="D46" s="1288"/>
      <c r="E46" s="1286"/>
      <c r="F46" s="1287"/>
      <c r="G46" s="1288"/>
      <c r="H46" s="1435"/>
      <c r="I46" s="1438"/>
      <c r="J46" s="449"/>
      <c r="M46" s="546"/>
      <c r="N46" s="546"/>
      <c r="O46" s="546"/>
      <c r="P46" s="546"/>
      <c r="Q46" s="545"/>
      <c r="S46" s="1410"/>
      <c r="T46" s="1411"/>
    </row>
    <row r="47" spans="1:20" s="397" customFormat="1" ht="13.35" customHeight="1">
      <c r="A47" s="449"/>
      <c r="B47" s="833" t="s">
        <v>2833</v>
      </c>
      <c r="C47" s="1286"/>
      <c r="D47" s="1288"/>
      <c r="E47" s="1286"/>
      <c r="F47" s="1287"/>
      <c r="G47" s="1288"/>
      <c r="H47" s="1435"/>
      <c r="I47" s="1438"/>
      <c r="J47" s="449"/>
      <c r="K47" s="449"/>
      <c r="L47" s="547"/>
      <c r="M47" s="546"/>
      <c r="N47" s="546"/>
      <c r="O47" s="546"/>
      <c r="P47" s="546"/>
      <c r="Q47" s="545"/>
      <c r="S47" s="1410"/>
      <c r="T47" s="1411"/>
    </row>
    <row r="48" spans="1:20" s="397" customFormat="1" ht="13.35" customHeight="1">
      <c r="A48" s="449"/>
      <c r="B48" s="838" t="s">
        <v>2833</v>
      </c>
      <c r="C48" s="1286"/>
      <c r="D48" s="1288"/>
      <c r="E48" s="1286"/>
      <c r="F48" s="1287"/>
      <c r="G48" s="1288"/>
      <c r="H48" s="1435"/>
      <c r="I48" s="1438"/>
      <c r="J48" s="449"/>
      <c r="K48" s="449"/>
      <c r="L48" s="547"/>
      <c r="M48" s="546"/>
      <c r="N48" s="546"/>
      <c r="O48" s="546"/>
      <c r="P48" s="546"/>
      <c r="Q48" s="545"/>
      <c r="S48" s="1410"/>
      <c r="T48" s="1411"/>
    </row>
    <row r="49" spans="1:23" s="397" customFormat="1" ht="13.35" customHeight="1">
      <c r="A49" s="449"/>
      <c r="B49" s="828" t="s">
        <v>950</v>
      </c>
      <c r="C49" s="449"/>
      <c r="D49" s="449"/>
      <c r="E49" s="449"/>
      <c r="F49" s="449"/>
      <c r="G49" s="449"/>
      <c r="H49" s="954">
        <f>SUM(H32:I48)</f>
        <v>13170768</v>
      </c>
      <c r="I49" s="955"/>
      <c r="J49" s="472"/>
      <c r="K49" s="449"/>
      <c r="L49" s="547"/>
      <c r="M49" s="546"/>
      <c r="N49" s="546"/>
      <c r="O49" s="546"/>
      <c r="P49" s="546"/>
      <c r="Q49" s="545"/>
      <c r="S49" s="1410"/>
      <c r="T49" s="1411"/>
    </row>
    <row r="50" spans="1:23" s="397" customFormat="1" ht="13.35" customHeight="1" thickBot="1">
      <c r="A50" s="449"/>
      <c r="B50" s="828" t="s">
        <v>951</v>
      </c>
      <c r="C50" s="449"/>
      <c r="D50" s="449"/>
      <c r="E50" s="449"/>
      <c r="F50" s="449"/>
      <c r="G50" s="449"/>
      <c r="H50" s="952">
        <f>'Part IV-Uses of Funds'!$G$123</f>
        <v>13170768</v>
      </c>
      <c r="I50" s="953"/>
      <c r="J50" s="472"/>
      <c r="K50" s="449"/>
      <c r="L50" s="547"/>
      <c r="M50" s="546"/>
      <c r="N50" s="546"/>
      <c r="O50" s="546"/>
      <c r="P50" s="546"/>
      <c r="Q50" s="545"/>
      <c r="S50" s="1410"/>
      <c r="T50" s="1411"/>
    </row>
    <row r="51" spans="1:23" s="397" customFormat="1" ht="13.35" customHeight="1" thickBot="1">
      <c r="A51" s="449"/>
      <c r="B51" s="455" t="s">
        <v>1925</v>
      </c>
      <c r="C51" s="449"/>
      <c r="D51" s="449"/>
      <c r="E51" s="449"/>
      <c r="F51" s="449"/>
      <c r="G51" s="449"/>
      <c r="H51" s="965">
        <f>H49-H50</f>
        <v>0</v>
      </c>
      <c r="I51" s="966"/>
      <c r="J51" s="472"/>
      <c r="K51" s="449"/>
      <c r="L51" s="547"/>
      <c r="M51" s="546"/>
      <c r="N51" s="546"/>
      <c r="O51" s="546"/>
      <c r="P51" s="546"/>
      <c r="Q51" s="545"/>
      <c r="S51" s="1412"/>
      <c r="T51" s="141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1418</v>
      </c>
      <c r="B53" s="452" t="s">
        <v>3248</v>
      </c>
      <c r="C53" s="472"/>
      <c r="D53" s="472"/>
      <c r="E53" s="472"/>
      <c r="F53" s="472"/>
      <c r="G53" s="472"/>
      <c r="H53" s="472"/>
      <c r="I53" s="472"/>
      <c r="J53" s="472"/>
      <c r="K53" s="452" t="s">
        <v>1418</v>
      </c>
      <c r="L53" s="452" t="s">
        <v>4046</v>
      </c>
      <c r="M53" s="472"/>
      <c r="N53" s="472"/>
      <c r="O53" s="472"/>
      <c r="P53" s="472"/>
      <c r="Q53" s="472"/>
    </row>
    <row r="54" spans="1:23" ht="5.45" customHeight="1">
      <c r="B54" s="510"/>
    </row>
    <row r="55" spans="1:23" ht="68.099999999999994" customHeight="1">
      <c r="A55" s="1355"/>
      <c r="B55" s="1439"/>
      <c r="C55" s="1439"/>
      <c r="D55" s="1439"/>
      <c r="E55" s="1439"/>
      <c r="F55" s="1439"/>
      <c r="G55" s="1439"/>
      <c r="H55" s="1439"/>
      <c r="I55" s="1439"/>
      <c r="J55" s="1440"/>
      <c r="K55" s="1358"/>
      <c r="L55" s="1439"/>
      <c r="M55" s="1439"/>
      <c r="N55" s="1439"/>
      <c r="O55" s="1439"/>
      <c r="P55" s="1439"/>
      <c r="Q55" s="1440"/>
      <c r="S55" s="987" t="s">
        <v>121</v>
      </c>
      <c r="T55" s="987"/>
      <c r="U55" s="817"/>
      <c r="V55" s="817"/>
      <c r="W55" s="817"/>
    </row>
    <row r="56" spans="1:23" ht="11.25" customHeight="1">
      <c r="S56" s="817"/>
      <c r="T56" s="817"/>
      <c r="U56" s="817"/>
      <c r="V56" s="817"/>
      <c r="W56" s="817"/>
    </row>
    <row r="57" spans="1:23" ht="12" customHeight="1"/>
    <row r="58" spans="1:23" ht="12" customHeight="1">
      <c r="B58" s="510"/>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1"/>
    </row>
    <row r="65" spans="1:1" s="397" customFormat="1" ht="14.45" customHeight="1">
      <c r="A65" s="511"/>
    </row>
    <row r="66" spans="1:1" s="397" customFormat="1" ht="14.45" customHeight="1"/>
    <row r="67" spans="1:1" s="397" customFormat="1" ht="14.45" customHeight="1">
      <c r="A67" s="511"/>
    </row>
    <row r="68" spans="1:1" s="397" customFormat="1" ht="14.45" customHeight="1">
      <c r="A68" s="509"/>
    </row>
    <row r="69" spans="1:1" s="397" customFormat="1" ht="14.45" customHeight="1">
      <c r="A69" s="509"/>
    </row>
    <row r="70" spans="1:1" s="397" customFormat="1" ht="14.45" customHeight="1">
      <c r="A70" s="512"/>
    </row>
    <row r="71" spans="1:1" s="397" customFormat="1" ht="14.45" customHeight="1">
      <c r="A71" s="511"/>
    </row>
    <row r="72" spans="1:1" s="397" customFormat="1" ht="14.45" customHeight="1">
      <c r="A72" s="509"/>
    </row>
    <row r="73" spans="1:1" s="397" customFormat="1" ht="14.45" customHeight="1">
      <c r="A73" s="509"/>
    </row>
    <row r="74" spans="1:1" s="397" customFormat="1" ht="14.45" customHeight="1">
      <c r="A74" s="512"/>
    </row>
    <row r="75" spans="1:1" s="397" customFormat="1" ht="14.45" customHeight="1">
      <c r="A75" s="511"/>
    </row>
    <row r="76" spans="1:1" s="397" customFormat="1" ht="14.45" customHeight="1">
      <c r="A76" s="509"/>
    </row>
    <row r="77" spans="1:1" s="397" customFormat="1" ht="14.45" customHeight="1">
      <c r="A77" s="509"/>
    </row>
    <row r="78" spans="1:1" s="397" customFormat="1" ht="14.45" customHeight="1">
      <c r="A78" s="512"/>
    </row>
    <row r="79" spans="1:1" s="397" customFormat="1" ht="14.45" customHeight="1">
      <c r="A79" s="512"/>
    </row>
    <row r="80" spans="1:1" s="397" customFormat="1" ht="14.45" customHeight="1">
      <c r="A80" s="512"/>
    </row>
    <row r="81" spans="1:1" s="397" customFormat="1" ht="14.45" customHeight="1">
      <c r="A81" s="512"/>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350000000000001" customHeight="1">
      <c r="A1" s="993" t="str">
        <f>CONCATENATE("PART III B: USD 538 LOAN","  -  ",'Part I-Project Information'!$O$4," ",'Part I-Project Information'!$F$22,", ",'Part I-Project Information'!$F$24,", ",'Part I-Project Information'!$J$25," County")</f>
        <v>PART III B: USD 538 LOAN  -  2012-042 Adair Court, Atlanta, Fulton County</v>
      </c>
      <c r="B1" s="994"/>
      <c r="C1" s="994"/>
      <c r="D1" s="994"/>
      <c r="E1" s="994"/>
      <c r="F1" s="995"/>
      <c r="G1" s="229"/>
      <c r="H1" s="229"/>
      <c r="I1" s="229"/>
      <c r="J1" s="229"/>
      <c r="K1" s="229"/>
      <c r="L1" s="229"/>
      <c r="M1" s="229"/>
      <c r="N1" s="229"/>
      <c r="O1" s="229"/>
      <c r="P1" s="229"/>
      <c r="Q1" s="229"/>
    </row>
    <row r="2" spans="1:17" ht="11.1" customHeight="1">
      <c r="A2" s="272"/>
      <c r="B2" s="272"/>
      <c r="C2" s="272"/>
      <c r="D2" s="272"/>
      <c r="E2" s="272"/>
      <c r="F2" s="272"/>
      <c r="G2" s="272"/>
      <c r="H2" s="272"/>
    </row>
    <row r="3" spans="1:17" ht="14.45" customHeight="1">
      <c r="A3" s="1002" t="s">
        <v>3851</v>
      </c>
      <c r="B3" s="1002"/>
      <c r="C3" s="1002"/>
      <c r="D3" s="1002"/>
      <c r="E3" s="1002"/>
      <c r="F3" s="1002"/>
      <c r="G3" s="272"/>
      <c r="H3" s="272"/>
    </row>
    <row r="4" spans="1:17" s="260" customFormat="1" ht="6" customHeight="1"/>
    <row r="5" spans="1:17">
      <c r="A5" s="40" t="s">
        <v>890</v>
      </c>
      <c r="B5" s="40"/>
      <c r="C5" s="370"/>
      <c r="D5" s="371">
        <f>IF(C5&gt;1500000,1500000,0)</f>
        <v>0</v>
      </c>
      <c r="E5" s="372">
        <f>IF(C5&gt;1500000,C5-1500000,0)</f>
        <v>0</v>
      </c>
    </row>
    <row r="6" spans="1:17">
      <c r="A6" s="40" t="s">
        <v>645</v>
      </c>
      <c r="B6" s="297" t="s">
        <v>3358</v>
      </c>
      <c r="C6" s="373">
        <v>0</v>
      </c>
      <c r="D6" s="161" t="s">
        <v>3359</v>
      </c>
      <c r="E6" s="40"/>
    </row>
    <row r="7" spans="1:17">
      <c r="A7" s="40"/>
      <c r="B7" s="297" t="s">
        <v>786</v>
      </c>
      <c r="C7" s="374"/>
      <c r="D7" s="161" t="s">
        <v>1539</v>
      </c>
      <c r="E7" s="40"/>
    </row>
    <row r="8" spans="1:17" ht="13.35" customHeight="1">
      <c r="A8" s="40" t="s">
        <v>649</v>
      </c>
      <c r="B8" s="40"/>
      <c r="C8" s="373">
        <v>0</v>
      </c>
      <c r="D8" s="161" t="s">
        <v>1540</v>
      </c>
      <c r="E8" s="40"/>
    </row>
    <row r="9" spans="1:17">
      <c r="A9" s="40" t="s">
        <v>2078</v>
      </c>
      <c r="B9" s="40"/>
      <c r="C9" s="375"/>
      <c r="D9" s="40"/>
      <c r="E9" s="40"/>
    </row>
    <row r="10" spans="1:17">
      <c r="A10" s="40" t="s">
        <v>2079</v>
      </c>
      <c r="B10" s="40"/>
      <c r="C10" s="375"/>
      <c r="D10" s="40"/>
      <c r="E10" s="40"/>
    </row>
    <row r="11" spans="1:17">
      <c r="A11" s="40" t="s">
        <v>2076</v>
      </c>
      <c r="B11" s="40"/>
      <c r="C11" s="376" t="e">
        <f>PMT(C7/12,C10*12,-C5,0,0)*12</f>
        <v>#NUM!</v>
      </c>
      <c r="D11" s="371" t="e">
        <f>PMT($C$7/12,$C$10*12,-D5,0,0)*12</f>
        <v>#NUM!</v>
      </c>
      <c r="E11" s="371" t="e">
        <f>PMT($C$7/12,$C$10*12,-E5,0,0)*12</f>
        <v>#NUM!</v>
      </c>
    </row>
    <row r="12" spans="1:17">
      <c r="A12" s="40" t="s">
        <v>2077</v>
      </c>
      <c r="B12" s="40"/>
      <c r="C12" s="377" t="e">
        <f>C11/12</f>
        <v>#NUM!</v>
      </c>
      <c r="D12" s="371" t="e">
        <f>D11/12</f>
        <v>#NUM!</v>
      </c>
      <c r="E12" s="371" t="e">
        <f>E11/12</f>
        <v>#NUM!</v>
      </c>
    </row>
    <row r="13" spans="1:17" ht="11.1" customHeight="1">
      <c r="A13" s="272"/>
      <c r="B13" s="272"/>
      <c r="C13" s="272"/>
      <c r="D13" s="272"/>
      <c r="E13" s="272"/>
      <c r="F13" s="272"/>
      <c r="G13" s="272"/>
      <c r="H13" s="272"/>
    </row>
    <row r="14" spans="1:17" ht="12.6" customHeight="1">
      <c r="A14" s="1003" t="s">
        <v>3911</v>
      </c>
      <c r="B14" s="1003"/>
      <c r="C14" s="1003"/>
      <c r="D14" s="1003"/>
      <c r="E14" s="1003"/>
      <c r="F14" s="1003"/>
      <c r="G14" s="272"/>
      <c r="H14" s="272"/>
    </row>
    <row r="15" spans="1:17" ht="5.45" customHeight="1">
      <c r="A15" s="32"/>
      <c r="E15" s="283"/>
      <c r="F15" s="272"/>
      <c r="G15" s="272"/>
      <c r="H15" s="272"/>
    </row>
    <row r="16" spans="1:17" ht="13.35" customHeight="1">
      <c r="A16" s="285" t="s">
        <v>787</v>
      </c>
      <c r="B16" s="286" t="s">
        <v>659</v>
      </c>
      <c r="C16" s="286" t="s">
        <v>660</v>
      </c>
      <c r="D16" s="999" t="s">
        <v>889</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35" customHeight="1">
      <c r="A58" s="1000" t="str">
        <f>CONCATENATE('Part I-Project Information'!$O$4," ",'Part I-Project Information'!$F$22,", ",'Part I-Project Information'!$F$24,", ",'Part I-Project Information'!$J$25," County")</f>
        <v>2012-042 Adair Court, Atlanta, Fulton County</v>
      </c>
      <c r="B58" s="1000"/>
      <c r="C58" s="1000"/>
      <c r="D58" s="1000"/>
      <c r="E58" s="1000"/>
      <c r="F58" s="1000"/>
      <c r="G58" s="1000" t="str">
        <f>CONCATENATE('Part I-Project Information'!$O$4," ",'Part I-Project Information'!$F$22,", ",'Part I-Project Information'!$F$24,", ",'Part I-Project Information'!$J$25," County")</f>
        <v>2012-042 Adair Court, Atlanta, Fulton County</v>
      </c>
      <c r="H58" s="1000"/>
      <c r="I58" s="1000"/>
      <c r="J58" s="1000"/>
      <c r="K58" s="1000"/>
      <c r="L58" s="1000"/>
    </row>
    <row r="59" spans="1:12" ht="15">
      <c r="A59" s="1001" t="s">
        <v>653</v>
      </c>
      <c r="B59" s="1001"/>
      <c r="C59" s="1001"/>
      <c r="D59" s="1001"/>
      <c r="E59" s="1001"/>
      <c r="F59" s="1001"/>
      <c r="G59" s="1001" t="s">
        <v>653</v>
      </c>
      <c r="H59" s="1001"/>
      <c r="I59" s="1001"/>
      <c r="J59" s="1001"/>
      <c r="K59" s="1001"/>
      <c r="L59" s="1001"/>
    </row>
    <row r="60" spans="1:12" ht="6" customHeight="1">
      <c r="C60" s="270"/>
      <c r="D60" s="270"/>
      <c r="I60" s="270"/>
      <c r="J60" s="270"/>
    </row>
    <row r="61" spans="1:12">
      <c r="A61" s="273" t="s">
        <v>654</v>
      </c>
      <c r="B61" s="274" t="s">
        <v>655</v>
      </c>
      <c r="C61" s="274" t="s">
        <v>2278</v>
      </c>
      <c r="D61" s="274" t="s">
        <v>656</v>
      </c>
      <c r="E61" s="273" t="s">
        <v>657</v>
      </c>
      <c r="F61" s="307" t="s">
        <v>787</v>
      </c>
      <c r="G61" s="273" t="s">
        <v>654</v>
      </c>
      <c r="H61" s="274" t="s">
        <v>655</v>
      </c>
      <c r="I61" s="274" t="s">
        <v>2278</v>
      </c>
      <c r="J61" s="274" t="s">
        <v>656</v>
      </c>
      <c r="K61" s="273" t="s">
        <v>657</v>
      </c>
      <c r="L61" s="307" t="s">
        <v>787</v>
      </c>
    </row>
    <row r="62" spans="1:12" ht="3.6" customHeight="1">
      <c r="A62" s="276"/>
      <c r="B62" s="160"/>
      <c r="C62" s="160"/>
      <c r="D62" s="160"/>
      <c r="E62" s="160"/>
      <c r="F62" s="108"/>
      <c r="G62" s="276"/>
      <c r="H62" s="160"/>
      <c r="I62" s="160"/>
      <c r="J62" s="160"/>
      <c r="K62" s="160"/>
      <c r="L62" s="108"/>
    </row>
    <row r="63" spans="1:12">
      <c r="A63" s="277" t="s">
        <v>658</v>
      </c>
      <c r="B63" s="278"/>
      <c r="C63" s="278"/>
      <c r="D63" s="278"/>
      <c r="E63" s="279">
        <f>IF($C$5&gt;1500000,$D$5,$C$5)</f>
        <v>0</v>
      </c>
      <c r="F63" s="108"/>
      <c r="G63" s="277" t="s">
        <v>658</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350000000000001" customHeight="1">
      <c r="A1" s="993" t="str">
        <f>CONCATENATE("PART III C  - HUD INSURED LOAN","  -  ",'Part I-Project Information'!$O$4," ",'Part I-Project Information'!$F$22,", ",'Part I-Project Information'!$F$24,", ",'Part I-Project Information'!$J$25," County")</f>
        <v>PART III C  - HUD INSURED LOAN  -  2012-042 Adair Court, Atlanta, Fulton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3851</v>
      </c>
      <c r="B3" s="1002"/>
      <c r="C3" s="1002"/>
      <c r="D3" s="1002"/>
      <c r="E3" s="1002"/>
      <c r="F3" s="1002"/>
      <c r="G3" s="317"/>
      <c r="H3" s="317"/>
    </row>
    <row r="4" spans="1:17">
      <c r="A4" s="16"/>
      <c r="B4" s="260"/>
      <c r="C4" s="260"/>
      <c r="D4" s="260"/>
    </row>
    <row r="5" spans="1:17" ht="13.35" customHeight="1">
      <c r="A5" s="31" t="s">
        <v>890</v>
      </c>
      <c r="D5" s="304"/>
      <c r="E5" s="1005" t="s">
        <v>2646</v>
      </c>
      <c r="F5" s="1006"/>
      <c r="G5" s="217"/>
    </row>
    <row r="6" spans="1:17">
      <c r="E6" s="1006"/>
      <c r="F6" s="1006"/>
      <c r="G6" s="217"/>
    </row>
    <row r="7" spans="1:17">
      <c r="A7" s="31" t="s">
        <v>645</v>
      </c>
      <c r="C7" s="31" t="s">
        <v>646</v>
      </c>
      <c r="D7" s="305"/>
      <c r="E7" s="1006"/>
      <c r="F7" s="1006"/>
      <c r="G7" s="217"/>
    </row>
    <row r="8" spans="1:17">
      <c r="C8" s="31" t="s">
        <v>647</v>
      </c>
      <c r="D8" s="305"/>
      <c r="E8" s="1006"/>
      <c r="F8" s="1006"/>
      <c r="G8" s="217"/>
    </row>
    <row r="9" spans="1:17">
      <c r="C9" s="31" t="s">
        <v>648</v>
      </c>
      <c r="D9" s="305"/>
      <c r="E9" s="1006"/>
      <c r="F9" s="1006"/>
      <c r="G9" s="217"/>
    </row>
    <row r="10" spans="1:17">
      <c r="C10" s="31" t="s">
        <v>786</v>
      </c>
      <c r="D10" s="318">
        <f>D7+D8+D9</f>
        <v>0</v>
      </c>
      <c r="E10" s="1006"/>
      <c r="F10" s="1006"/>
      <c r="G10" s="217"/>
    </row>
    <row r="11" spans="1:17">
      <c r="F11" s="217"/>
      <c r="G11" s="217"/>
    </row>
    <row r="12" spans="1:17">
      <c r="A12" s="31" t="s">
        <v>1476</v>
      </c>
      <c r="D12" s="303"/>
      <c r="E12" s="31" t="s">
        <v>959</v>
      </c>
      <c r="F12" s="217"/>
      <c r="G12" s="217"/>
    </row>
    <row r="13" spans="1:17">
      <c r="D13" s="270"/>
      <c r="F13" s="217"/>
      <c r="G13" s="217"/>
    </row>
    <row r="14" spans="1:17">
      <c r="A14" s="31" t="s">
        <v>650</v>
      </c>
      <c r="D14" s="302"/>
      <c r="E14" s="31" t="s">
        <v>651</v>
      </c>
      <c r="F14" s="319"/>
    </row>
    <row r="15" spans="1:17">
      <c r="D15" s="290"/>
      <c r="F15" s="319"/>
    </row>
    <row r="16" spans="1:17">
      <c r="A16" s="31" t="s">
        <v>652</v>
      </c>
      <c r="D16" s="302"/>
      <c r="E16" s="31" t="s">
        <v>651</v>
      </c>
      <c r="F16" s="319"/>
    </row>
    <row r="17" spans="1:10">
      <c r="D17" s="270"/>
      <c r="F17" s="319"/>
    </row>
    <row r="18" spans="1:10">
      <c r="A18" s="31" t="s">
        <v>2708</v>
      </c>
      <c r="D18" s="320" t="e">
        <f>PMT(D10/12,D16*12,-D5,0,0)*12</f>
        <v>#NUM!</v>
      </c>
      <c r="E18" s="31" t="s">
        <v>2012</v>
      </c>
      <c r="F18" s="319"/>
    </row>
    <row r="19" spans="1:10">
      <c r="D19" s="270"/>
      <c r="F19" s="319"/>
    </row>
    <row r="20" spans="1:10">
      <c r="A20" s="31" t="s">
        <v>2013</v>
      </c>
      <c r="D20" s="270" t="e">
        <f>D18/12</f>
        <v>#NUM!</v>
      </c>
      <c r="E20" s="31" t="s">
        <v>2012</v>
      </c>
      <c r="F20" s="319"/>
    </row>
    <row r="24" spans="1:10" ht="18" customHeight="1">
      <c r="A24" s="1003" t="s">
        <v>1477</v>
      </c>
      <c r="B24" s="1003"/>
      <c r="C24" s="1003"/>
      <c r="D24" s="1003"/>
      <c r="E24" s="1003"/>
      <c r="F24" s="1003"/>
      <c r="J24" s="321"/>
    </row>
    <row r="25" spans="1:10">
      <c r="C25" s="270"/>
      <c r="J25" s="321"/>
    </row>
    <row r="26" spans="1:10">
      <c r="A26" s="143"/>
      <c r="B26" s="108"/>
      <c r="C26" s="1007" t="s">
        <v>889</v>
      </c>
      <c r="D26" s="316"/>
      <c r="E26" s="108"/>
      <c r="F26" s="1007" t="s">
        <v>889</v>
      </c>
      <c r="J26" s="321"/>
    </row>
    <row r="27" spans="1:10">
      <c r="A27" s="322" t="s">
        <v>787</v>
      </c>
      <c r="B27" s="87" t="s">
        <v>2510</v>
      </c>
      <c r="C27" s="1008"/>
      <c r="D27" s="323" t="s">
        <v>787</v>
      </c>
      <c r="E27" s="87" t="s">
        <v>2510</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4.1" customHeight="1">
      <c r="A50" s="1000" t="str">
        <f>CONCATENATE('Part I-Project Information'!$O$4," ",'Part I-Project Information'!$F$22,", ",'Part I-Project Information'!$F$24,", ",'Part I-Project Information'!$J$25," County")</f>
        <v>2012-042 Adair Court, Atlanta, Fulton County</v>
      </c>
      <c r="B50" s="1000"/>
      <c r="C50" s="1000"/>
      <c r="D50" s="1000"/>
      <c r="E50" s="1000"/>
      <c r="F50" s="1000"/>
      <c r="G50" s="297"/>
      <c r="H50" s="297"/>
    </row>
    <row r="51" spans="1:10" ht="15">
      <c r="A51" s="1001" t="s">
        <v>653</v>
      </c>
      <c r="B51" s="1001"/>
      <c r="C51" s="1001"/>
      <c r="D51" s="1001"/>
      <c r="E51" s="1001"/>
      <c r="F51" s="1001"/>
      <c r="G51" s="333"/>
      <c r="H51" s="333"/>
      <c r="I51" s="333"/>
      <c r="J51" s="333"/>
    </row>
    <row r="52" spans="1:10" ht="5.45" customHeight="1">
      <c r="C52" s="270"/>
      <c r="D52" s="270"/>
      <c r="G52" s="275"/>
      <c r="H52" s="269"/>
      <c r="I52" s="275"/>
    </row>
    <row r="53" spans="1:10">
      <c r="A53" s="273" t="s">
        <v>654</v>
      </c>
      <c r="B53" s="273" t="s">
        <v>655</v>
      </c>
      <c r="C53" s="273" t="s">
        <v>2278</v>
      </c>
      <c r="D53" s="273" t="s">
        <v>656</v>
      </c>
      <c r="E53" s="273" t="s">
        <v>657</v>
      </c>
      <c r="F53" s="307" t="s">
        <v>787</v>
      </c>
      <c r="G53" s="334"/>
      <c r="H53" s="334"/>
      <c r="I53" s="334"/>
    </row>
    <row r="54" spans="1:10" ht="3.6" customHeight="1">
      <c r="F54" s="108"/>
      <c r="G54" s="275"/>
      <c r="H54" s="269"/>
      <c r="I54" s="275"/>
    </row>
    <row r="55" spans="1:10">
      <c r="A55" s="31" t="s">
        <v>658</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W212"/>
  <sheetViews>
    <sheetView showGridLines="0" zoomScale="12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42578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4" t="str">
        <f>CONCATENATE("PART FOUR -  USES OF FUNDS","  -  ",'Part I-Project Information'!$O$4," ",'Part I-Project Information'!$F$22,", ",'Part I-Project Information'!F24,", ",'Part I-Project Information'!J25," County")</f>
        <v>PART FOUR -  USES OF FUNDS  -  2012-042 Adair Court, Atlanta, Fulton County</v>
      </c>
      <c r="B1" s="1075"/>
      <c r="C1" s="1075"/>
      <c r="D1" s="1075"/>
      <c r="E1" s="1075"/>
      <c r="F1" s="1075"/>
      <c r="G1" s="1075"/>
      <c r="H1" s="1075"/>
      <c r="I1" s="1075"/>
      <c r="J1" s="1075"/>
      <c r="K1" s="1075"/>
      <c r="L1" s="1075"/>
      <c r="M1" s="1075"/>
      <c r="N1" s="1075"/>
      <c r="O1" s="1075"/>
      <c r="P1" s="1075"/>
      <c r="Q1" s="1075"/>
      <c r="R1" s="1075"/>
      <c r="S1" s="1075"/>
      <c r="T1" s="1075"/>
      <c r="V1" s="1072" t="str">
        <f>A1</f>
        <v>PART FOUR -  USES OF FUNDS  -  2012-042 Adair Court, Atlanta, Fulton County</v>
      </c>
      <c r="W1" s="1072"/>
    </row>
    <row r="2" spans="1:23" ht="2.25" customHeight="1"/>
    <row r="3" spans="1:23" s="449" customFormat="1">
      <c r="A3" s="1073" t="s">
        <v>3699</v>
      </c>
      <c r="B3" s="1073"/>
      <c r="C3" s="1073"/>
      <c r="D3" s="1073"/>
      <c r="E3" s="1073"/>
      <c r="F3" s="1073"/>
      <c r="G3" s="1073"/>
      <c r="H3" s="1073"/>
      <c r="I3" s="1073"/>
      <c r="J3" s="1073"/>
      <c r="K3" s="1073"/>
      <c r="L3" s="1073"/>
      <c r="M3" s="1073"/>
      <c r="N3" s="1073"/>
      <c r="O3" s="1073"/>
      <c r="P3" s="1073"/>
      <c r="Q3" s="1073"/>
      <c r="R3" s="1073"/>
      <c r="S3" s="1073"/>
      <c r="T3" s="1073"/>
    </row>
    <row r="4" spans="1:23" s="449" customFormat="1" ht="2.1" customHeight="1" thickBot="1">
      <c r="A4" s="845"/>
      <c r="B4" s="845"/>
      <c r="C4" s="845"/>
      <c r="D4" s="845"/>
      <c r="E4" s="845"/>
      <c r="F4" s="845"/>
      <c r="G4" s="845"/>
      <c r="H4" s="845"/>
      <c r="I4" s="845"/>
      <c r="J4" s="845"/>
      <c r="K4" s="845"/>
      <c r="L4" s="845"/>
      <c r="M4" s="845"/>
      <c r="N4" s="845"/>
      <c r="O4" s="845"/>
      <c r="P4" s="845"/>
      <c r="Q4" s="845"/>
      <c r="R4" s="845"/>
      <c r="S4" s="845"/>
      <c r="T4" s="845"/>
    </row>
    <row r="5" spans="1:23" s="449" customFormat="1" ht="21" customHeight="1" thickBot="1">
      <c r="A5" s="685" t="s">
        <v>3133</v>
      </c>
      <c r="B5" s="685" t="s">
        <v>2664</v>
      </c>
      <c r="H5" s="834"/>
      <c r="I5" s="834"/>
      <c r="J5" s="1014" t="s">
        <v>3700</v>
      </c>
      <c r="K5" s="1015"/>
      <c r="L5" s="513"/>
      <c r="M5" s="1067" t="s">
        <v>3441</v>
      </c>
      <c r="N5" s="1068"/>
      <c r="P5" s="1014" t="s">
        <v>3701</v>
      </c>
      <c r="Q5" s="1015"/>
      <c r="S5" s="1014" t="s">
        <v>3702</v>
      </c>
      <c r="T5" s="1015"/>
      <c r="V5" s="686" t="str">
        <f>B5</f>
        <v>DEVELOPMENT BUDGET</v>
      </c>
    </row>
    <row r="6" spans="1:23" s="449" customFormat="1" ht="21" customHeight="1" thickBot="1">
      <c r="G6" s="1059" t="s">
        <v>3974</v>
      </c>
      <c r="H6" s="1060"/>
      <c r="J6" s="1016"/>
      <c r="K6" s="1017"/>
      <c r="L6" s="513"/>
      <c r="M6" s="1069"/>
      <c r="N6" s="1070"/>
      <c r="P6" s="1016"/>
      <c r="Q6" s="1017"/>
      <c r="S6" s="1016"/>
      <c r="T6" s="1017"/>
      <c r="V6" s="1009" t="s">
        <v>197</v>
      </c>
      <c r="W6" s="1009"/>
    </row>
    <row r="7" spans="1:23" s="449" customFormat="1" ht="13.35" customHeight="1">
      <c r="B7" s="452" t="s">
        <v>3975</v>
      </c>
      <c r="O7" s="845" t="str">
        <f>B7</f>
        <v>PRE-DEVELOPMENT COSTS</v>
      </c>
      <c r="V7" s="449" t="str">
        <f>B7</f>
        <v>PRE-DEVELOPMENT COSTS</v>
      </c>
    </row>
    <row r="8" spans="1:23" s="449" customFormat="1" ht="12.6" customHeight="1">
      <c r="B8" s="449" t="s">
        <v>1168</v>
      </c>
      <c r="G8" s="1414">
        <v>7000</v>
      </c>
      <c r="H8" s="1415"/>
      <c r="J8" s="1414">
        <f>G8</f>
        <v>7000</v>
      </c>
      <c r="K8" s="1415"/>
      <c r="L8" s="844"/>
      <c r="M8" s="1414"/>
      <c r="N8" s="1415"/>
      <c r="P8" s="1414"/>
      <c r="Q8" s="1415"/>
      <c r="S8" s="1414"/>
      <c r="T8" s="1415"/>
      <c r="V8" s="1441"/>
      <c r="W8" s="1442"/>
    </row>
    <row r="9" spans="1:23" s="449" customFormat="1" ht="12.6" customHeight="1">
      <c r="B9" s="449" t="s">
        <v>3480</v>
      </c>
      <c r="G9" s="1414">
        <v>7000</v>
      </c>
      <c r="H9" s="1415"/>
      <c r="J9" s="1414">
        <f>G9</f>
        <v>7000</v>
      </c>
      <c r="K9" s="1415"/>
      <c r="L9" s="844"/>
      <c r="M9" s="1414"/>
      <c r="N9" s="1415"/>
      <c r="P9" s="1414"/>
      <c r="Q9" s="1415"/>
      <c r="S9" s="1414"/>
      <c r="T9" s="1415"/>
      <c r="V9" s="1443"/>
      <c r="W9" s="1444"/>
    </row>
    <row r="10" spans="1:23" s="449" customFormat="1" ht="12.6" customHeight="1">
      <c r="B10" s="449" t="s">
        <v>3438</v>
      </c>
      <c r="G10" s="1414">
        <v>10000</v>
      </c>
      <c r="H10" s="1415"/>
      <c r="J10" s="1414">
        <f>G10</f>
        <v>10000</v>
      </c>
      <c r="K10" s="1415"/>
      <c r="L10" s="844"/>
      <c r="M10" s="1414"/>
      <c r="N10" s="1415"/>
      <c r="P10" s="1414"/>
      <c r="Q10" s="1415"/>
      <c r="S10" s="1414"/>
      <c r="T10" s="1415"/>
      <c r="V10" s="1443"/>
      <c r="W10" s="1444"/>
    </row>
    <row r="11" spans="1:23" s="449" customFormat="1" ht="12.6" customHeight="1">
      <c r="B11" s="449" t="s">
        <v>3439</v>
      </c>
      <c r="G11" s="1414"/>
      <c r="H11" s="1415"/>
      <c r="J11" s="1414"/>
      <c r="K11" s="1415"/>
      <c r="L11" s="844"/>
      <c r="M11" s="1414"/>
      <c r="N11" s="1415"/>
      <c r="P11" s="1414"/>
      <c r="Q11" s="1415"/>
      <c r="S11" s="1414"/>
      <c r="T11" s="1415"/>
      <c r="V11" s="1443"/>
      <c r="W11" s="1444"/>
    </row>
    <row r="12" spans="1:23" s="449" customFormat="1" ht="12.6" customHeight="1">
      <c r="B12" s="449" t="s">
        <v>571</v>
      </c>
      <c r="G12" s="1414">
        <v>25000</v>
      </c>
      <c r="H12" s="1415"/>
      <c r="J12" s="1414">
        <f>G12</f>
        <v>25000</v>
      </c>
      <c r="K12" s="1415"/>
      <c r="L12" s="844"/>
      <c r="M12" s="1414"/>
      <c r="N12" s="1415"/>
      <c r="P12" s="1414"/>
      <c r="Q12" s="1415"/>
      <c r="S12" s="1414"/>
      <c r="T12" s="1415"/>
      <c r="V12" s="1443"/>
      <c r="W12" s="1444"/>
    </row>
    <row r="13" spans="1:23" s="449" customFormat="1" ht="12.6" customHeight="1">
      <c r="B13" s="449" t="s">
        <v>3827</v>
      </c>
      <c r="G13" s="1414"/>
      <c r="H13" s="1415"/>
      <c r="J13" s="1414"/>
      <c r="K13" s="1415"/>
      <c r="L13" s="844"/>
      <c r="M13" s="1414"/>
      <c r="N13" s="1415"/>
      <c r="P13" s="1414"/>
      <c r="Q13" s="1415"/>
      <c r="S13" s="1414"/>
      <c r="T13" s="1415"/>
      <c r="V13" s="1443"/>
      <c r="W13" s="1444"/>
    </row>
    <row r="14" spans="1:23" s="449" customFormat="1" ht="12.6" customHeight="1">
      <c r="A14" s="549" t="str">
        <f>IF(AND(G14&gt;0,OR(C14="",C14="&lt;Enter detailed description here; use Comments section if needed&gt;")),"X","")</f>
        <v/>
      </c>
      <c r="B14" s="449" t="s">
        <v>2833</v>
      </c>
      <c r="C14" s="1292" t="s">
        <v>581</v>
      </c>
      <c r="D14" s="1292"/>
      <c r="E14" s="1292"/>
      <c r="F14" s="1293"/>
      <c r="G14" s="1414"/>
      <c r="H14" s="1415"/>
      <c r="J14" s="1414"/>
      <c r="K14" s="1415"/>
      <c r="L14" s="844"/>
      <c r="M14" s="1414"/>
      <c r="N14" s="1415"/>
      <c r="P14" s="1414"/>
      <c r="Q14" s="1415"/>
      <c r="S14" s="1414"/>
      <c r="T14" s="1415"/>
      <c r="U14" s="548" t="str">
        <f>IF(AND(G14&gt;0,OR(C14="",C14="&lt;Enter detailed description here; use Comments section if needed&gt;")),"NO DESCRIPTION PROVIDED - please enter detailed description in Other box at left; use Comments section below if needed.","")</f>
        <v/>
      </c>
      <c r="V14" s="1443"/>
      <c r="W14" s="1444"/>
    </row>
    <row r="15" spans="1:23" s="449" customFormat="1" ht="12.6" customHeight="1">
      <c r="A15" s="549" t="str">
        <f>IF(AND(G15&gt;0,OR(C15="",C15="&lt;Enter detailed description here; use Comments section if needed&gt;")),"X","")</f>
        <v/>
      </c>
      <c r="B15" s="449" t="s">
        <v>2833</v>
      </c>
      <c r="C15" s="1292" t="s">
        <v>581</v>
      </c>
      <c r="D15" s="1292"/>
      <c r="E15" s="1292"/>
      <c r="F15" s="1293"/>
      <c r="G15" s="1414"/>
      <c r="H15" s="1415"/>
      <c r="J15" s="1414"/>
      <c r="K15" s="1415"/>
      <c r="L15" s="844"/>
      <c r="M15" s="1414"/>
      <c r="N15" s="1415"/>
      <c r="P15" s="1414"/>
      <c r="Q15" s="1415"/>
      <c r="S15" s="1414"/>
      <c r="T15" s="1415"/>
      <c r="U15" s="548" t="str">
        <f>IF(AND(G15&gt;0,OR(C15="",C15="&lt;Enter detailed description here; use Comments section if needed&gt;")),"NO DESCRIPTION PROVIDED - please enter detailed description in Other box at left; use Comments section below if needed.","")</f>
        <v/>
      </c>
      <c r="V15" s="1443"/>
      <c r="W15" s="1444"/>
    </row>
    <row r="16" spans="1:23" s="449" customFormat="1" ht="12.6" customHeight="1" thickBot="1">
      <c r="A16" s="549" t="str">
        <f>IF(AND(G16&gt;0,OR(C16="",C16="&lt;Enter detailed description here; use Comments section if needed&gt;")),"X","")</f>
        <v/>
      </c>
      <c r="B16" s="449" t="s">
        <v>2833</v>
      </c>
      <c r="C16" s="1292" t="s">
        <v>581</v>
      </c>
      <c r="D16" s="1292"/>
      <c r="E16" s="1292"/>
      <c r="F16" s="1293"/>
      <c r="G16" s="1414"/>
      <c r="H16" s="1415"/>
      <c r="J16" s="1445"/>
      <c r="K16" s="1446"/>
      <c r="L16" s="844"/>
      <c r="M16" s="1414"/>
      <c r="N16" s="1415"/>
      <c r="P16" s="1414"/>
      <c r="Q16" s="1415"/>
      <c r="S16" s="1445"/>
      <c r="T16" s="1446"/>
      <c r="U16" s="548" t="str">
        <f>IF(AND(G16&gt;0,OR(C16="",C16="&lt;Enter detailed description here; use Comments section if needed&gt;")),"NO DESCRIPTION PROVIDED - please enter detailed description in Other box at left; use Comments section below if needed.","")</f>
        <v/>
      </c>
      <c r="V16" s="1443"/>
      <c r="W16" s="1444"/>
    </row>
    <row r="17" spans="2:23" s="449" customFormat="1" ht="12.6" customHeight="1" thickTop="1">
      <c r="F17" s="514" t="s">
        <v>3828</v>
      </c>
      <c r="G17" s="1018">
        <f>SUM(G8:H16)</f>
        <v>49000</v>
      </c>
      <c r="H17" s="1019"/>
      <c r="J17" s="1018">
        <f>SUM(J8:K16)</f>
        <v>49000</v>
      </c>
      <c r="K17" s="1065"/>
      <c r="L17" s="844"/>
      <c r="M17" s="1018">
        <f>SUM(M8:N16)</f>
        <v>0</v>
      </c>
      <c r="N17" s="1019"/>
      <c r="P17" s="1018">
        <f>SUM(P8:Q16)</f>
        <v>0</v>
      </c>
      <c r="Q17" s="1019"/>
      <c r="S17" s="1018">
        <f>SUM(S8:T16)</f>
        <v>0</v>
      </c>
      <c r="T17" s="1019"/>
      <c r="V17" s="1447"/>
      <c r="W17" s="1448"/>
    </row>
    <row r="18" spans="2:23" s="449" customFormat="1" ht="13.35" customHeight="1">
      <c r="B18" s="452" t="s">
        <v>911</v>
      </c>
      <c r="J18" s="513"/>
      <c r="K18" s="513"/>
      <c r="M18" s="513"/>
      <c r="N18" s="513"/>
      <c r="O18" s="515" t="str">
        <f>B18</f>
        <v>ACQUISITION</v>
      </c>
      <c r="P18" s="513"/>
      <c r="Q18" s="513"/>
      <c r="S18" s="513"/>
      <c r="T18" s="513"/>
      <c r="V18" s="449" t="str">
        <f>B18</f>
        <v>ACQUISITION</v>
      </c>
    </row>
    <row r="19" spans="2:23" s="449" customFormat="1" ht="12.6" customHeight="1">
      <c r="B19" s="449" t="s">
        <v>912</v>
      </c>
      <c r="G19" s="1414">
        <v>975000</v>
      </c>
      <c r="H19" s="1415"/>
      <c r="J19" s="516"/>
      <c r="K19" s="513"/>
      <c r="L19" s="516"/>
      <c r="M19" s="516"/>
      <c r="N19" s="513"/>
      <c r="P19" s="516"/>
      <c r="Q19" s="513"/>
      <c r="S19" s="1414"/>
      <c r="T19" s="1415"/>
      <c r="V19" s="1441"/>
      <c r="W19" s="1442"/>
    </row>
    <row r="20" spans="2:23" s="449" customFormat="1" ht="12.6" customHeight="1">
      <c r="B20" s="449" t="s">
        <v>2475</v>
      </c>
      <c r="G20" s="1414"/>
      <c r="H20" s="1415"/>
      <c r="J20" s="516"/>
      <c r="K20" s="513"/>
      <c r="L20" s="516"/>
      <c r="M20" s="516"/>
      <c r="N20" s="513"/>
      <c r="P20" s="516"/>
      <c r="Q20" s="513"/>
      <c r="S20" s="1414"/>
      <c r="T20" s="1415"/>
      <c r="V20" s="1443"/>
      <c r="W20" s="1444"/>
    </row>
    <row r="21" spans="2:23" s="449" customFormat="1" ht="12.6" customHeight="1">
      <c r="B21" s="449" t="s">
        <v>3481</v>
      </c>
      <c r="G21" s="1414"/>
      <c r="H21" s="1415"/>
      <c r="J21" s="516"/>
      <c r="K21" s="513"/>
      <c r="L21" s="516"/>
      <c r="M21" s="1414"/>
      <c r="N21" s="1415"/>
      <c r="P21" s="516"/>
      <c r="Q21" s="513"/>
      <c r="S21" s="1414"/>
      <c r="T21" s="1415"/>
      <c r="V21" s="1443"/>
      <c r="W21" s="1444"/>
    </row>
    <row r="22" spans="2:23" s="449" customFormat="1" ht="12.6" customHeight="1" thickBot="1">
      <c r="B22" s="449" t="s">
        <v>3534</v>
      </c>
      <c r="G22" s="1449"/>
      <c r="H22" s="1450"/>
      <c r="J22" s="516"/>
      <c r="K22" s="513"/>
      <c r="L22" s="516"/>
      <c r="M22" s="1449"/>
      <c r="N22" s="1450"/>
      <c r="P22" s="516"/>
      <c r="Q22" s="513"/>
      <c r="S22" s="1414"/>
      <c r="T22" s="1415"/>
      <c r="V22" s="1443"/>
      <c r="W22" s="1444"/>
    </row>
    <row r="23" spans="2:23" s="449" customFormat="1" ht="12.6" customHeight="1" thickTop="1">
      <c r="F23" s="514" t="s">
        <v>3828</v>
      </c>
      <c r="G23" s="1018">
        <f>SUM(G19:H22)</f>
        <v>975000</v>
      </c>
      <c r="H23" s="1019"/>
      <c r="J23" s="516"/>
      <c r="K23" s="513"/>
      <c r="L23" s="516"/>
      <c r="M23" s="1018">
        <f>SUM(M21:N22)</f>
        <v>0</v>
      </c>
      <c r="N23" s="1019"/>
      <c r="P23" s="516"/>
      <c r="Q23" s="513"/>
      <c r="S23" s="1018">
        <f>SUM(S19:T22)</f>
        <v>0</v>
      </c>
      <c r="T23" s="1019"/>
      <c r="V23" s="1447"/>
      <c r="W23" s="1448"/>
    </row>
    <row r="24" spans="2:23" s="449" customFormat="1" ht="13.35" customHeight="1">
      <c r="B24" s="452" t="s">
        <v>2476</v>
      </c>
      <c r="J24" s="516"/>
      <c r="K24" s="513"/>
      <c r="M24" s="516"/>
      <c r="N24" s="513"/>
      <c r="O24" s="515" t="str">
        <f>B24</f>
        <v>LAND IMPROVEMENTS</v>
      </c>
      <c r="P24" s="516"/>
      <c r="Q24" s="513"/>
      <c r="S24" s="516"/>
      <c r="T24" s="513"/>
      <c r="V24" s="449" t="str">
        <f>B24</f>
        <v>LAND IMPROVEMENTS</v>
      </c>
    </row>
    <row r="25" spans="2:23" s="449" customFormat="1" ht="12.6" customHeight="1">
      <c r="B25" s="449" t="s">
        <v>2477</v>
      </c>
      <c r="G25" s="1414">
        <v>548546</v>
      </c>
      <c r="H25" s="1415"/>
      <c r="J25" s="1414">
        <f>G25</f>
        <v>548546</v>
      </c>
      <c r="K25" s="1415"/>
      <c r="L25" s="844"/>
      <c r="M25" s="1445"/>
      <c r="N25" s="1446"/>
      <c r="P25" s="1445"/>
      <c r="Q25" s="1446"/>
      <c r="S25" s="1414"/>
      <c r="T25" s="1415"/>
      <c r="V25" s="1441"/>
      <c r="W25" s="1442"/>
    </row>
    <row r="26" spans="2:23" s="449" customFormat="1" ht="12.6" customHeight="1" thickBot="1">
      <c r="B26" s="449" t="s">
        <v>2478</v>
      </c>
      <c r="G26" s="1414"/>
      <c r="H26" s="1415"/>
      <c r="J26" s="1445"/>
      <c r="K26" s="1446"/>
      <c r="L26" s="517"/>
      <c r="M26" s="1066"/>
      <c r="N26" s="1066"/>
      <c r="P26" s="1066"/>
      <c r="Q26" s="1066"/>
      <c r="S26" s="1414"/>
      <c r="T26" s="1415"/>
      <c r="V26" s="1443"/>
      <c r="W26" s="1444"/>
    </row>
    <row r="27" spans="2:23" s="449" customFormat="1" ht="12.6" customHeight="1" thickTop="1">
      <c r="F27" s="514" t="s">
        <v>3828</v>
      </c>
      <c r="G27" s="1018">
        <f>SUM(G25:H26)</f>
        <v>548546</v>
      </c>
      <c r="H27" s="1019"/>
      <c r="J27" s="1018">
        <f>SUM(J25:K26)</f>
        <v>548546</v>
      </c>
      <c r="K27" s="1019"/>
      <c r="L27" s="516"/>
      <c r="M27" s="1018">
        <f>M25</f>
        <v>0</v>
      </c>
      <c r="N27" s="1019"/>
      <c r="P27" s="1018">
        <f>P25</f>
        <v>0</v>
      </c>
      <c r="Q27" s="1019"/>
      <c r="S27" s="1018">
        <f>SUM(S25:T26)</f>
        <v>0</v>
      </c>
      <c r="T27" s="1019"/>
      <c r="V27" s="1447"/>
      <c r="W27" s="1448"/>
    </row>
    <row r="28" spans="2:23" s="449" customFormat="1" ht="13.35" customHeight="1">
      <c r="B28" s="452" t="s">
        <v>2479</v>
      </c>
      <c r="J28" s="516"/>
      <c r="K28" s="513"/>
      <c r="M28" s="516"/>
      <c r="N28" s="513"/>
      <c r="O28" s="515" t="str">
        <f>B28</f>
        <v>STRUCTURES</v>
      </c>
      <c r="P28" s="516"/>
      <c r="Q28" s="513"/>
      <c r="S28" s="516"/>
      <c r="T28" s="513"/>
      <c r="V28" s="449" t="str">
        <f>B28</f>
        <v>STRUCTURES</v>
      </c>
    </row>
    <row r="29" spans="2:23" s="449" customFormat="1" ht="12.6" customHeight="1">
      <c r="B29" s="449" t="s">
        <v>2480</v>
      </c>
      <c r="G29" s="1414">
        <v>6910675</v>
      </c>
      <c r="H29" s="1415"/>
      <c r="J29" s="1414">
        <f>G29</f>
        <v>6910675</v>
      </c>
      <c r="K29" s="1415"/>
      <c r="L29" s="844"/>
      <c r="M29" s="1414"/>
      <c r="N29" s="1415"/>
      <c r="P29" s="1414"/>
      <c r="Q29" s="1415"/>
      <c r="S29" s="1414"/>
      <c r="T29" s="1415"/>
      <c r="V29" s="1441"/>
      <c r="W29" s="1442"/>
    </row>
    <row r="30" spans="2:23" s="449" customFormat="1" ht="12.6" customHeight="1">
      <c r="B30" s="449" t="s">
        <v>2481</v>
      </c>
      <c r="G30" s="1414"/>
      <c r="H30" s="1415"/>
      <c r="J30" s="1414"/>
      <c r="K30" s="1415"/>
      <c r="L30" s="844"/>
      <c r="M30" s="1414"/>
      <c r="N30" s="1415"/>
      <c r="P30" s="1414"/>
      <c r="Q30" s="1415"/>
      <c r="S30" s="1414"/>
      <c r="T30" s="1415"/>
      <c r="V30" s="1443"/>
      <c r="W30" s="1444"/>
    </row>
    <row r="31" spans="2:23" ht="12.6" customHeight="1" thickBot="1">
      <c r="B31" s="449" t="s">
        <v>2482</v>
      </c>
      <c r="G31" s="1414"/>
      <c r="H31" s="1415"/>
      <c r="I31" s="449"/>
      <c r="J31" s="1414"/>
      <c r="K31" s="1415"/>
      <c r="L31" s="844"/>
      <c r="M31" s="1414"/>
      <c r="N31" s="1415"/>
      <c r="O31" s="449"/>
      <c r="P31" s="1414"/>
      <c r="Q31" s="1415"/>
      <c r="R31" s="449"/>
      <c r="S31" s="1414"/>
      <c r="T31" s="1415"/>
      <c r="V31" s="1443"/>
      <c r="W31" s="1444"/>
    </row>
    <row r="32" spans="2:23" s="449" customFormat="1" ht="12.6" customHeight="1" thickTop="1">
      <c r="C32" s="1071"/>
      <c r="D32" s="1071"/>
      <c r="E32" s="846"/>
      <c r="F32" s="514" t="s">
        <v>3828</v>
      </c>
      <c r="G32" s="1018">
        <f>SUM(G29:H31)</f>
        <v>6910675</v>
      </c>
      <c r="H32" s="1019"/>
      <c r="J32" s="1018">
        <f>SUM(J29:K31)</f>
        <v>6910675</v>
      </c>
      <c r="K32" s="1019"/>
      <c r="L32" s="844"/>
      <c r="M32" s="1018">
        <f>SUM(M29:N31)</f>
        <v>0</v>
      </c>
      <c r="N32" s="1019"/>
      <c r="P32" s="1018">
        <f>SUM(P29:Q31)</f>
        <v>0</v>
      </c>
      <c r="Q32" s="1019"/>
      <c r="S32" s="1018">
        <f>SUM(S29:T31)</f>
        <v>0</v>
      </c>
      <c r="T32" s="1019"/>
      <c r="V32" s="1447"/>
      <c r="W32" s="1448"/>
    </row>
    <row r="33" spans="1:23" s="449" customFormat="1" ht="13.35" customHeight="1">
      <c r="B33" s="452" t="s">
        <v>878</v>
      </c>
      <c r="E33" s="623">
        <f>E34+E35</f>
        <v>0.14000000000000001</v>
      </c>
      <c r="F33" s="839"/>
      <c r="G33" s="541"/>
      <c r="H33" s="472"/>
      <c r="I33" s="472"/>
      <c r="J33" s="516"/>
      <c r="K33" s="513"/>
      <c r="M33" s="516"/>
      <c r="N33" s="513"/>
      <c r="O33" s="515" t="str">
        <f>B33</f>
        <v>CONTRACTOR SERVICES</v>
      </c>
      <c r="P33" s="516"/>
      <c r="Q33" s="513"/>
      <c r="S33" s="516"/>
      <c r="T33" s="513"/>
      <c r="V33" s="449" t="str">
        <f>B33</f>
        <v>CONTRACTOR SERVICES</v>
      </c>
    </row>
    <row r="34" spans="1:23" s="449" customFormat="1" ht="12.6" customHeight="1">
      <c r="B34" s="449" t="s">
        <v>879</v>
      </c>
      <c r="E34" s="518">
        <f>'DCA Underwriting Assumptions'!$R$38</f>
        <v>0.06</v>
      </c>
      <c r="F34" s="606">
        <f>E34*($G$27+$G$32)</f>
        <v>447553.26</v>
      </c>
      <c r="G34" s="1414">
        <v>440000</v>
      </c>
      <c r="H34" s="1415"/>
      <c r="I34" s="472"/>
      <c r="J34" s="1414">
        <f>G34</f>
        <v>440000</v>
      </c>
      <c r="K34" s="1415"/>
      <c r="L34" s="844"/>
      <c r="M34" s="1414"/>
      <c r="N34" s="1415"/>
      <c r="P34" s="1414"/>
      <c r="Q34" s="1415"/>
      <c r="S34" s="1414"/>
      <c r="T34" s="1415"/>
      <c r="V34" s="1441"/>
      <c r="W34" s="1442"/>
    </row>
    <row r="35" spans="1:23" s="449" customFormat="1" ht="12.6" customHeight="1" thickBot="1">
      <c r="B35" s="449" t="s">
        <v>1120</v>
      </c>
      <c r="E35" s="605">
        <f>'DCA Underwriting Assumptions'!$R$39+'DCA Underwriting Assumptions'!$R$40</f>
        <v>0.08</v>
      </c>
      <c r="F35" s="606">
        <f>E35*($G$27+$G$32)</f>
        <v>596737.68000000005</v>
      </c>
      <c r="G35" s="1414">
        <v>585000</v>
      </c>
      <c r="H35" s="1415"/>
      <c r="I35" s="472"/>
      <c r="J35" s="1414">
        <f>G35</f>
        <v>585000</v>
      </c>
      <c r="K35" s="1415"/>
      <c r="L35" s="844"/>
      <c r="M35" s="1414"/>
      <c r="N35" s="1415"/>
      <c r="P35" s="1414"/>
      <c r="Q35" s="1415"/>
      <c r="S35" s="1414"/>
      <c r="T35" s="1415"/>
      <c r="V35" s="1443"/>
      <c r="W35" s="1444"/>
    </row>
    <row r="36" spans="1:23" s="449" customFormat="1" ht="12.6" customHeight="1" thickTop="1">
      <c r="B36" s="449" t="s">
        <v>1121</v>
      </c>
      <c r="D36" s="521"/>
      <c r="E36" s="834"/>
      <c r="F36" s="607" t="s">
        <v>3828</v>
      </c>
      <c r="G36" s="1018">
        <f>SUM(G34:H35)</f>
        <v>1025000</v>
      </c>
      <c r="H36" s="1019"/>
      <c r="J36" s="1018">
        <f>SUM(J34:K35)</f>
        <v>1025000</v>
      </c>
      <c r="K36" s="1019"/>
      <c r="L36" s="516"/>
      <c r="M36" s="1018">
        <f>SUM(M34:N35)</f>
        <v>0</v>
      </c>
      <c r="N36" s="1019"/>
      <c r="P36" s="1018">
        <f>SUM(P34:Q35)</f>
        <v>0</v>
      </c>
      <c r="Q36" s="1019"/>
      <c r="S36" s="1018">
        <f>SUM(S34:T35)</f>
        <v>0</v>
      </c>
      <c r="T36" s="1019"/>
      <c r="V36" s="1447"/>
      <c r="W36" s="1448"/>
    </row>
    <row r="37" spans="1:23" s="449" customFormat="1" ht="6" customHeight="1">
      <c r="A37" s="845"/>
      <c r="B37" s="845"/>
      <c r="C37" s="845"/>
      <c r="D37" s="608"/>
      <c r="E37" s="608"/>
      <c r="F37" s="608"/>
      <c r="G37" s="845"/>
      <c r="H37" s="845"/>
      <c r="I37" s="845"/>
      <c r="J37" s="845"/>
      <c r="K37" s="845"/>
      <c r="L37" s="845"/>
      <c r="M37" s="845"/>
      <c r="N37" s="845"/>
      <c r="O37" s="845"/>
      <c r="P37" s="845"/>
      <c r="Q37" s="845"/>
      <c r="R37" s="845"/>
      <c r="S37" s="845"/>
      <c r="T37" s="845"/>
      <c r="V37" s="244" t="str">
        <f>B38</f>
        <v>Total Construction Hard Costs</v>
      </c>
    </row>
    <row r="38" spans="1:23" s="449" customFormat="1" ht="12.6" customHeight="1">
      <c r="B38" s="522" t="s">
        <v>2485</v>
      </c>
      <c r="C38" s="523"/>
      <c r="D38" s="524">
        <f>B39/'Part VI-Revenues &amp; Expenses'!$M$62</f>
        <v>93233.197802197799</v>
      </c>
      <c r="E38" s="524"/>
      <c r="F38" s="525" t="s">
        <v>2095</v>
      </c>
      <c r="V38" s="1441"/>
      <c r="W38" s="1442"/>
    </row>
    <row r="39" spans="1:23" s="449" customFormat="1" ht="12.6" customHeight="1">
      <c r="B39" s="1061">
        <f>G27+G32+G36</f>
        <v>8484221</v>
      </c>
      <c r="C39" s="1062"/>
      <c r="D39" s="526">
        <f>B39/'Part VI-Revenues &amp; Expenses'!$M$100</f>
        <v>116.71287921412073</v>
      </c>
      <c r="E39" s="526"/>
      <c r="F39" s="527" t="s">
        <v>2938</v>
      </c>
      <c r="J39" s="513"/>
      <c r="K39" s="513"/>
      <c r="L39" s="528"/>
      <c r="M39" s="513"/>
      <c r="N39" s="844"/>
      <c r="P39" s="513"/>
      <c r="Q39" s="844"/>
      <c r="S39" s="513"/>
      <c r="T39" s="844"/>
      <c r="V39" s="1447"/>
      <c r="W39" s="1448"/>
    </row>
    <row r="40" spans="1:23" s="449" customFormat="1" ht="6" customHeight="1">
      <c r="A40" s="845"/>
      <c r="B40" s="845"/>
      <c r="C40" s="845"/>
      <c r="D40" s="845"/>
      <c r="E40" s="845"/>
      <c r="F40" s="845"/>
      <c r="G40" s="845"/>
      <c r="H40" s="845"/>
      <c r="I40" s="845"/>
      <c r="J40" s="845"/>
      <c r="K40" s="845"/>
      <c r="L40" s="845"/>
      <c r="M40" s="845"/>
      <c r="N40" s="845"/>
      <c r="O40" s="845"/>
      <c r="P40" s="845"/>
      <c r="Q40" s="845"/>
      <c r="R40" s="845"/>
      <c r="S40" s="845"/>
      <c r="T40" s="845"/>
    </row>
    <row r="41" spans="1:23" s="449" customFormat="1" ht="13.35" customHeight="1">
      <c r="B41" s="452" t="s">
        <v>2483</v>
      </c>
      <c r="J41" s="516"/>
      <c r="K41" s="513"/>
      <c r="M41" s="516"/>
      <c r="N41" s="513"/>
      <c r="O41" s="515" t="str">
        <f>B41</f>
        <v>CONSTRUCTION CONTINGENCY</v>
      </c>
      <c r="P41" s="516"/>
      <c r="Q41" s="513"/>
      <c r="S41" s="516"/>
      <c r="T41" s="513"/>
      <c r="V41" s="449" t="str">
        <f>B41</f>
        <v>CONSTRUCTION CONTINGENCY</v>
      </c>
    </row>
    <row r="42" spans="1:23" ht="12.6" customHeight="1">
      <c r="B42" s="449" t="s">
        <v>1256</v>
      </c>
      <c r="F42" s="624">
        <f>G42/$B$39</f>
        <v>4.9999994106707024E-2</v>
      </c>
      <c r="G42" s="1414">
        <v>424211</v>
      </c>
      <c r="H42" s="1415"/>
      <c r="I42" s="449"/>
      <c r="J42" s="1414">
        <f>G42</f>
        <v>424211</v>
      </c>
      <c r="K42" s="1415"/>
      <c r="L42" s="844"/>
      <c r="M42" s="1414"/>
      <c r="N42" s="1415"/>
      <c r="O42" s="449"/>
      <c r="P42" s="1414"/>
      <c r="Q42" s="1415"/>
      <c r="R42" s="449"/>
      <c r="S42" s="1414"/>
      <c r="T42" s="1415"/>
      <c r="V42" s="1451"/>
      <c r="W42" s="1452"/>
    </row>
    <row r="43" spans="1:23" s="449" customFormat="1" ht="6" customHeight="1">
      <c r="A43" s="845"/>
      <c r="B43" s="845"/>
      <c r="C43" s="845"/>
      <c r="D43" s="845"/>
      <c r="E43" s="845"/>
      <c r="F43" s="845"/>
      <c r="G43" s="845"/>
      <c r="H43" s="845"/>
      <c r="I43" s="845"/>
      <c r="J43" s="845"/>
      <c r="K43" s="845"/>
      <c r="L43" s="845"/>
      <c r="M43" s="845"/>
      <c r="N43" s="845"/>
      <c r="O43" s="845"/>
      <c r="P43" s="845"/>
      <c r="Q43" s="845"/>
      <c r="R43" s="845"/>
      <c r="S43" s="845"/>
      <c r="T43" s="845"/>
    </row>
    <row r="44" spans="1:23" s="449" customFormat="1" ht="3" customHeight="1" thickBot="1">
      <c r="A44" s="845"/>
      <c r="B44" s="845"/>
      <c r="C44" s="845"/>
      <c r="D44" s="845"/>
      <c r="E44" s="845"/>
      <c r="F44" s="845"/>
      <c r="G44" s="845"/>
      <c r="H44" s="845"/>
      <c r="I44" s="845"/>
      <c r="J44" s="845"/>
      <c r="K44" s="845"/>
      <c r="L44" s="845"/>
      <c r="M44" s="845"/>
      <c r="N44" s="845"/>
      <c r="O44" s="845"/>
      <c r="P44" s="845"/>
      <c r="Q44" s="845"/>
      <c r="R44" s="845"/>
      <c r="S44" s="845"/>
      <c r="T44" s="845"/>
    </row>
    <row r="45" spans="1:23" s="449" customFormat="1" ht="18.75" customHeight="1" thickBot="1">
      <c r="A45" s="685" t="s">
        <v>3133</v>
      </c>
      <c r="B45" s="685" t="s">
        <v>2664</v>
      </c>
      <c r="H45" s="834"/>
      <c r="I45" s="834"/>
      <c r="J45" s="1014" t="s">
        <v>3700</v>
      </c>
      <c r="K45" s="1015"/>
      <c r="L45" s="513"/>
      <c r="M45" s="1067" t="s">
        <v>3441</v>
      </c>
      <c r="N45" s="1068"/>
      <c r="P45" s="1014" t="s">
        <v>3701</v>
      </c>
      <c r="Q45" s="1015"/>
      <c r="S45" s="1014" t="s">
        <v>3702</v>
      </c>
      <c r="T45" s="1015"/>
      <c r="V45" s="686" t="str">
        <f>B45</f>
        <v>DEVELOPMENT BUDGET</v>
      </c>
    </row>
    <row r="46" spans="1:23" s="449" customFormat="1" ht="18.75" customHeight="1" thickBot="1">
      <c r="G46" s="1059" t="s">
        <v>3974</v>
      </c>
      <c r="H46" s="1060"/>
      <c r="J46" s="1016"/>
      <c r="K46" s="1017"/>
      <c r="L46" s="513"/>
      <c r="M46" s="1069"/>
      <c r="N46" s="1070"/>
      <c r="P46" s="1016"/>
      <c r="Q46" s="1017"/>
      <c r="S46" s="1016"/>
      <c r="T46" s="1017"/>
      <c r="V46" s="1009" t="s">
        <v>197</v>
      </c>
      <c r="W46" s="1009"/>
    </row>
    <row r="47" spans="1:23" s="449" customFormat="1" ht="12" customHeight="1">
      <c r="B47" s="452" t="s">
        <v>3036</v>
      </c>
      <c r="J47" s="516"/>
      <c r="K47" s="513"/>
      <c r="M47" s="516"/>
      <c r="N47" s="513"/>
      <c r="O47" s="515" t="str">
        <f>B47</f>
        <v>CONSTRUCTION PERIOD FINANCING</v>
      </c>
      <c r="P47" s="516"/>
      <c r="Q47" s="513"/>
      <c r="S47" s="516"/>
      <c r="T47" s="513"/>
      <c r="V47" s="449" t="str">
        <f>B47</f>
        <v>CONSTRUCTION PERIOD FINANCING</v>
      </c>
    </row>
    <row r="48" spans="1:23" s="449" customFormat="1" ht="12" customHeight="1">
      <c r="B48" s="449" t="s">
        <v>881</v>
      </c>
      <c r="G48" s="1414">
        <v>107500</v>
      </c>
      <c r="H48" s="1415"/>
      <c r="J48" s="1414">
        <f>G48</f>
        <v>107500</v>
      </c>
      <c r="K48" s="1415"/>
      <c r="L48" s="844"/>
      <c r="M48" s="1414"/>
      <c r="N48" s="1415"/>
      <c r="P48" s="1414"/>
      <c r="Q48" s="1415"/>
      <c r="S48" s="1414"/>
      <c r="T48" s="1415"/>
      <c r="V48" s="1441"/>
      <c r="W48" s="1442"/>
    </row>
    <row r="49" spans="1:23" s="449" customFormat="1" ht="12" customHeight="1">
      <c r="B49" s="449" t="s">
        <v>882</v>
      </c>
      <c r="G49" s="1414">
        <v>302985</v>
      </c>
      <c r="H49" s="1415"/>
      <c r="J49" s="1414">
        <f>G49</f>
        <v>302985</v>
      </c>
      <c r="K49" s="1415"/>
      <c r="L49" s="844"/>
      <c r="M49" s="1414"/>
      <c r="N49" s="1415"/>
      <c r="P49" s="1414"/>
      <c r="Q49" s="1415"/>
      <c r="S49" s="1414"/>
      <c r="T49" s="1415"/>
      <c r="V49" s="1443"/>
      <c r="W49" s="1444"/>
    </row>
    <row r="50" spans="1:23" s="449" customFormat="1" ht="12" customHeight="1">
      <c r="B50" s="449" t="s">
        <v>883</v>
      </c>
      <c r="G50" s="1414"/>
      <c r="H50" s="1415"/>
      <c r="J50" s="1414"/>
      <c r="K50" s="1415"/>
      <c r="L50" s="844"/>
      <c r="M50" s="1414"/>
      <c r="N50" s="1415"/>
      <c r="P50" s="1414"/>
      <c r="Q50" s="1415"/>
      <c r="S50" s="1414"/>
      <c r="T50" s="1415"/>
      <c r="V50" s="1443"/>
      <c r="W50" s="1444"/>
    </row>
    <row r="51" spans="1:23" s="449" customFormat="1" ht="12" customHeight="1">
      <c r="B51" s="449" t="s">
        <v>155</v>
      </c>
      <c r="G51" s="1414"/>
      <c r="H51" s="1415"/>
      <c r="J51" s="1414"/>
      <c r="K51" s="1415"/>
      <c r="L51" s="844"/>
      <c r="M51" s="1414"/>
      <c r="N51" s="1415"/>
      <c r="P51" s="1414"/>
      <c r="Q51" s="1415"/>
      <c r="S51" s="1414"/>
      <c r="T51" s="1415"/>
      <c r="V51" s="1443"/>
      <c r="W51" s="1444"/>
    </row>
    <row r="52" spans="1:23" s="449" customFormat="1" ht="12" customHeight="1">
      <c r="B52" s="449" t="s">
        <v>3037</v>
      </c>
      <c r="G52" s="1414">
        <v>40000</v>
      </c>
      <c r="H52" s="1415"/>
      <c r="J52" s="1414">
        <f>G52</f>
        <v>40000</v>
      </c>
      <c r="K52" s="1415"/>
      <c r="L52" s="844"/>
      <c r="M52" s="1414"/>
      <c r="N52" s="1415"/>
      <c r="P52" s="1414"/>
      <c r="Q52" s="1415"/>
      <c r="S52" s="1414"/>
      <c r="T52" s="1415"/>
      <c r="V52" s="1443"/>
      <c r="W52" s="1444"/>
    </row>
    <row r="53" spans="1:23" s="449" customFormat="1" ht="12" customHeight="1">
      <c r="B53" s="449" t="s">
        <v>884</v>
      </c>
      <c r="G53" s="1414">
        <v>20000</v>
      </c>
      <c r="H53" s="1415"/>
      <c r="J53" s="1414">
        <f>G53</f>
        <v>20000</v>
      </c>
      <c r="K53" s="1415"/>
      <c r="L53" s="844"/>
      <c r="M53" s="1414"/>
      <c r="N53" s="1415"/>
      <c r="P53" s="1414"/>
      <c r="Q53" s="1415"/>
      <c r="S53" s="1414"/>
      <c r="T53" s="1415"/>
      <c r="V53" s="1443"/>
      <c r="W53" s="1444"/>
    </row>
    <row r="54" spans="1:23" s="449" customFormat="1" ht="12" customHeight="1">
      <c r="B54" s="449" t="s">
        <v>3711</v>
      </c>
      <c r="G54" s="1414"/>
      <c r="H54" s="1415"/>
      <c r="J54" s="1414"/>
      <c r="K54" s="1415"/>
      <c r="L54" s="844"/>
      <c r="M54" s="1414"/>
      <c r="N54" s="1415"/>
      <c r="P54" s="1414"/>
      <c r="Q54" s="1415"/>
      <c r="S54" s="1414"/>
      <c r="T54" s="1415"/>
      <c r="V54" s="1443"/>
      <c r="W54" s="1444"/>
    </row>
    <row r="55" spans="1:23" s="449" customFormat="1" ht="12" customHeight="1">
      <c r="B55" s="520" t="s">
        <v>2414</v>
      </c>
      <c r="D55" s="518"/>
      <c r="E55" s="518"/>
      <c r="F55" s="519"/>
      <c r="G55" s="1414"/>
      <c r="H55" s="1415"/>
      <c r="I55" s="472"/>
      <c r="J55" s="1414"/>
      <c r="K55" s="1415"/>
      <c r="L55" s="844"/>
      <c r="M55" s="1414"/>
      <c r="N55" s="1415"/>
      <c r="P55" s="1414"/>
      <c r="Q55" s="1415"/>
      <c r="S55" s="1414"/>
      <c r="T55" s="1415"/>
      <c r="V55" s="1443"/>
      <c r="W55" s="1444"/>
    </row>
    <row r="56" spans="1:23" s="449" customFormat="1" ht="12" customHeight="1" thickBot="1">
      <c r="A56" s="549" t="str">
        <f>IF(AND(G56&gt;0,OR(C56="",C56="&lt;Enter detailed description here; use Comments section if needed&gt;")),"X","")</f>
        <v/>
      </c>
      <c r="B56" s="449" t="s">
        <v>2833</v>
      </c>
      <c r="C56" s="1292" t="s">
        <v>581</v>
      </c>
      <c r="D56" s="1292"/>
      <c r="E56" s="1292"/>
      <c r="F56" s="1293"/>
      <c r="G56" s="1449"/>
      <c r="H56" s="1450"/>
      <c r="J56" s="1449"/>
      <c r="K56" s="1450"/>
      <c r="L56" s="844"/>
      <c r="M56" s="1449"/>
      <c r="N56" s="1450"/>
      <c r="P56" s="1449"/>
      <c r="Q56" s="1450"/>
      <c r="S56" s="1414"/>
      <c r="T56" s="1415"/>
      <c r="U56" s="548" t="str">
        <f>IF(AND(G56&gt;0,OR(C56="",C56="&lt;Enter detailed description here; use Comments section if needed&gt;")),"NO DESCRIPTION PROVIDED - please enter detailed description in Other box at left; use Comments section below if needed.","")</f>
        <v/>
      </c>
      <c r="V56" s="1443"/>
      <c r="W56" s="1444"/>
    </row>
    <row r="57" spans="1:23" s="449" customFormat="1" ht="12" customHeight="1" thickTop="1">
      <c r="F57" s="514" t="s">
        <v>3828</v>
      </c>
      <c r="G57" s="1018">
        <f>SUM(G48:H56)</f>
        <v>470485</v>
      </c>
      <c r="H57" s="1019"/>
      <c r="J57" s="1018">
        <f>SUM(J48:K56)</f>
        <v>470485</v>
      </c>
      <c r="K57" s="1019"/>
      <c r="L57" s="516"/>
      <c r="M57" s="1018">
        <f>SUM(M48:N56)</f>
        <v>0</v>
      </c>
      <c r="N57" s="1019"/>
      <c r="P57" s="1018">
        <f>SUM(P48:Q56)</f>
        <v>0</v>
      </c>
      <c r="Q57" s="1019"/>
      <c r="S57" s="1018">
        <f>SUM(S48:T56)</f>
        <v>0</v>
      </c>
      <c r="T57" s="1019"/>
      <c r="V57" s="1447"/>
      <c r="W57" s="1448"/>
    </row>
    <row r="58" spans="1:23" s="449" customFormat="1" ht="12" customHeight="1">
      <c r="B58" s="452" t="s">
        <v>3419</v>
      </c>
      <c r="G58" s="513"/>
      <c r="H58" s="513"/>
      <c r="J58" s="513"/>
      <c r="K58" s="513"/>
      <c r="M58" s="513"/>
      <c r="N58" s="513"/>
      <c r="O58" s="515" t="str">
        <f>B58</f>
        <v>PROFESSIONAL SERVICES</v>
      </c>
      <c r="P58" s="513"/>
      <c r="Q58" s="513"/>
      <c r="S58" s="513"/>
      <c r="T58" s="513"/>
      <c r="V58" s="449" t="str">
        <f>B58</f>
        <v>PROFESSIONAL SERVICES</v>
      </c>
    </row>
    <row r="59" spans="1:23" s="449" customFormat="1" ht="12" customHeight="1">
      <c r="B59" s="449" t="s">
        <v>3420</v>
      </c>
      <c r="G59" s="1414">
        <v>127275</v>
      </c>
      <c r="H59" s="1415"/>
      <c r="J59" s="1414">
        <f>G59</f>
        <v>127275</v>
      </c>
      <c r="K59" s="1415"/>
      <c r="L59" s="844"/>
      <c r="M59" s="1414"/>
      <c r="N59" s="1415"/>
      <c r="P59" s="1414"/>
      <c r="Q59" s="1415"/>
      <c r="S59" s="1414"/>
      <c r="T59" s="1415"/>
      <c r="V59" s="1441"/>
      <c r="W59" s="1442"/>
    </row>
    <row r="60" spans="1:23" s="449" customFormat="1" ht="12" customHeight="1">
      <c r="B60" s="449" t="s">
        <v>3421</v>
      </c>
      <c r="G60" s="1414">
        <v>30000</v>
      </c>
      <c r="H60" s="1415"/>
      <c r="J60" s="1414">
        <f>G60</f>
        <v>30000</v>
      </c>
      <c r="K60" s="1415"/>
      <c r="L60" s="844"/>
      <c r="M60" s="1414"/>
      <c r="N60" s="1415"/>
      <c r="P60" s="1414"/>
      <c r="Q60" s="1415"/>
      <c r="S60" s="1414"/>
      <c r="T60" s="1415"/>
      <c r="V60" s="1443"/>
      <c r="W60" s="1444"/>
    </row>
    <row r="61" spans="1:23" s="449" customFormat="1" ht="12" customHeight="1">
      <c r="B61" s="449" t="s">
        <v>2486</v>
      </c>
      <c r="G61" s="1414">
        <v>20000</v>
      </c>
      <c r="H61" s="1415"/>
      <c r="J61" s="1414">
        <f>G61</f>
        <v>20000</v>
      </c>
      <c r="K61" s="1415"/>
      <c r="L61" s="844"/>
      <c r="M61" s="1414"/>
      <c r="N61" s="1415"/>
      <c r="P61" s="1414"/>
      <c r="Q61" s="1415"/>
      <c r="S61" s="1414"/>
      <c r="T61" s="1415"/>
      <c r="V61" s="1443"/>
      <c r="W61" s="1444"/>
    </row>
    <row r="62" spans="1:23" s="449" customFormat="1" ht="12" customHeight="1">
      <c r="B62" s="449" t="s">
        <v>2487</v>
      </c>
      <c r="G62" s="1414">
        <v>86500</v>
      </c>
      <c r="H62" s="1415"/>
      <c r="J62" s="1414">
        <f>G62</f>
        <v>86500</v>
      </c>
      <c r="K62" s="1415"/>
      <c r="L62" s="844"/>
      <c r="M62" s="1414"/>
      <c r="N62" s="1415"/>
      <c r="P62" s="1414"/>
      <c r="Q62" s="1415"/>
      <c r="S62" s="1414"/>
      <c r="T62" s="1415"/>
      <c r="V62" s="1443"/>
      <c r="W62" s="1444"/>
    </row>
    <row r="63" spans="1:23" s="449" customFormat="1" ht="12" customHeight="1">
      <c r="B63" s="449" t="s">
        <v>2488</v>
      </c>
      <c r="G63" s="1414">
        <v>8000</v>
      </c>
      <c r="H63" s="1415"/>
      <c r="J63" s="1414">
        <f>G63</f>
        <v>8000</v>
      </c>
      <c r="K63" s="1415"/>
      <c r="L63" s="844"/>
      <c r="M63" s="1414"/>
      <c r="N63" s="1415"/>
      <c r="P63" s="1414"/>
      <c r="Q63" s="1415"/>
      <c r="S63" s="1414"/>
      <c r="T63" s="1415"/>
      <c r="V63" s="1443"/>
      <c r="W63" s="1444"/>
    </row>
    <row r="64" spans="1:23" s="449" customFormat="1" ht="12" customHeight="1">
      <c r="B64" s="449" t="s">
        <v>2489</v>
      </c>
      <c r="G64" s="1414"/>
      <c r="H64" s="1415"/>
      <c r="J64" s="1414"/>
      <c r="K64" s="1415"/>
      <c r="L64" s="844"/>
      <c r="M64" s="1414"/>
      <c r="N64" s="1415"/>
      <c r="P64" s="1414"/>
      <c r="Q64" s="1415"/>
      <c r="S64" s="1414"/>
      <c r="T64" s="1415"/>
      <c r="V64" s="1443"/>
      <c r="W64" s="1444"/>
    </row>
    <row r="65" spans="1:23" s="449" customFormat="1" ht="12" customHeight="1">
      <c r="B65" s="449" t="s">
        <v>3323</v>
      </c>
      <c r="G65" s="1414">
        <v>77375</v>
      </c>
      <c r="H65" s="1415"/>
      <c r="J65" s="1414">
        <f>G65</f>
        <v>77375</v>
      </c>
      <c r="K65" s="1415"/>
      <c r="L65" s="844"/>
      <c r="M65" s="1414"/>
      <c r="N65" s="1415"/>
      <c r="P65" s="1414"/>
      <c r="Q65" s="1415"/>
      <c r="S65" s="1414"/>
      <c r="T65" s="1415"/>
      <c r="V65" s="1443"/>
      <c r="W65" s="1444"/>
    </row>
    <row r="66" spans="1:23" s="449" customFormat="1" ht="12" customHeight="1">
      <c r="B66" s="449" t="s">
        <v>3324</v>
      </c>
      <c r="G66" s="1414">
        <v>50000</v>
      </c>
      <c r="H66" s="1415"/>
      <c r="J66" s="1414">
        <f>G66</f>
        <v>50000</v>
      </c>
      <c r="K66" s="1415"/>
      <c r="L66" s="844"/>
      <c r="M66" s="1414"/>
      <c r="N66" s="1415"/>
      <c r="P66" s="1414"/>
      <c r="Q66" s="1415"/>
      <c r="S66" s="1414"/>
      <c r="T66" s="1415"/>
      <c r="V66" s="1443"/>
      <c r="W66" s="1444"/>
    </row>
    <row r="67" spans="1:23" s="449" customFormat="1" ht="12" customHeight="1">
      <c r="B67" s="449" t="s">
        <v>1131</v>
      </c>
      <c r="G67" s="1414">
        <v>7500</v>
      </c>
      <c r="H67" s="1415"/>
      <c r="J67" s="1414"/>
      <c r="K67" s="1415"/>
      <c r="L67" s="844"/>
      <c r="M67" s="1414"/>
      <c r="N67" s="1415"/>
      <c r="P67" s="1414"/>
      <c r="Q67" s="1415"/>
      <c r="S67" s="1414"/>
      <c r="T67" s="1415"/>
      <c r="V67" s="1443"/>
      <c r="W67" s="1444"/>
    </row>
    <row r="68" spans="1:23" s="449" customFormat="1" ht="12" customHeight="1" thickBot="1">
      <c r="A68" s="549" t="str">
        <f>IF(AND(G68&gt;0,OR(C68="",C68="&lt;Enter detailed description here; use Comments section if needed&gt;")),"X","")</f>
        <v/>
      </c>
      <c r="B68" s="449" t="s">
        <v>2833</v>
      </c>
      <c r="C68" s="1292" t="s">
        <v>581</v>
      </c>
      <c r="D68" s="1292"/>
      <c r="E68" s="1292"/>
      <c r="F68" s="1293"/>
      <c r="G68" s="1414"/>
      <c r="H68" s="1415"/>
      <c r="J68" s="1414"/>
      <c r="K68" s="1415"/>
      <c r="L68" s="844"/>
      <c r="M68" s="1414"/>
      <c r="N68" s="1415"/>
      <c r="P68" s="1414"/>
      <c r="Q68" s="1415"/>
      <c r="S68" s="1414"/>
      <c r="T68" s="1415"/>
      <c r="U68" s="548" t="str">
        <f>IF(AND(G68&gt;0,OR(C68="",C68="&lt;Enter detailed description here; use Comments section if needed&gt;")),"NO DESCRIPTION PROVIDED - please enter detailed description in Other box at left; use Comments section below if needed.","")</f>
        <v/>
      </c>
      <c r="V68" s="1443"/>
      <c r="W68" s="1444"/>
    </row>
    <row r="69" spans="1:23" s="449" customFormat="1" ht="12" customHeight="1" thickTop="1">
      <c r="F69" s="514" t="s">
        <v>3828</v>
      </c>
      <c r="G69" s="1018">
        <f>SUM(G59:H68)</f>
        <v>406650</v>
      </c>
      <c r="H69" s="1019"/>
      <c r="J69" s="1018">
        <f>SUM(J59:K68)</f>
        <v>399150</v>
      </c>
      <c r="K69" s="1019"/>
      <c r="L69" s="516"/>
      <c r="M69" s="1018">
        <f>SUM(M59:N68)</f>
        <v>0</v>
      </c>
      <c r="N69" s="1019"/>
      <c r="P69" s="1018">
        <f>SUM(P59:Q68)</f>
        <v>0</v>
      </c>
      <c r="Q69" s="1019"/>
      <c r="S69" s="1018">
        <f>SUM(S59:T68)</f>
        <v>0</v>
      </c>
      <c r="T69" s="1019"/>
      <c r="V69" s="1447"/>
      <c r="W69" s="1448"/>
    </row>
    <row r="70" spans="1:23" ht="12" customHeight="1">
      <c r="A70" s="449"/>
      <c r="B70" s="452" t="s">
        <v>2237</v>
      </c>
      <c r="C70" s="449"/>
      <c r="D70" s="449"/>
      <c r="E70" s="449"/>
      <c r="F70" s="449"/>
      <c r="G70" s="449"/>
      <c r="H70" s="449"/>
      <c r="I70" s="449"/>
      <c r="J70" s="516"/>
      <c r="K70" s="516"/>
      <c r="M70" s="516"/>
      <c r="N70" s="516"/>
      <c r="O70" s="515" t="str">
        <f>B70</f>
        <v>LOCAL GOVERNMENT FEES</v>
      </c>
      <c r="P70" s="516"/>
      <c r="Q70" s="516"/>
      <c r="S70" s="516"/>
      <c r="T70" s="516"/>
      <c r="V70" s="449" t="str">
        <f>B70</f>
        <v>LOCAL GOVERNMENT FEES</v>
      </c>
    </row>
    <row r="71" spans="1:23" s="449" customFormat="1" ht="12" customHeight="1">
      <c r="B71" s="449" t="s">
        <v>2238</v>
      </c>
      <c r="G71" s="1414">
        <v>46419</v>
      </c>
      <c r="H71" s="1415"/>
      <c r="J71" s="1414">
        <f>G71</f>
        <v>46419</v>
      </c>
      <c r="K71" s="1415"/>
      <c r="L71" s="844"/>
      <c r="M71" s="1414"/>
      <c r="N71" s="1415"/>
      <c r="P71" s="1414"/>
      <c r="Q71" s="1415"/>
      <c r="S71" s="1414"/>
      <c r="T71" s="1415"/>
      <c r="V71" s="1453"/>
      <c r="W71" s="1454"/>
    </row>
    <row r="72" spans="1:23" s="449" customFormat="1" ht="12" customHeight="1">
      <c r="B72" s="449" t="s">
        <v>2239</v>
      </c>
      <c r="G72" s="1414">
        <v>135226</v>
      </c>
      <c r="H72" s="1415"/>
      <c r="J72" s="1414">
        <f>G72</f>
        <v>135226</v>
      </c>
      <c r="K72" s="1415"/>
      <c r="L72" s="844"/>
      <c r="M72" s="1414"/>
      <c r="N72" s="1415"/>
      <c r="P72" s="1414"/>
      <c r="Q72" s="1415"/>
      <c r="S72" s="1414"/>
      <c r="T72" s="1415"/>
      <c r="V72" s="1455"/>
      <c r="W72" s="1456"/>
    </row>
    <row r="73" spans="1:23" s="449" customFormat="1" ht="12" customHeight="1">
      <c r="B73" s="449" t="s">
        <v>2240</v>
      </c>
      <c r="D73" s="530" t="s">
        <v>2096</v>
      </c>
      <c r="E73" s="1457" t="s">
        <v>61</v>
      </c>
      <c r="G73" s="1414">
        <v>17905</v>
      </c>
      <c r="H73" s="1415"/>
      <c r="I73" s="472"/>
      <c r="J73" s="1414">
        <f>G73</f>
        <v>17905</v>
      </c>
      <c r="K73" s="1415"/>
      <c r="L73" s="844"/>
      <c r="M73" s="1414"/>
      <c r="N73" s="1415"/>
      <c r="P73" s="1414"/>
      <c r="Q73" s="1415"/>
      <c r="S73" s="1414"/>
      <c r="T73" s="1415"/>
      <c r="V73" s="1455"/>
      <c r="W73" s="1456"/>
    </row>
    <row r="74" spans="1:23" s="449" customFormat="1" ht="12" customHeight="1" thickBot="1">
      <c r="B74" s="449" t="s">
        <v>2241</v>
      </c>
      <c r="D74" s="530" t="s">
        <v>2096</v>
      </c>
      <c r="E74" s="1457"/>
      <c r="G74" s="1414"/>
      <c r="H74" s="1415"/>
      <c r="I74" s="472"/>
      <c r="J74" s="1414"/>
      <c r="K74" s="1415"/>
      <c r="L74" s="844"/>
      <c r="M74" s="1414"/>
      <c r="N74" s="1415"/>
      <c r="P74" s="1414"/>
      <c r="Q74" s="1415"/>
      <c r="S74" s="1414"/>
      <c r="T74" s="1415"/>
      <c r="V74" s="1455"/>
      <c r="W74" s="1456"/>
    </row>
    <row r="75" spans="1:23" s="449" customFormat="1" ht="12" customHeight="1" thickTop="1">
      <c r="F75" s="514" t="s">
        <v>3828</v>
      </c>
      <c r="G75" s="1018">
        <f>SUM(G71:H74)</f>
        <v>199550</v>
      </c>
      <c r="H75" s="1019"/>
      <c r="J75" s="1018">
        <f>SUM(J71:K74)</f>
        <v>199550</v>
      </c>
      <c r="K75" s="1019"/>
      <c r="L75" s="516"/>
      <c r="M75" s="1018">
        <f>SUM(M71:N74)</f>
        <v>0</v>
      </c>
      <c r="N75" s="1019"/>
      <c r="P75" s="1018">
        <f>SUM(P71:Q74)</f>
        <v>0</v>
      </c>
      <c r="Q75" s="1019"/>
      <c r="S75" s="1018">
        <f>SUM(S71:T74)</f>
        <v>0</v>
      </c>
      <c r="T75" s="1019"/>
      <c r="V75" s="1458"/>
      <c r="W75" s="1459"/>
    </row>
    <row r="76" spans="1:23" s="449" customFormat="1" ht="12" customHeight="1">
      <c r="B76" s="452" t="s">
        <v>3038</v>
      </c>
      <c r="J76" s="516"/>
      <c r="K76" s="516"/>
      <c r="M76" s="516"/>
      <c r="N76" s="516"/>
      <c r="O76" s="515" t="str">
        <f>B76</f>
        <v>PERMANENT FINANCING FEES</v>
      </c>
      <c r="P76" s="516"/>
      <c r="Q76" s="516"/>
      <c r="S76" s="516"/>
      <c r="T76" s="516"/>
      <c r="V76" s="449" t="str">
        <f>B76</f>
        <v>PERMANENT FINANCING FEES</v>
      </c>
    </row>
    <row r="77" spans="1:23" s="449" customFormat="1" ht="12" customHeight="1">
      <c r="B77" s="449" t="s">
        <v>2242</v>
      </c>
      <c r="G77" s="1414">
        <v>10500</v>
      </c>
      <c r="H77" s="1415"/>
      <c r="J77" s="1026"/>
      <c r="K77" s="1026"/>
      <c r="L77" s="844"/>
      <c r="M77" s="1026"/>
      <c r="N77" s="1026"/>
      <c r="P77" s="1026"/>
      <c r="Q77" s="1026"/>
      <c r="S77" s="1414"/>
      <c r="T77" s="1415"/>
      <c r="V77" s="1453"/>
      <c r="W77" s="1454"/>
    </row>
    <row r="78" spans="1:23" s="449" customFormat="1" ht="12" customHeight="1">
      <c r="B78" s="449" t="s">
        <v>2243</v>
      </c>
      <c r="G78" s="1414"/>
      <c r="H78" s="1415"/>
      <c r="J78" s="1010"/>
      <c r="K78" s="1010"/>
      <c r="L78" s="844"/>
      <c r="M78" s="1010"/>
      <c r="N78" s="1010"/>
      <c r="P78" s="1010"/>
      <c r="Q78" s="1010"/>
      <c r="S78" s="1414"/>
      <c r="T78" s="1415"/>
      <c r="V78" s="1455"/>
      <c r="W78" s="1456"/>
    </row>
    <row r="79" spans="1:23" s="449" customFormat="1" ht="12" customHeight="1">
      <c r="B79" s="449" t="s">
        <v>2244</v>
      </c>
      <c r="G79" s="1414">
        <v>30000</v>
      </c>
      <c r="H79" s="1415"/>
      <c r="J79" s="1414">
        <f>G79</f>
        <v>30000</v>
      </c>
      <c r="K79" s="1415"/>
      <c r="L79" s="844"/>
      <c r="M79" s="1414"/>
      <c r="N79" s="1415"/>
      <c r="P79" s="1414"/>
      <c r="Q79" s="1415"/>
      <c r="S79" s="1414"/>
      <c r="T79" s="1415"/>
      <c r="V79" s="1455"/>
      <c r="W79" s="1456"/>
    </row>
    <row r="80" spans="1:23" s="449" customFormat="1" ht="12" customHeight="1">
      <c r="B80" s="449" t="s">
        <v>2245</v>
      </c>
      <c r="G80" s="1414"/>
      <c r="H80" s="1415"/>
      <c r="J80" s="1414"/>
      <c r="K80" s="1415"/>
      <c r="L80" s="844"/>
      <c r="M80" s="1414"/>
      <c r="N80" s="1415"/>
      <c r="P80" s="1414"/>
      <c r="Q80" s="1415"/>
      <c r="S80" s="1414"/>
      <c r="T80" s="1415"/>
      <c r="V80" s="1455"/>
      <c r="W80" s="1456"/>
    </row>
    <row r="81" spans="1:23" s="449" customFormat="1" ht="12" customHeight="1">
      <c r="B81" s="449" t="s">
        <v>2246</v>
      </c>
      <c r="G81" s="1414"/>
      <c r="H81" s="1415"/>
      <c r="J81" s="1414"/>
      <c r="K81" s="1415"/>
      <c r="L81" s="844"/>
      <c r="M81" s="1414"/>
      <c r="N81" s="1415"/>
      <c r="P81" s="1414"/>
      <c r="Q81" s="1415"/>
      <c r="S81" s="1414"/>
      <c r="T81" s="1415"/>
      <c r="V81" s="1455"/>
      <c r="W81" s="1456"/>
    </row>
    <row r="82" spans="1:23" s="449" customFormat="1" ht="12" customHeight="1">
      <c r="B82" s="449" t="s">
        <v>939</v>
      </c>
      <c r="G82" s="1414"/>
      <c r="H82" s="1415"/>
      <c r="J82" s="1414"/>
      <c r="K82" s="1415"/>
      <c r="L82" s="844"/>
      <c r="M82" s="1414"/>
      <c r="N82" s="1415"/>
      <c r="P82" s="1414"/>
      <c r="Q82" s="1415"/>
      <c r="S82" s="1414"/>
      <c r="T82" s="1415"/>
      <c r="V82" s="1455"/>
      <c r="W82" s="1456"/>
    </row>
    <row r="83" spans="1:23" s="449" customFormat="1" ht="12" customHeight="1" thickBot="1">
      <c r="A83" s="549" t="str">
        <f>IF(AND(G83&gt;0,OR(C83="",C83="&lt;Enter detailed description here; use Comments section if needed&gt;")),"X","")</f>
        <v/>
      </c>
      <c r="B83" s="449" t="s">
        <v>2833</v>
      </c>
      <c r="C83" s="1292" t="s">
        <v>581</v>
      </c>
      <c r="D83" s="1292"/>
      <c r="E83" s="1292"/>
      <c r="F83" s="1293"/>
      <c r="G83" s="1414"/>
      <c r="H83" s="1415"/>
      <c r="J83" s="1414"/>
      <c r="K83" s="1415"/>
      <c r="L83" s="844"/>
      <c r="M83" s="1414"/>
      <c r="N83" s="1415"/>
      <c r="P83" s="1414"/>
      <c r="Q83" s="1415"/>
      <c r="S83" s="1414"/>
      <c r="T83" s="1415"/>
      <c r="U83" s="548" t="str">
        <f>IF(AND(G83&gt;0,OR(C83="",C83="&lt;Enter detailed description here; use Comments section if needed&gt;")),"NO DESCRIPTION PROVIDED - please enter detailed description in Other box at left; use Comments section below if needed.","")</f>
        <v/>
      </c>
      <c r="V83" s="1455"/>
      <c r="W83" s="1456"/>
    </row>
    <row r="84" spans="1:23" s="449" customFormat="1" ht="12" customHeight="1" thickTop="1">
      <c r="F84" s="514" t="s">
        <v>3828</v>
      </c>
      <c r="G84" s="1018">
        <f>SUM(G77:H83)</f>
        <v>40500</v>
      </c>
      <c r="H84" s="1019"/>
      <c r="J84" s="1018">
        <f>SUM(J79:K83)</f>
        <v>30000</v>
      </c>
      <c r="K84" s="1019"/>
      <c r="L84" s="516"/>
      <c r="M84" s="1018">
        <f>SUM(M79:N83)</f>
        <v>0</v>
      </c>
      <c r="N84" s="1019"/>
      <c r="P84" s="1018">
        <f>SUM(P79:Q83)</f>
        <v>0</v>
      </c>
      <c r="Q84" s="1019"/>
      <c r="S84" s="1018">
        <f>SUM(S77:T83)</f>
        <v>0</v>
      </c>
      <c r="T84" s="1019"/>
      <c r="V84" s="1458"/>
      <c r="W84" s="1459"/>
    </row>
    <row r="85" spans="1:23" s="449" customFormat="1" ht="6" customHeight="1" thickBot="1">
      <c r="A85" s="845"/>
      <c r="B85" s="845"/>
      <c r="C85" s="845"/>
      <c r="D85" s="845"/>
      <c r="E85" s="845"/>
      <c r="F85" s="845"/>
      <c r="G85" s="845"/>
      <c r="H85" s="845"/>
      <c r="I85" s="845"/>
      <c r="J85" s="845"/>
      <c r="K85" s="845"/>
      <c r="L85" s="845"/>
      <c r="M85" s="845"/>
      <c r="N85" s="845"/>
      <c r="O85" s="845"/>
      <c r="P85" s="845"/>
      <c r="Q85" s="845"/>
      <c r="R85" s="845"/>
      <c r="S85" s="845"/>
      <c r="T85" s="845"/>
    </row>
    <row r="86" spans="1:23" s="449" customFormat="1" ht="18" customHeight="1" thickBot="1">
      <c r="A86" s="685" t="s">
        <v>3133</v>
      </c>
      <c r="B86" s="685" t="s">
        <v>2664</v>
      </c>
      <c r="H86" s="834"/>
      <c r="I86" s="834"/>
      <c r="J86" s="1014" t="s">
        <v>3700</v>
      </c>
      <c r="K86" s="1015"/>
      <c r="L86" s="513"/>
      <c r="M86" s="1067" t="s">
        <v>3441</v>
      </c>
      <c r="N86" s="1068"/>
      <c r="P86" s="1014" t="s">
        <v>3701</v>
      </c>
      <c r="Q86" s="1015"/>
      <c r="S86" s="1014" t="s">
        <v>3702</v>
      </c>
      <c r="T86" s="1015"/>
      <c r="V86" s="686" t="str">
        <f>B86</f>
        <v>DEVELOPMENT BUDGET</v>
      </c>
    </row>
    <row r="87" spans="1:23" s="449" customFormat="1" ht="18" customHeight="1" thickBot="1">
      <c r="G87" s="1059" t="s">
        <v>3974</v>
      </c>
      <c r="H87" s="1060"/>
      <c r="J87" s="1016"/>
      <c r="K87" s="1017"/>
      <c r="L87" s="513"/>
      <c r="M87" s="1069"/>
      <c r="N87" s="1070"/>
      <c r="P87" s="1016"/>
      <c r="Q87" s="1017"/>
      <c r="S87" s="1016"/>
      <c r="T87" s="1017"/>
      <c r="V87" s="1009" t="s">
        <v>197</v>
      </c>
      <c r="W87" s="1009"/>
    </row>
    <row r="88" spans="1:23" s="449" customFormat="1" ht="13.35" customHeight="1">
      <c r="B88" s="452" t="s">
        <v>3039</v>
      </c>
      <c r="J88" s="516"/>
      <c r="K88" s="516"/>
      <c r="M88" s="516"/>
      <c r="N88" s="516"/>
      <c r="O88" s="515" t="str">
        <f>B88</f>
        <v>DCA-RELATED COSTS</v>
      </c>
      <c r="P88" s="516"/>
      <c r="Q88" s="516"/>
      <c r="S88" s="516"/>
      <c r="T88" s="516"/>
      <c r="V88" s="449" t="str">
        <f>B88</f>
        <v>DCA-RELATED COSTS</v>
      </c>
    </row>
    <row r="89" spans="1:23" s="449" customFormat="1" ht="12.6" customHeight="1">
      <c r="B89" s="449" t="s">
        <v>1937</v>
      </c>
      <c r="G89" s="1414"/>
      <c r="H89" s="1415"/>
      <c r="J89" s="516"/>
      <c r="K89" s="516"/>
      <c r="L89" s="844"/>
      <c r="M89" s="516"/>
      <c r="N89" s="516"/>
      <c r="P89" s="516"/>
      <c r="Q89" s="516"/>
      <c r="S89" s="1414"/>
      <c r="T89" s="1415"/>
      <c r="V89" s="1453"/>
      <c r="W89" s="1454"/>
    </row>
    <row r="90" spans="1:23" s="449" customFormat="1" ht="12.6" customHeight="1">
      <c r="B90" s="449" t="s">
        <v>2372</v>
      </c>
      <c r="G90" s="1414">
        <v>6500</v>
      </c>
      <c r="H90" s="1415"/>
      <c r="J90" s="516"/>
      <c r="K90" s="516"/>
      <c r="L90" s="531"/>
      <c r="M90" s="516"/>
      <c r="N90" s="516"/>
      <c r="P90" s="516"/>
      <c r="Q90" s="516"/>
      <c r="S90" s="1414"/>
      <c r="T90" s="1415"/>
      <c r="V90" s="1455"/>
      <c r="W90" s="1456"/>
    </row>
    <row r="91" spans="1:23" s="449" customFormat="1" ht="12.6" customHeight="1">
      <c r="B91" s="449" t="s">
        <v>117</v>
      </c>
      <c r="G91" s="1414"/>
      <c r="H91" s="1415"/>
      <c r="J91" s="516"/>
      <c r="K91" s="516"/>
      <c r="L91" s="531"/>
      <c r="M91" s="516"/>
      <c r="N91" s="516"/>
      <c r="O91" s="834"/>
      <c r="P91" s="516"/>
      <c r="Q91" s="516"/>
      <c r="S91" s="1414"/>
      <c r="T91" s="1415"/>
      <c r="V91" s="1455"/>
      <c r="W91" s="1456"/>
    </row>
    <row r="92" spans="1:23" s="449" customFormat="1" ht="12.6" customHeight="1">
      <c r="B92" s="449" t="s">
        <v>3287</v>
      </c>
      <c r="E92" s="1063">
        <f>'DCA Underwriting Assumptions'!$Q$41*$J$165</f>
        <v>75280</v>
      </c>
      <c r="F92" s="1064"/>
      <c r="G92" s="1414">
        <v>75280</v>
      </c>
      <c r="H92" s="1415"/>
      <c r="J92" s="516"/>
      <c r="K92" s="516"/>
      <c r="L92" s="844"/>
      <c r="M92" s="516"/>
      <c r="N92" s="516"/>
      <c r="O92" s="834"/>
      <c r="P92" s="516"/>
      <c r="Q92" s="516"/>
      <c r="S92" s="1414"/>
      <c r="T92" s="1415"/>
      <c r="V92" s="1455"/>
      <c r="W92" s="1456"/>
    </row>
    <row r="93" spans="1:23" s="449" customFormat="1" ht="12.6" customHeight="1">
      <c r="B93" s="449" t="s">
        <v>3015</v>
      </c>
      <c r="E93" s="1063">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72800</v>
      </c>
      <c r="F93" s="1064"/>
      <c r="G93" s="1414">
        <v>72800</v>
      </c>
      <c r="H93" s="1415"/>
      <c r="J93" s="416"/>
      <c r="K93" s="416"/>
      <c r="L93" s="416"/>
      <c r="M93" s="416"/>
      <c r="N93" s="416"/>
      <c r="O93" s="416"/>
      <c r="P93" s="416"/>
      <c r="Q93" s="416"/>
      <c r="S93" s="1414"/>
      <c r="T93" s="1415"/>
      <c r="V93" s="1455"/>
      <c r="W93" s="1456"/>
    </row>
    <row r="94" spans="1:23" s="449" customFormat="1" ht="12.6" customHeight="1">
      <c r="B94" s="449" t="s">
        <v>3436</v>
      </c>
      <c r="G94" s="1414"/>
      <c r="H94" s="1415"/>
      <c r="J94" s="416"/>
      <c r="K94" s="416"/>
      <c r="L94" s="416"/>
      <c r="M94" s="416"/>
      <c r="N94" s="416"/>
      <c r="O94" s="416"/>
      <c r="P94" s="416"/>
      <c r="Q94" s="416"/>
      <c r="S94" s="1414"/>
      <c r="T94" s="1415"/>
      <c r="V94" s="1455"/>
      <c r="W94" s="1456"/>
    </row>
    <row r="95" spans="1:23" s="449" customFormat="1" ht="12.6" customHeight="1">
      <c r="B95" s="449" t="s">
        <v>842</v>
      </c>
      <c r="G95" s="1414">
        <v>3000</v>
      </c>
      <c r="H95" s="1415"/>
      <c r="J95" s="416"/>
      <c r="K95" s="416"/>
      <c r="L95" s="416"/>
      <c r="M95" s="416"/>
      <c r="N95" s="416"/>
      <c r="O95" s="416"/>
      <c r="P95" s="416"/>
      <c r="Q95" s="416"/>
      <c r="S95" s="1414"/>
      <c r="T95" s="1415"/>
      <c r="V95" s="1455"/>
      <c r="W95" s="1456"/>
    </row>
    <row r="96" spans="1:23" s="449" customFormat="1" ht="12.6" customHeight="1">
      <c r="A96" s="549" t="str">
        <f>IF(AND(G96&gt;0,OR(C96="",C96="&lt;Enter detailed description here; use Comments section if needed&gt;")),"X","")</f>
        <v/>
      </c>
      <c r="B96" s="449" t="s">
        <v>2833</v>
      </c>
      <c r="C96" s="1292" t="s">
        <v>581</v>
      </c>
      <c r="D96" s="1292"/>
      <c r="E96" s="1292"/>
      <c r="F96" s="1293"/>
      <c r="G96" s="1414"/>
      <c r="H96" s="1415"/>
      <c r="J96" s="416"/>
      <c r="K96" s="416"/>
      <c r="L96" s="416"/>
      <c r="M96" s="416"/>
      <c r="N96" s="416"/>
      <c r="O96" s="416"/>
      <c r="P96" s="416"/>
      <c r="Q96" s="416"/>
      <c r="S96" s="1414"/>
      <c r="T96" s="1415"/>
      <c r="U96" s="548" t="str">
        <f>IF(AND(G96&gt;0,OR(C96="",C96="&lt;Enter detailed description here; use Comments section if needed&gt;")),"NO DESCRIPTION PROVIDED - please enter detailed description in Other box at left; use Comments section below if needed.","")</f>
        <v/>
      </c>
      <c r="V96" s="1455"/>
      <c r="W96" s="1456"/>
    </row>
    <row r="97" spans="1:23" s="449" customFormat="1" ht="12.6" customHeight="1" thickBot="1">
      <c r="A97" s="549" t="str">
        <f>IF(AND(G97&gt;0,OR(C97="",C97="&lt;Enter detailed description here; use Comments section if needed&gt;")),"X","")</f>
        <v/>
      </c>
      <c r="B97" s="449" t="s">
        <v>2833</v>
      </c>
      <c r="C97" s="1292" t="s">
        <v>581</v>
      </c>
      <c r="D97" s="1292"/>
      <c r="E97" s="1292"/>
      <c r="F97" s="1293"/>
      <c r="G97" s="1414"/>
      <c r="H97" s="1415"/>
      <c r="J97" s="416"/>
      <c r="K97" s="416"/>
      <c r="L97" s="416"/>
      <c r="M97" s="416"/>
      <c r="N97" s="416"/>
      <c r="O97" s="416"/>
      <c r="P97" s="416"/>
      <c r="Q97" s="416"/>
      <c r="S97" s="1414"/>
      <c r="T97" s="1415"/>
      <c r="U97" s="548" t="str">
        <f>IF(AND(G97&gt;0,OR(C97="",C97="&lt;Enter detailed description here; use Comments section if needed&gt;")),"NO DESCRIPTION PROVIDED - please enter detailed description in Other box at left; use Comments section below if needed.","")</f>
        <v/>
      </c>
      <c r="V97" s="1455"/>
      <c r="W97" s="1456"/>
    </row>
    <row r="98" spans="1:23" s="449" customFormat="1" ht="12.6" customHeight="1" thickTop="1">
      <c r="F98" s="514" t="s">
        <v>3828</v>
      </c>
      <c r="G98" s="1018">
        <f>SUM(G89:H97)</f>
        <v>157580</v>
      </c>
      <c r="H98" s="1019"/>
      <c r="J98" s="516"/>
      <c r="K98" s="516"/>
      <c r="L98" s="844"/>
      <c r="M98" s="516"/>
      <c r="N98" s="516"/>
      <c r="P98" s="516"/>
      <c r="Q98" s="516"/>
      <c r="S98" s="1018">
        <f>SUM(S89:T97)</f>
        <v>0</v>
      </c>
      <c r="T98" s="1019"/>
      <c r="V98" s="1458"/>
      <c r="W98" s="1459"/>
    </row>
    <row r="99" spans="1:23" s="449" customFormat="1" ht="13.35" customHeight="1">
      <c r="B99" s="452" t="s">
        <v>940</v>
      </c>
      <c r="J99" s="516"/>
      <c r="K99" s="516"/>
      <c r="M99" s="516"/>
      <c r="N99" s="516"/>
      <c r="O99" s="515" t="str">
        <f>B99</f>
        <v>EQUITY COSTS</v>
      </c>
      <c r="P99" s="516"/>
      <c r="Q99" s="516"/>
      <c r="S99" s="516"/>
      <c r="T99" s="516"/>
      <c r="V99" s="449" t="str">
        <f>B99</f>
        <v>EQUITY COSTS</v>
      </c>
    </row>
    <row r="100" spans="1:23" s="449" customFormat="1" ht="12.6" customHeight="1">
      <c r="B100" s="449" t="s">
        <v>3710</v>
      </c>
      <c r="G100" s="1414">
        <v>10000</v>
      </c>
      <c r="H100" s="1415"/>
      <c r="J100" s="1026"/>
      <c r="K100" s="1026"/>
      <c r="L100" s="844"/>
      <c r="M100" s="1026"/>
      <c r="N100" s="1026"/>
      <c r="O100" s="834"/>
      <c r="P100" s="1026"/>
      <c r="Q100" s="1026"/>
      <c r="S100" s="1414"/>
      <c r="T100" s="1415"/>
      <c r="V100" s="1453"/>
      <c r="W100" s="1454"/>
    </row>
    <row r="101" spans="1:23" s="449" customFormat="1" ht="12.6" customHeight="1">
      <c r="B101" s="449" t="s">
        <v>3712</v>
      </c>
      <c r="G101" s="1414"/>
      <c r="H101" s="1415"/>
      <c r="J101" s="1026"/>
      <c r="K101" s="1026"/>
      <c r="L101" s="844"/>
      <c r="M101" s="1026"/>
      <c r="N101" s="1026"/>
      <c r="O101" s="834"/>
      <c r="P101" s="1026"/>
      <c r="Q101" s="1026"/>
      <c r="S101" s="1414"/>
      <c r="T101" s="1415"/>
      <c r="V101" s="1455"/>
      <c r="W101" s="1456"/>
    </row>
    <row r="102" spans="1:23" s="449" customFormat="1" ht="12.6" customHeight="1">
      <c r="B102" s="449" t="s">
        <v>776</v>
      </c>
      <c r="G102" s="1414"/>
      <c r="H102" s="1415"/>
      <c r="J102" s="1026"/>
      <c r="K102" s="1026"/>
      <c r="L102" s="844"/>
      <c r="M102" s="1026"/>
      <c r="N102" s="1026"/>
      <c r="O102" s="834"/>
      <c r="P102" s="1026"/>
      <c r="Q102" s="1026"/>
      <c r="S102" s="1414"/>
      <c r="T102" s="1415"/>
      <c r="V102" s="1455"/>
      <c r="W102" s="1456"/>
    </row>
    <row r="103" spans="1:23" s="449" customFormat="1" ht="12.6" customHeight="1" thickBot="1">
      <c r="A103" s="549" t="str">
        <f>IF(AND(G103&gt;0,OR(C103="",C103="&lt;Enter detailed description here; use Comments section if needed&gt;")),"X","")</f>
        <v/>
      </c>
      <c r="B103" s="449" t="s">
        <v>2833</v>
      </c>
      <c r="C103" s="1292" t="s">
        <v>581</v>
      </c>
      <c r="D103" s="1292"/>
      <c r="E103" s="1292"/>
      <c r="F103" s="1293"/>
      <c r="G103" s="1414"/>
      <c r="H103" s="1415"/>
      <c r="J103" s="1026"/>
      <c r="K103" s="1026"/>
      <c r="L103" s="844"/>
      <c r="M103" s="1026"/>
      <c r="N103" s="1026"/>
      <c r="O103" s="834"/>
      <c r="P103" s="1026"/>
      <c r="Q103" s="1026"/>
      <c r="S103" s="1414"/>
      <c r="T103" s="1415"/>
      <c r="U103" s="548" t="str">
        <f>IF(AND(G103&gt;0,OR(C103="",C103="&lt;Enter detailed description here; use Comments section if needed&gt;")),"NO DESCRIPTION PROVIDED - please enter detailed description in Other box at left; use Comments section below if needed.","")</f>
        <v/>
      </c>
      <c r="V103" s="1455"/>
      <c r="W103" s="1456"/>
    </row>
    <row r="104" spans="1:23" s="449" customFormat="1" ht="12.6" customHeight="1" thickTop="1">
      <c r="F104" s="514" t="s">
        <v>3828</v>
      </c>
      <c r="G104" s="1018">
        <f>SUM(G100:H103)</f>
        <v>10000</v>
      </c>
      <c r="H104" s="1019"/>
      <c r="J104" s="1026"/>
      <c r="K104" s="1026"/>
      <c r="L104" s="844"/>
      <c r="M104" s="1026"/>
      <c r="N104" s="1026"/>
      <c r="O104" s="834"/>
      <c r="P104" s="1026"/>
      <c r="Q104" s="1026"/>
      <c r="S104" s="1018">
        <f>SUM(S100:T103)</f>
        <v>0</v>
      </c>
      <c r="T104" s="1019"/>
      <c r="V104" s="1458"/>
      <c r="W104" s="1459"/>
    </row>
    <row r="105" spans="1:23" s="449" customFormat="1" ht="13.35" customHeight="1">
      <c r="B105" s="452" t="s">
        <v>3560</v>
      </c>
      <c r="J105" s="516"/>
      <c r="K105" s="513"/>
      <c r="M105" s="516"/>
      <c r="N105" s="513"/>
      <c r="O105" s="515" t="str">
        <f>B105</f>
        <v>DEVELOPER'S FEE</v>
      </c>
      <c r="P105" s="516"/>
      <c r="Q105" s="513"/>
      <c r="S105" s="516"/>
      <c r="T105" s="513"/>
      <c r="V105" s="449" t="str">
        <f>B105</f>
        <v>DEVELOPER'S FEE</v>
      </c>
    </row>
    <row r="106" spans="1:23" s="449" customFormat="1" ht="12.6" customHeight="1">
      <c r="B106" s="449" t="s">
        <v>1273</v>
      </c>
      <c r="F106" s="625">
        <f>G106/$G$109</f>
        <v>0.5</v>
      </c>
      <c r="G106" s="1414">
        <v>698263.5</v>
      </c>
      <c r="H106" s="1415"/>
      <c r="J106" s="1414">
        <f>G106</f>
        <v>698263.5</v>
      </c>
      <c r="K106" s="1415"/>
      <c r="L106" s="515"/>
      <c r="M106" s="1414"/>
      <c r="N106" s="1415"/>
      <c r="P106" s="1414"/>
      <c r="Q106" s="1415"/>
      <c r="S106" s="1414"/>
      <c r="T106" s="1415"/>
      <c r="V106" s="1453"/>
      <c r="W106" s="1454"/>
    </row>
    <row r="107" spans="1:23" s="449" customFormat="1" ht="12.6" customHeight="1">
      <c r="B107" s="449" t="s">
        <v>1274</v>
      </c>
      <c r="F107" s="625">
        <f>G107/$G$109</f>
        <v>0</v>
      </c>
      <c r="G107" s="1414"/>
      <c r="H107" s="1415"/>
      <c r="J107" s="1414"/>
      <c r="K107" s="1415"/>
      <c r="L107" s="844"/>
      <c r="M107" s="1414"/>
      <c r="N107" s="1415"/>
      <c r="P107" s="1414"/>
      <c r="Q107" s="1415"/>
      <c r="S107" s="1414"/>
      <c r="T107" s="1415"/>
      <c r="V107" s="1455"/>
      <c r="W107" s="1456"/>
    </row>
    <row r="108" spans="1:23" s="449" customFormat="1" ht="12.6" customHeight="1" thickBot="1">
      <c r="B108" s="449" t="s">
        <v>1378</v>
      </c>
      <c r="F108" s="625">
        <f>G108/$G$109</f>
        <v>0.5</v>
      </c>
      <c r="G108" s="1414">
        <v>698263.5</v>
      </c>
      <c r="H108" s="1415"/>
      <c r="J108" s="1414">
        <f>G108</f>
        <v>698263.5</v>
      </c>
      <c r="K108" s="1415"/>
      <c r="L108" s="844"/>
      <c r="M108" s="1414"/>
      <c r="N108" s="1415"/>
      <c r="P108" s="1414"/>
      <c r="Q108" s="1415"/>
      <c r="S108" s="1414"/>
      <c r="T108" s="1415"/>
      <c r="V108" s="1455"/>
      <c r="W108" s="1456"/>
    </row>
    <row r="109" spans="1:23" s="449" customFormat="1" ht="12.6" customHeight="1" thickTop="1">
      <c r="C109" s="548" t="str">
        <f>IF(G109&lt;='DCA Underwriting Assumptions'!$Q$47,"","Developer Fee exceeds DCA Program Maximum !!!")</f>
        <v/>
      </c>
      <c r="F109" s="514" t="s">
        <v>3828</v>
      </c>
      <c r="G109" s="1018">
        <f>SUM(G106:H108)</f>
        <v>1396527</v>
      </c>
      <c r="H109" s="1019"/>
      <c r="J109" s="1018">
        <f>SUM(J106:K108)</f>
        <v>1396527</v>
      </c>
      <c r="K109" s="1019"/>
      <c r="L109" s="844"/>
      <c r="M109" s="1018">
        <f>SUM(M106:N108)</f>
        <v>0</v>
      </c>
      <c r="N109" s="1019"/>
      <c r="P109" s="1018">
        <f>SUM(P106:Q108)</f>
        <v>0</v>
      </c>
      <c r="Q109" s="1019"/>
      <c r="S109" s="1018">
        <f>SUM(S106:T108)</f>
        <v>0</v>
      </c>
      <c r="T109" s="1019"/>
      <c r="V109" s="1458"/>
      <c r="W109" s="1459"/>
    </row>
    <row r="110" spans="1:23" s="449" customFormat="1" ht="13.35" customHeight="1">
      <c r="B110" s="452" t="s">
        <v>2140</v>
      </c>
      <c r="J110" s="513"/>
      <c r="K110" s="513"/>
      <c r="M110" s="513"/>
      <c r="N110" s="513"/>
      <c r="O110" s="515" t="str">
        <f>B110</f>
        <v>START-UP AND RESERVES</v>
      </c>
      <c r="P110" s="513"/>
      <c r="Q110" s="513"/>
      <c r="S110" s="513"/>
      <c r="T110" s="513"/>
      <c r="V110" s="449" t="str">
        <f>B110</f>
        <v>START-UP AND RESERVES</v>
      </c>
    </row>
    <row r="111" spans="1:23" s="449" customFormat="1" ht="12.6" customHeight="1">
      <c r="B111" s="449" t="s">
        <v>3781</v>
      </c>
      <c r="G111" s="1414">
        <v>20000</v>
      </c>
      <c r="H111" s="1415"/>
      <c r="J111" s="532"/>
      <c r="K111" s="532"/>
      <c r="L111" s="532"/>
      <c r="M111" s="532"/>
      <c r="N111" s="532"/>
      <c r="P111" s="532"/>
      <c r="Q111" s="532"/>
      <c r="S111" s="1414"/>
      <c r="T111" s="1415"/>
      <c r="V111" s="1453"/>
      <c r="W111" s="1454"/>
    </row>
    <row r="112" spans="1:23" s="449" customFormat="1" ht="12.6" customHeight="1">
      <c r="B112" s="449" t="s">
        <v>1936</v>
      </c>
      <c r="G112" s="1414">
        <v>143034</v>
      </c>
      <c r="H112" s="1415"/>
      <c r="J112" s="1026"/>
      <c r="K112" s="1026"/>
      <c r="L112" s="844"/>
      <c r="M112" s="1026"/>
      <c r="N112" s="1026"/>
      <c r="O112" s="834"/>
      <c r="P112" s="1026"/>
      <c r="Q112" s="1026"/>
      <c r="R112" s="834"/>
      <c r="S112" s="1414"/>
      <c r="T112" s="1415"/>
      <c r="V112" s="1455"/>
      <c r="W112" s="1456"/>
    </row>
    <row r="113" spans="1:23" s="449" customFormat="1" ht="12.6" customHeight="1">
      <c r="B113" s="449" t="s">
        <v>3106</v>
      </c>
      <c r="F113" s="472"/>
      <c r="G113" s="1414">
        <v>314010</v>
      </c>
      <c r="H113" s="1415"/>
      <c r="J113" s="531"/>
      <c r="K113" s="531"/>
      <c r="L113" s="531"/>
      <c r="M113" s="531"/>
      <c r="N113" s="531"/>
      <c r="O113" s="834"/>
      <c r="P113" s="531"/>
      <c r="Q113" s="531"/>
      <c r="R113" s="834"/>
      <c r="S113" s="1414"/>
      <c r="T113" s="1415"/>
      <c r="V113" s="1455"/>
      <c r="W113" s="1456"/>
    </row>
    <row r="114" spans="1:23" s="449" customFormat="1" ht="12.6" customHeight="1">
      <c r="B114" s="449" t="s">
        <v>2319</v>
      </c>
      <c r="G114" s="1414"/>
      <c r="H114" s="1415"/>
      <c r="J114" s="532"/>
      <c r="K114" s="532"/>
      <c r="L114" s="532"/>
      <c r="M114" s="532"/>
      <c r="N114" s="532"/>
      <c r="P114" s="532"/>
      <c r="Q114" s="532"/>
      <c r="S114" s="1414"/>
      <c r="T114" s="1415"/>
      <c r="V114" s="1455"/>
      <c r="W114" s="1456"/>
    </row>
    <row r="115" spans="1:23" s="449" customFormat="1" ht="12.6" customHeight="1">
      <c r="B115" s="449" t="s">
        <v>2320</v>
      </c>
      <c r="E115" s="449" t="s">
        <v>2756</v>
      </c>
      <c r="F115" s="793">
        <f>G115/'Part VI-Revenues &amp; Expenses'!$M$62</f>
        <v>879.12087912087907</v>
      </c>
      <c r="G115" s="1414">
        <v>80000</v>
      </c>
      <c r="H115" s="1415"/>
      <c r="J115" s="1414">
        <f>G115</f>
        <v>80000</v>
      </c>
      <c r="K115" s="1415"/>
      <c r="L115" s="844"/>
      <c r="M115" s="1414"/>
      <c r="N115" s="1415"/>
      <c r="P115" s="1414"/>
      <c r="Q115" s="1415"/>
      <c r="S115" s="1414"/>
      <c r="T115" s="1415"/>
      <c r="V115" s="1455"/>
      <c r="W115" s="1456"/>
    </row>
    <row r="116" spans="1:23" s="449" customFormat="1" ht="12.6" customHeight="1" thickBot="1">
      <c r="A116" s="549" t="str">
        <f>IF(AND(G116&gt;0,OR(C116="",C116="&lt;Enter detailed description here; use Comments section if needed&gt;")),"X","")</f>
        <v/>
      </c>
      <c r="B116" s="449" t="s">
        <v>2833</v>
      </c>
      <c r="C116" s="1292" t="s">
        <v>581</v>
      </c>
      <c r="D116" s="1292"/>
      <c r="E116" s="1292"/>
      <c r="F116" s="1293"/>
      <c r="G116" s="1414"/>
      <c r="H116" s="1415"/>
      <c r="J116" s="1414"/>
      <c r="K116" s="1415"/>
      <c r="L116" s="844"/>
      <c r="M116" s="1414"/>
      <c r="N116" s="1415"/>
      <c r="P116" s="1414"/>
      <c r="Q116" s="1415"/>
      <c r="S116" s="1414"/>
      <c r="T116" s="1415"/>
      <c r="U116" s="548" t="str">
        <f>IF(AND(G116&gt;0,OR(C116="",C116="&lt;Enter detailed description here; use Comments section if needed&gt;")),"NO DESCRIPTION PROVIDED - please enter detailed description in Other box at left; use Comments section below if needed.","")</f>
        <v/>
      </c>
      <c r="V116" s="1455"/>
      <c r="W116" s="1456"/>
    </row>
    <row r="117" spans="1:23" s="449" customFormat="1" ht="12.6" customHeight="1" thickTop="1">
      <c r="B117" s="533"/>
      <c r="F117" s="514" t="s">
        <v>3828</v>
      </c>
      <c r="G117" s="1018">
        <f>SUM(G111:H116)</f>
        <v>557044</v>
      </c>
      <c r="H117" s="1019"/>
      <c r="J117" s="1018">
        <f>SUM(J115:K116)</f>
        <v>80000</v>
      </c>
      <c r="K117" s="1019"/>
      <c r="L117" s="844"/>
      <c r="M117" s="1018">
        <f>SUM(M115:N116)</f>
        <v>0</v>
      </c>
      <c r="N117" s="1019"/>
      <c r="P117" s="1018">
        <f>SUM(P115:Q116)</f>
        <v>0</v>
      </c>
      <c r="Q117" s="1019"/>
      <c r="S117" s="1018">
        <f>SUM(S111:T116)</f>
        <v>0</v>
      </c>
      <c r="T117" s="1019"/>
      <c r="V117" s="1458"/>
      <c r="W117" s="1459"/>
    </row>
    <row r="118" spans="1:23" s="449" customFormat="1" ht="13.35" customHeight="1">
      <c r="B118" s="452" t="s">
        <v>3213</v>
      </c>
      <c r="C118" s="828"/>
      <c r="H118" s="529"/>
      <c r="I118" s="529"/>
      <c r="J118" s="513"/>
      <c r="K118" s="513"/>
      <c r="M118" s="513"/>
      <c r="N118" s="513"/>
      <c r="O118" s="515" t="str">
        <f>B118</f>
        <v>OTHER COSTS</v>
      </c>
      <c r="P118" s="513"/>
      <c r="Q118" s="513"/>
      <c r="S118" s="513"/>
      <c r="T118" s="513"/>
      <c r="V118" s="449" t="str">
        <f>B118</f>
        <v>OTHER COSTS</v>
      </c>
    </row>
    <row r="119" spans="1:23" s="449" customFormat="1" ht="12.6" customHeight="1">
      <c r="B119" s="449" t="s">
        <v>3214</v>
      </c>
      <c r="C119" s="828"/>
      <c r="G119" s="1414"/>
      <c r="H119" s="1415"/>
      <c r="J119" s="1414"/>
      <c r="K119" s="1415"/>
      <c r="L119" s="515"/>
      <c r="M119" s="1414"/>
      <c r="N119" s="1415"/>
      <c r="P119" s="1414"/>
      <c r="Q119" s="1415"/>
      <c r="S119" s="1414"/>
      <c r="T119" s="1415"/>
      <c r="V119" s="1453"/>
      <c r="W119" s="1454"/>
    </row>
    <row r="120" spans="1:23" s="449" customFormat="1" ht="12.6" customHeight="1" thickBot="1">
      <c r="A120" s="549" t="str">
        <f>IF(AND(G120&gt;0,OR(C120="",C120="&lt;Enter detailed description here; use Comments section if needed&gt;")),"X","")</f>
        <v/>
      </c>
      <c r="B120" s="449" t="s">
        <v>2833</v>
      </c>
      <c r="C120" s="1292" t="s">
        <v>581</v>
      </c>
      <c r="D120" s="1292"/>
      <c r="E120" s="1292"/>
      <c r="F120" s="1293"/>
      <c r="G120" s="1414"/>
      <c r="H120" s="1415"/>
      <c r="J120" s="1414"/>
      <c r="K120" s="1415"/>
      <c r="L120" s="844"/>
      <c r="M120" s="1414"/>
      <c r="N120" s="1415"/>
      <c r="P120" s="1414"/>
      <c r="Q120" s="1415"/>
      <c r="S120" s="1414"/>
      <c r="T120" s="1415"/>
      <c r="U120" s="548" t="str">
        <f>IF(AND(G120&gt;0,OR(C120="",C120="&lt;Enter detailed description here; use Comments section if needed&gt;")),"NO DESCRIPTION PROVIDED - please enter detailed description in Other box at left; use Comments section below if needed.","")</f>
        <v/>
      </c>
      <c r="V120" s="1455"/>
      <c r="W120" s="1456"/>
    </row>
    <row r="121" spans="1:23" s="449" customFormat="1" ht="12.6" customHeight="1" thickTop="1">
      <c r="C121" s="828"/>
      <c r="F121" s="514" t="s">
        <v>3828</v>
      </c>
      <c r="G121" s="1018">
        <f>SUM(G119:H120)</f>
        <v>0</v>
      </c>
      <c r="H121" s="1019"/>
      <c r="J121" s="1018">
        <f>SUM(J119:K120)</f>
        <v>0</v>
      </c>
      <c r="K121" s="1019"/>
      <c r="L121" s="844"/>
      <c r="M121" s="1018">
        <f>SUM(M119:N120)</f>
        <v>0</v>
      </c>
      <c r="N121" s="1019"/>
      <c r="P121" s="1018">
        <f>SUM(P119:Q120)</f>
        <v>0</v>
      </c>
      <c r="Q121" s="1019"/>
      <c r="S121" s="1018">
        <f>SUM(S119:T120)</f>
        <v>0</v>
      </c>
      <c r="T121" s="1019"/>
      <c r="V121" s="1455"/>
      <c r="W121" s="1456"/>
    </row>
    <row r="122" spans="1:23" s="449" customFormat="1" ht="3" customHeight="1" thickBot="1">
      <c r="C122" s="828"/>
      <c r="H122" s="529"/>
      <c r="I122" s="529"/>
      <c r="L122" s="834"/>
      <c r="V122" s="1455"/>
      <c r="W122" s="1456"/>
    </row>
    <row r="123" spans="1:23" s="449" customFormat="1" ht="14.1" customHeight="1" thickBot="1">
      <c r="B123" s="456" t="s">
        <v>3561</v>
      </c>
      <c r="G123" s="1022">
        <f>G17+G23+G27+G32+G36+G42+G57+G69+G75+G84+G98+G104+G109+G117+G121</f>
        <v>13170768</v>
      </c>
      <c r="H123" s="1023"/>
      <c r="J123" s="1022">
        <f>J17+J23+J27+J32+J36+J42+J57+J69+J75+J84+J98+J104+J109+J117+J121</f>
        <v>11533144</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58"/>
      <c r="W123" s="1459"/>
    </row>
    <row r="124" spans="1:23" s="449" customFormat="1" ht="3" customHeight="1" thickBot="1">
      <c r="C124" s="828"/>
      <c r="H124" s="529"/>
      <c r="I124" s="529"/>
      <c r="L124" s="834"/>
    </row>
    <row r="125" spans="1:23" s="449" customFormat="1" ht="14.1" customHeight="1" thickBot="1">
      <c r="B125" s="456" t="s">
        <v>417</v>
      </c>
      <c r="D125" s="1020">
        <f>IF(AND($T$155 = "Yes", 'Part IX A-Scoring Criteria'!$O$246 &gt; 0),'DCA Underwriting Assumptions'!$R$13, IF(AND('Part IV-Uses of Funds'!$T$156="Yes", 'Part IX A-Scoring Criteria'!$O$67&gt;0),'DCA Underwriting Assumptions'!$R$12, 'DCA Underwriting Assumptions'!$R$11))</f>
        <v>12126709</v>
      </c>
      <c r="E125" s="1021"/>
      <c r="F125" s="452" t="s">
        <v>3115</v>
      </c>
      <c r="G125" s="1024">
        <f>G123/'Part VI-Revenues &amp; Expenses'!$M$62</f>
        <v>144733.71428571429</v>
      </c>
      <c r="H125" s="1025"/>
      <c r="I125" s="534"/>
      <c r="J125" s="456" t="s">
        <v>3116</v>
      </c>
      <c r="M125" s="1024">
        <f>G123/'Part VI-Revenues &amp; Expenses'!$M$100</f>
        <v>181.18319345302373</v>
      </c>
      <c r="N125" s="1025"/>
    </row>
    <row r="126" spans="1:23" s="449" customFormat="1" ht="3" customHeight="1">
      <c r="I126" s="534"/>
      <c r="L126" s="534"/>
    </row>
    <row r="127" spans="1:23" s="449" customFormat="1" ht="3.6" customHeight="1" thickBot="1">
      <c r="D127" s="828"/>
      <c r="E127" s="828"/>
      <c r="I127" s="529"/>
      <c r="J127" s="529"/>
      <c r="K127" s="535"/>
      <c r="L127" s="455"/>
      <c r="P127" s="834"/>
    </row>
    <row r="128" spans="1:23" s="449" customFormat="1" ht="26.1" customHeight="1">
      <c r="A128" s="685" t="s">
        <v>2832</v>
      </c>
      <c r="B128" s="687" t="s">
        <v>2126</v>
      </c>
      <c r="C128" s="450"/>
      <c r="D128" s="844"/>
      <c r="E128" s="844"/>
      <c r="G128" s="834"/>
      <c r="H128" s="834"/>
      <c r="I128" s="536"/>
      <c r="J128" s="1014" t="s">
        <v>3700</v>
      </c>
      <c r="K128" s="1015"/>
      <c r="M128" s="1014" t="s">
        <v>3973</v>
      </c>
      <c r="N128" s="1015"/>
      <c r="P128" s="1014" t="s">
        <v>3701</v>
      </c>
      <c r="Q128" s="1015"/>
      <c r="V128" s="686" t="str">
        <f>B128</f>
        <v>TAX CREDIT CALCULATION - BASIS METHOD</v>
      </c>
    </row>
    <row r="129" spans="2:23" s="449" customFormat="1" ht="15" customHeight="1" thickBot="1">
      <c r="B129" s="456" t="s">
        <v>1126</v>
      </c>
      <c r="D129" s="844"/>
      <c r="E129" s="844"/>
      <c r="I129" s="536"/>
      <c r="J129" s="1016"/>
      <c r="K129" s="1017"/>
      <c r="L129" s="450"/>
      <c r="M129" s="1016"/>
      <c r="N129" s="1017"/>
      <c r="P129" s="1016"/>
      <c r="Q129" s="1017"/>
      <c r="V129" s="449" t="str">
        <f>B129</f>
        <v>Subtractions From Eligible Basis</v>
      </c>
      <c r="W129" s="497"/>
    </row>
    <row r="130" spans="2:23" s="449" customFormat="1" ht="6" customHeight="1">
      <c r="D130" s="828"/>
      <c r="E130" s="828"/>
      <c r="I130" s="529"/>
      <c r="J130" s="529"/>
      <c r="K130" s="535"/>
      <c r="L130" s="455"/>
      <c r="P130" s="834"/>
    </row>
    <row r="131" spans="2:23" s="449" customFormat="1" ht="14.1" customHeight="1">
      <c r="B131" s="828" t="s">
        <v>3944</v>
      </c>
      <c r="D131" s="834"/>
      <c r="E131" s="834"/>
      <c r="F131" s="834"/>
      <c r="G131" s="834"/>
      <c r="H131" s="834"/>
      <c r="I131" s="536"/>
      <c r="J131" s="1460">
        <v>125000</v>
      </c>
      <c r="K131" s="1461"/>
      <c r="P131" s="1460"/>
      <c r="Q131" s="1461"/>
      <c r="V131" s="1453"/>
      <c r="W131" s="1454"/>
    </row>
    <row r="132" spans="2:23" s="449" customFormat="1" ht="14.1" customHeight="1">
      <c r="B132" s="834" t="s">
        <v>979</v>
      </c>
      <c r="D132" s="834"/>
      <c r="E132" s="834"/>
      <c r="F132" s="834"/>
      <c r="G132" s="834"/>
      <c r="H132" s="834"/>
      <c r="I132" s="536"/>
      <c r="J132" s="1460"/>
      <c r="K132" s="1461"/>
      <c r="P132" s="1460"/>
      <c r="Q132" s="1461"/>
      <c r="V132" s="1455"/>
      <c r="W132" s="1456"/>
    </row>
    <row r="133" spans="2:23" s="449" customFormat="1" ht="14.1" customHeight="1">
      <c r="B133" s="834" t="s">
        <v>1387</v>
      </c>
      <c r="D133" s="834"/>
      <c r="E133" s="834"/>
      <c r="I133" s="536"/>
      <c r="J133" s="1460"/>
      <c r="K133" s="1461"/>
      <c r="P133" s="1460"/>
      <c r="Q133" s="1461"/>
      <c r="V133" s="1455"/>
      <c r="W133" s="1456"/>
    </row>
    <row r="134" spans="2:23" s="449" customFormat="1" ht="14.1" customHeight="1">
      <c r="B134" s="834" t="s">
        <v>1388</v>
      </c>
      <c r="D134" s="834"/>
      <c r="E134" s="834"/>
      <c r="I134" s="536"/>
      <c r="J134" s="1460"/>
      <c r="K134" s="1461"/>
      <c r="P134" s="1460"/>
      <c r="Q134" s="1461"/>
      <c r="V134" s="1455"/>
      <c r="W134" s="1456"/>
    </row>
    <row r="135" spans="2:23" s="449" customFormat="1" ht="14.1" customHeight="1">
      <c r="B135" s="834" t="s">
        <v>3785</v>
      </c>
      <c r="D135" s="834"/>
      <c r="E135" s="834"/>
      <c r="I135" s="536"/>
      <c r="J135" s="1460"/>
      <c r="K135" s="1461"/>
      <c r="P135" s="1460"/>
      <c r="Q135" s="1461"/>
      <c r="V135" s="1455"/>
      <c r="W135" s="1456"/>
    </row>
    <row r="136" spans="2:23" s="449" customFormat="1" ht="14.1" customHeight="1" thickBot="1">
      <c r="B136" s="834" t="s">
        <v>1877</v>
      </c>
      <c r="C136" s="1292" t="s">
        <v>581</v>
      </c>
      <c r="D136" s="1292"/>
      <c r="E136" s="1292"/>
      <c r="F136" s="1292"/>
      <c r="G136" s="1292"/>
      <c r="H136" s="1292"/>
      <c r="I136" s="1293"/>
      <c r="J136" s="1460"/>
      <c r="K136" s="1461"/>
      <c r="P136" s="1460"/>
      <c r="Q136" s="1461"/>
      <c r="V136" s="1455"/>
      <c r="W136" s="1456"/>
    </row>
    <row r="137" spans="2:23" s="449" customFormat="1" ht="14.1" customHeight="1" thickBot="1">
      <c r="B137" s="461" t="s">
        <v>1389</v>
      </c>
      <c r="C137" s="464"/>
      <c r="J137" s="965">
        <f>SUM(J131:K136)</f>
        <v>125000</v>
      </c>
      <c r="K137" s="966"/>
      <c r="P137" s="965">
        <f>SUM(P131:Q136)</f>
        <v>0</v>
      </c>
      <c r="Q137" s="966"/>
      <c r="V137" s="1458"/>
      <c r="W137" s="1459"/>
    </row>
    <row r="138" spans="2:23" s="449" customFormat="1" ht="3" customHeight="1"/>
    <row r="139" spans="2:23" s="449" customFormat="1" ht="15" customHeight="1" thickBot="1">
      <c r="B139" s="452" t="s">
        <v>874</v>
      </c>
      <c r="V139" s="449" t="str">
        <f>B139</f>
        <v>Eligible Basis Calculation</v>
      </c>
    </row>
    <row r="140" spans="2:23" s="449" customFormat="1" ht="14.1" customHeight="1">
      <c r="B140" s="449" t="s">
        <v>1416</v>
      </c>
      <c r="J140" s="1055">
        <f>J123</f>
        <v>11533144</v>
      </c>
      <c r="K140" s="1056"/>
      <c r="M140" s="1057">
        <f>M123</f>
        <v>0</v>
      </c>
      <c r="N140" s="1058"/>
      <c r="P140" s="1055">
        <f>P123</f>
        <v>0</v>
      </c>
      <c r="Q140" s="1056"/>
      <c r="V140" s="1453"/>
      <c r="W140" s="1454"/>
    </row>
    <row r="141" spans="2:23" s="449" customFormat="1" ht="14.1" customHeight="1">
      <c r="B141" s="449" t="s">
        <v>853</v>
      </c>
      <c r="J141" s="1042">
        <f>J137</f>
        <v>125000</v>
      </c>
      <c r="K141" s="1049"/>
      <c r="M141" s="1043"/>
      <c r="N141" s="1043"/>
      <c r="P141" s="1042">
        <f>P137</f>
        <v>0</v>
      </c>
      <c r="Q141" s="1049"/>
      <c r="V141" s="1455"/>
      <c r="W141" s="1456"/>
    </row>
    <row r="142" spans="2:23" s="449" customFormat="1" ht="14.1" customHeight="1">
      <c r="B142" s="449" t="s">
        <v>854</v>
      </c>
      <c r="J142" s="1042">
        <f>J140-J141</f>
        <v>11408144</v>
      </c>
      <c r="K142" s="1049"/>
      <c r="M142" s="1042">
        <f>M140</f>
        <v>0</v>
      </c>
      <c r="N142" s="1049"/>
      <c r="P142" s="1042">
        <f>P140-P141</f>
        <v>0</v>
      </c>
      <c r="Q142" s="1049"/>
      <c r="V142" s="1455"/>
      <c r="W142" s="1456"/>
    </row>
    <row r="143" spans="2:23" s="449" customFormat="1" ht="14.1" customHeight="1">
      <c r="B143" s="449" t="s">
        <v>1996</v>
      </c>
      <c r="G143" s="829" t="s">
        <v>1471</v>
      </c>
      <c r="H143" s="1280" t="s">
        <v>66</v>
      </c>
      <c r="I143" s="1281"/>
      <c r="J143" s="1462">
        <v>1.3</v>
      </c>
      <c r="K143" s="1463"/>
      <c r="M143" s="1054"/>
      <c r="N143" s="1054"/>
      <c r="P143" s="1462"/>
      <c r="Q143" s="1463"/>
      <c r="V143" s="1455"/>
      <c r="W143" s="1456"/>
    </row>
    <row r="144" spans="2:23" s="449" customFormat="1" ht="14.1" customHeight="1">
      <c r="B144" s="449" t="s">
        <v>1280</v>
      </c>
      <c r="J144" s="1042">
        <f>J142*J143</f>
        <v>14830587.200000001</v>
      </c>
      <c r="K144" s="1049"/>
      <c r="M144" s="1042">
        <f>+M142</f>
        <v>0</v>
      </c>
      <c r="N144" s="1049"/>
      <c r="P144" s="1042">
        <f>P142*P143</f>
        <v>0</v>
      </c>
      <c r="Q144" s="1049"/>
      <c r="V144" s="1455"/>
      <c r="W144" s="1456"/>
    </row>
    <row r="145" spans="1:23" s="449" customFormat="1" ht="14.1" customHeight="1">
      <c r="B145" s="449" t="s">
        <v>545</v>
      </c>
      <c r="J145" s="1050">
        <f>MIN('Part VI-Revenues &amp; Expenses'!$M$58/'Part VI-Revenues &amp; Expenses'!$M$60,'Part VI-Revenues &amp; Expenses'!$M$96/'Part VI-Revenues &amp; Expenses'!$M$98)</f>
        <v>0.90842775999372694</v>
      </c>
      <c r="K145" s="1051"/>
      <c r="M145" s="1050">
        <f>MIN('Part VI-Revenues &amp; Expenses'!$M$58/'Part VI-Revenues &amp; Expenses'!$M$60,'Part VI-Revenues &amp; Expenses'!$M$96/'Part VI-Revenues &amp; Expenses'!$M$98)</f>
        <v>0.90842775999372694</v>
      </c>
      <c r="N145" s="1051"/>
      <c r="P145" s="1050">
        <f>MIN('Part VI-Revenues &amp; Expenses'!$M$58/'Part VI-Revenues &amp; Expenses'!$M$60,'Part VI-Revenues &amp; Expenses'!$M$96/'Part VI-Revenues &amp; Expenses'!$M$98)</f>
        <v>0.90842775999372694</v>
      </c>
      <c r="Q145" s="1051"/>
      <c r="V145" s="1455"/>
      <c r="W145" s="1456"/>
    </row>
    <row r="146" spans="1:23" s="449" customFormat="1" ht="14.1" customHeight="1">
      <c r="B146" s="449" t="s">
        <v>1127</v>
      </c>
      <c r="J146" s="1042">
        <f>J144*J145</f>
        <v>13472517.10948764</v>
      </c>
      <c r="K146" s="1049"/>
      <c r="M146" s="1042">
        <f>M144*M145</f>
        <v>0</v>
      </c>
      <c r="N146" s="1049"/>
      <c r="P146" s="1042">
        <f>P144*P145</f>
        <v>0</v>
      </c>
      <c r="Q146" s="1049"/>
      <c r="V146" s="1455"/>
      <c r="W146" s="1456"/>
    </row>
    <row r="147" spans="1:23" s="449" customFormat="1" ht="14.1" customHeight="1">
      <c r="B147" s="449" t="s">
        <v>1128</v>
      </c>
      <c r="J147" s="1462">
        <v>7.4800000000000005E-2</v>
      </c>
      <c r="K147" s="1463"/>
      <c r="M147" s="1462"/>
      <c r="N147" s="1463"/>
      <c r="P147" s="1462"/>
      <c r="Q147" s="1463"/>
      <c r="V147" s="1455"/>
      <c r="W147" s="1456"/>
    </row>
    <row r="148" spans="1:23" s="449" customFormat="1" ht="14.1" customHeight="1" thickBot="1">
      <c r="B148" s="449" t="s">
        <v>546</v>
      </c>
      <c r="J148" s="1052">
        <f>J146*J147</f>
        <v>1007744.2797896755</v>
      </c>
      <c r="K148" s="1053"/>
      <c r="M148" s="1052">
        <f>M146*M147</f>
        <v>0</v>
      </c>
      <c r="N148" s="1053"/>
      <c r="P148" s="1052">
        <f>P146*P147</f>
        <v>0</v>
      </c>
      <c r="Q148" s="1053"/>
      <c r="V148" s="1455"/>
      <c r="W148" s="1456"/>
    </row>
    <row r="149" spans="1:23" s="449" customFormat="1" ht="14.1" customHeight="1" thickBot="1">
      <c r="B149" s="452" t="s">
        <v>2124</v>
      </c>
      <c r="J149" s="965">
        <f>J148+M148+P148</f>
        <v>1007744.2797896755</v>
      </c>
      <c r="K149" s="1048"/>
      <c r="L149" s="1048"/>
      <c r="M149" s="1048"/>
      <c r="N149" s="1048"/>
      <c r="O149" s="1048"/>
      <c r="P149" s="1048"/>
      <c r="Q149" s="966"/>
      <c r="V149" s="1458"/>
      <c r="W149" s="1459"/>
    </row>
    <row r="150" spans="1:23" s="449" customFormat="1" ht="6" customHeight="1" thickBot="1">
      <c r="B150" s="537"/>
      <c r="L150" s="538"/>
      <c r="M150" s="538"/>
      <c r="N150" s="538"/>
      <c r="O150" s="538"/>
    </row>
    <row r="151" spans="1:23" s="449" customFormat="1" ht="15" customHeight="1">
      <c r="A151" s="686" t="s">
        <v>2834</v>
      </c>
      <c r="B151" s="686" t="s">
        <v>2025</v>
      </c>
      <c r="I151" s="834"/>
      <c r="J151" s="1035" t="s">
        <v>3800</v>
      </c>
      <c r="K151" s="1035"/>
      <c r="L151" s="1035"/>
      <c r="M151" s="1036" t="str">
        <f>IF(J153&gt;D125,"TDC exceeds PUCL!","")</f>
        <v>TDC exceeds PUCL!</v>
      </c>
      <c r="N151" s="1037"/>
      <c r="O151" s="1037"/>
      <c r="P151" s="1037"/>
      <c r="Q151" s="1037"/>
      <c r="R151" s="1038"/>
      <c r="S151" s="1027" t="s">
        <v>1534</v>
      </c>
      <c r="T151" s="1028"/>
      <c r="V151" s="686" t="str">
        <f>B151</f>
        <v>TAX CREDIT CALCULATION - GAP METHOD</v>
      </c>
    </row>
    <row r="152" spans="1:23" s="449" customFormat="1" ht="15" customHeight="1">
      <c r="B152" s="452" t="s">
        <v>3810</v>
      </c>
      <c r="I152" s="834"/>
      <c r="J152" s="1034">
        <f>MIN(G123,D125)</f>
        <v>12126709</v>
      </c>
      <c r="K152" s="1034"/>
      <c r="L152" s="1034"/>
      <c r="M152" s="1039" t="s">
        <v>138</v>
      </c>
      <c r="N152" s="1040"/>
      <c r="O152" s="1040"/>
      <c r="P152" s="1040"/>
      <c r="Q152" s="1040"/>
      <c r="R152" s="1041"/>
      <c r="S152" s="1029"/>
      <c r="T152" s="1030"/>
      <c r="V152" s="1453"/>
      <c r="W152" s="1454"/>
    </row>
    <row r="153" spans="1:23" s="449" customFormat="1" ht="14.1" customHeight="1">
      <c r="B153" s="449" t="s">
        <v>1668</v>
      </c>
      <c r="J153" s="1464">
        <v>13170768</v>
      </c>
      <c r="K153" s="1465"/>
      <c r="L153" s="1465"/>
      <c r="M153" s="1039"/>
      <c r="N153" s="1040"/>
      <c r="O153" s="1040"/>
      <c r="P153" s="1040"/>
      <c r="Q153" s="1040"/>
      <c r="R153" s="1041"/>
      <c r="S153" s="1029"/>
      <c r="T153" s="1030"/>
      <c r="V153" s="1455"/>
      <c r="W153" s="1456"/>
    </row>
    <row r="154" spans="1:23" s="449" customFormat="1" ht="14.1" customHeight="1">
      <c r="B154" s="449" t="s">
        <v>3797</v>
      </c>
      <c r="J154" s="1042">
        <f>'Part III A-Sources of Funds'!$H$49-'Part III A-Sources of Funds'!$H$37-'Part III A-Sources of Funds'!$H$40-'Part III A-Sources of Funds'!$H$41</f>
        <v>2052890</v>
      </c>
      <c r="K154" s="1043"/>
      <c r="L154" s="1043"/>
      <c r="M154" s="1039"/>
      <c r="N154" s="1040"/>
      <c r="O154" s="1040"/>
      <c r="P154" s="1040"/>
      <c r="Q154" s="1040"/>
      <c r="R154" s="1041"/>
      <c r="S154" s="649"/>
      <c r="T154" s="652" t="s">
        <v>3799</v>
      </c>
      <c r="V154" s="1455"/>
      <c r="W154" s="1456"/>
    </row>
    <row r="155" spans="1:23" s="449" customFormat="1" ht="14.1" customHeight="1">
      <c r="B155" s="449" t="s">
        <v>985</v>
      </c>
      <c r="J155" s="1042">
        <f>+J153-J154</f>
        <v>11117878</v>
      </c>
      <c r="K155" s="1043"/>
      <c r="L155" s="1043"/>
      <c r="M155" s="1047" t="s">
        <v>190</v>
      </c>
      <c r="N155" s="1466"/>
      <c r="O155" s="1466"/>
      <c r="P155" s="1466"/>
      <c r="Q155" s="1466"/>
      <c r="R155" s="1467"/>
      <c r="S155" s="650" t="s">
        <v>1535</v>
      </c>
      <c r="T155" s="1468"/>
      <c r="V155" s="1455"/>
      <c r="W155" s="1456"/>
    </row>
    <row r="156" spans="1:23" s="449" customFormat="1" ht="14.1" customHeight="1" thickBot="1">
      <c r="B156" s="449" t="s">
        <v>2268</v>
      </c>
      <c r="J156" s="956" t="str">
        <f>"/ 10"</f>
        <v>/ 10</v>
      </c>
      <c r="K156" s="956"/>
      <c r="L156" s="956"/>
      <c r="M156" s="1044">
        <f>'Part III A-Sources of Funds'!H36</f>
        <v>1100000</v>
      </c>
      <c r="N156" s="1045"/>
      <c r="O156" s="1045"/>
      <c r="P156" s="1045"/>
      <c r="Q156" s="1045"/>
      <c r="R156" s="1046"/>
      <c r="S156" s="651" t="s">
        <v>3798</v>
      </c>
      <c r="T156" s="1469"/>
      <c r="V156" s="1455"/>
      <c r="W156" s="1456"/>
    </row>
    <row r="157" spans="1:23" s="449" customFormat="1" ht="14.1" customHeight="1">
      <c r="B157" s="449" t="s">
        <v>2269</v>
      </c>
      <c r="J157" s="1042">
        <f>J155/10</f>
        <v>1111787.8</v>
      </c>
      <c r="K157" s="1043"/>
      <c r="L157" s="1049"/>
      <c r="M157" s="472"/>
      <c r="N157" s="896" t="s">
        <v>2270</v>
      </c>
      <c r="O157" s="896"/>
      <c r="Q157" s="896" t="s">
        <v>1425</v>
      </c>
      <c r="R157" s="896"/>
      <c r="V157" s="1455"/>
      <c r="W157" s="1456"/>
    </row>
    <row r="158" spans="1:23" s="449" customFormat="1" ht="14.1" customHeight="1" thickBot="1">
      <c r="B158" s="449" t="s">
        <v>1995</v>
      </c>
      <c r="J158" s="1031">
        <f>N158+Q158</f>
        <v>1.1800000000000002</v>
      </c>
      <c r="K158" s="1032"/>
      <c r="L158" s="1033"/>
      <c r="M158" s="829" t="s">
        <v>2271</v>
      </c>
      <c r="N158" s="1470">
        <v>0.92</v>
      </c>
      <c r="O158" s="1471"/>
      <c r="P158" s="829" t="s">
        <v>3215</v>
      </c>
      <c r="Q158" s="1470">
        <v>0.26</v>
      </c>
      <c r="R158" s="1471"/>
      <c r="V158" s="1455"/>
      <c r="W158" s="1456"/>
    </row>
    <row r="159" spans="1:23" s="449" customFormat="1" ht="14.1" customHeight="1" thickBot="1">
      <c r="B159" s="452" t="s">
        <v>2125</v>
      </c>
      <c r="J159" s="965">
        <f>IF(J158=0,"",J157/J158)</f>
        <v>942193.05084745749</v>
      </c>
      <c r="K159" s="1048"/>
      <c r="L159" s="966"/>
      <c r="M159" s="472"/>
      <c r="N159" s="834"/>
      <c r="O159" s="834"/>
      <c r="V159" s="1455"/>
      <c r="W159" s="1456"/>
    </row>
    <row r="160" spans="1:23" s="449" customFormat="1" ht="9" customHeight="1">
      <c r="J160" s="539"/>
      <c r="K160" s="539"/>
      <c r="L160" s="539"/>
      <c r="M160" s="472"/>
      <c r="N160" s="837"/>
      <c r="O160" s="837"/>
      <c r="V160" s="1455"/>
      <c r="W160" s="1456"/>
    </row>
    <row r="161" spans="1:23" s="449" customFormat="1" ht="16.350000000000001" customHeight="1">
      <c r="B161" s="452" t="s">
        <v>3648</v>
      </c>
      <c r="J161" s="1011">
        <f>+MIN(J149,J159,'DCA Underwriting Assumptions'!$R$6)</f>
        <v>942193.05084745749</v>
      </c>
      <c r="K161" s="1012"/>
      <c r="L161" s="1013"/>
      <c r="M161" s="472"/>
      <c r="N161" s="837"/>
      <c r="O161" s="837"/>
      <c r="V161" s="1455"/>
      <c r="W161" s="1456"/>
    </row>
    <row r="162" spans="1:23" s="449" customFormat="1" ht="9.6" customHeight="1">
      <c r="J162" s="539"/>
      <c r="K162" s="539"/>
      <c r="L162" s="539"/>
      <c r="M162" s="472"/>
      <c r="N162" s="837"/>
      <c r="O162" s="837"/>
      <c r="V162" s="1455"/>
      <c r="W162" s="1456"/>
    </row>
    <row r="163" spans="1:23" s="449" customFormat="1" ht="16.350000000000001" customHeight="1">
      <c r="B163" s="452" t="s">
        <v>3511</v>
      </c>
      <c r="J163" s="1472">
        <v>941000</v>
      </c>
      <c r="K163" s="1473"/>
      <c r="L163" s="1474"/>
      <c r="M163" s="540" t="str">
        <f>IF(J161=0,"",IF(J163&gt;J161,"ALLOCATION CANNOT EXCEED MAXIMUM - REVISE REQUEST!",""))</f>
        <v/>
      </c>
      <c r="N163" s="837"/>
      <c r="O163" s="837"/>
      <c r="V163" s="1455"/>
      <c r="W163" s="1456"/>
    </row>
    <row r="164" spans="1:23" s="449" customFormat="1" ht="9.6" customHeight="1">
      <c r="J164" s="539"/>
      <c r="K164" s="539"/>
      <c r="L164" s="539"/>
      <c r="M164" s="472"/>
      <c r="N164" s="837"/>
      <c r="O164" s="837"/>
      <c r="V164" s="1455"/>
      <c r="W164" s="1456"/>
    </row>
    <row r="165" spans="1:23" s="449" customFormat="1" ht="16.350000000000001" customHeight="1">
      <c r="A165" s="686" t="s">
        <v>1418</v>
      </c>
      <c r="B165" s="686" t="s">
        <v>383</v>
      </c>
      <c r="D165" s="472"/>
      <c r="E165" s="472"/>
      <c r="F165" s="455"/>
      <c r="J165" s="1011">
        <f>IF(J163="",0,+MIN(J161,J163))</f>
        <v>941000</v>
      </c>
      <c r="K165" s="1012"/>
      <c r="L165" s="1013"/>
      <c r="N165" s="1475"/>
      <c r="O165" s="1475"/>
      <c r="P165" s="1475"/>
      <c r="Q165" s="1475"/>
      <c r="R165" s="1475"/>
      <c r="S165" s="1475"/>
      <c r="T165" s="1475"/>
      <c r="V165" s="1458"/>
      <c r="W165" s="1459"/>
    </row>
    <row r="166" spans="1:23" ht="3" customHeight="1"/>
    <row r="167" spans="1:23" ht="6" customHeight="1"/>
    <row r="168" spans="1:23" ht="12" customHeight="1">
      <c r="A168" s="452" t="s">
        <v>1420</v>
      </c>
      <c r="B168" s="481" t="s">
        <v>3248</v>
      </c>
      <c r="K168" s="452" t="s">
        <v>3298</v>
      </c>
      <c r="L168" s="452" t="s">
        <v>4046</v>
      </c>
    </row>
    <row r="169" spans="1:23" ht="146.44999999999999" customHeight="1">
      <c r="A169" s="1476" t="s">
        <v>4</v>
      </c>
      <c r="B169" s="1477"/>
      <c r="C169" s="1477"/>
      <c r="D169" s="1477"/>
      <c r="E169" s="1477"/>
      <c r="F169" s="1477"/>
      <c r="G169" s="1477"/>
      <c r="H169" s="1477"/>
      <c r="I169" s="1477"/>
      <c r="J169" s="1478"/>
      <c r="K169" s="1479"/>
      <c r="L169" s="1477"/>
      <c r="M169" s="1477"/>
      <c r="N169" s="1477"/>
      <c r="O169" s="1477"/>
      <c r="P169" s="1477"/>
      <c r="Q169" s="1477"/>
      <c r="R169" s="1477"/>
      <c r="S169" s="1477"/>
      <c r="T169" s="1478"/>
      <c r="V169" s="987" t="s">
        <v>121</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5"/>
    </row>
    <row r="183" spans="1:1" s="449" customFormat="1" ht="14.45" customHeight="1"/>
    <row r="184" spans="1:1" s="449" customFormat="1" ht="14.45" customHeight="1">
      <c r="A184" s="499"/>
    </row>
    <row r="185" spans="1:1" s="449" customFormat="1" ht="14.45" customHeight="1">
      <c r="A185" s="499"/>
    </row>
    <row r="186" spans="1:1" s="449" customFormat="1" ht="14.45" customHeight="1">
      <c r="A186" s="499"/>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cfRule type="cellIs" dxfId="5" priority="2" operator="greaterThan">
      <formula>$G$34</formula>
    </cfRule>
  </conditionalFormatting>
  <conditionalFormatting sqref="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6" t="str">
        <f>CONCATENATE("PART FIVE - UTILITY ALLOWANCES","  -  ",'Part I-Project Information'!$O$4," ",'Part I-Project Information'!$F$22,", ",'Part I-Project Information'!F24,", ",'Part I-Project Information'!J25," County")</f>
        <v>PART FIVE - UTILITY ALLOWANCES  -  2012-042 Adair Court, Atlanta, Fulton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3283</v>
      </c>
      <c r="I3" s="857" t="str">
        <f>VLOOKUP('Part I-Project Information'!$J$25,'Part I-Project Information'!$C$181:$D$340,2)</f>
        <v>Middle</v>
      </c>
    </row>
    <row r="4" spans="1:20" s="9" customFormat="1"/>
    <row r="5" spans="1:20" s="9" customFormat="1">
      <c r="A5" s="16" t="s">
        <v>3133</v>
      </c>
      <c r="B5" s="16" t="s">
        <v>980</v>
      </c>
      <c r="F5" s="9" t="s">
        <v>608</v>
      </c>
      <c r="I5" s="1480" t="s">
        <v>70</v>
      </c>
      <c r="J5" s="1481"/>
      <c r="K5" s="1481"/>
      <c r="L5" s="1481"/>
      <c r="M5" s="1482"/>
    </row>
    <row r="6" spans="1:20" s="9" customFormat="1" ht="13.35" customHeight="1">
      <c r="A6" s="16"/>
      <c r="F6" s="9" t="s">
        <v>3233</v>
      </c>
      <c r="H6" s="31"/>
      <c r="I6" s="1483">
        <v>40725</v>
      </c>
      <c r="J6" s="1484"/>
      <c r="K6" s="74" t="s">
        <v>3309</v>
      </c>
      <c r="L6" s="1485" t="s">
        <v>71</v>
      </c>
      <c r="M6" s="1482"/>
    </row>
    <row r="7" spans="1:20" s="9" customFormat="1" ht="6" customHeight="1">
      <c r="A7" s="16"/>
    </row>
    <row r="8" spans="1:20" s="16" customFormat="1">
      <c r="B8" s="338"/>
      <c r="C8" s="338"/>
      <c r="D8" s="338"/>
      <c r="E8" s="338"/>
      <c r="F8" s="1079" t="s">
        <v>3212</v>
      </c>
      <c r="G8" s="1079"/>
      <c r="I8" s="1078" t="s">
        <v>3708</v>
      </c>
      <c r="J8" s="1078"/>
      <c r="K8" s="1078"/>
      <c r="L8" s="1078"/>
      <c r="M8" s="1078"/>
    </row>
    <row r="9" spans="1:20" s="16" customFormat="1">
      <c r="B9" s="338" t="s">
        <v>2819</v>
      </c>
      <c r="D9" s="338" t="s">
        <v>1875</v>
      </c>
      <c r="F9" s="847" t="s">
        <v>3239</v>
      </c>
      <c r="G9" s="847" t="s">
        <v>1375</v>
      </c>
      <c r="I9" s="339">
        <v>0</v>
      </c>
      <c r="J9" s="340">
        <v>1</v>
      </c>
      <c r="K9" s="340">
        <v>2</v>
      </c>
      <c r="L9" s="340">
        <v>3</v>
      </c>
      <c r="M9" s="340">
        <v>4</v>
      </c>
    </row>
    <row r="10" spans="1:20" s="9" customFormat="1">
      <c r="B10" s="341" t="s">
        <v>1377</v>
      </c>
      <c r="C10" s="342"/>
      <c r="D10" s="1486" t="s">
        <v>1871</v>
      </c>
      <c r="E10" s="1487"/>
      <c r="F10" s="1488"/>
      <c r="G10" s="1488" t="s">
        <v>3548</v>
      </c>
      <c r="H10" s="343"/>
      <c r="I10" s="1489"/>
      <c r="J10" s="1489"/>
      <c r="K10" s="1489"/>
      <c r="L10" s="1489"/>
      <c r="M10" s="1489"/>
    </row>
    <row r="11" spans="1:20" s="9" customFormat="1">
      <c r="B11" s="344" t="s">
        <v>3493</v>
      </c>
      <c r="C11" s="345"/>
      <c r="D11" s="344" t="s">
        <v>1871</v>
      </c>
      <c r="E11" s="345"/>
      <c r="F11" s="1490"/>
      <c r="G11" s="1490" t="s">
        <v>3548</v>
      </c>
      <c r="H11" s="346"/>
      <c r="I11" s="1491"/>
      <c r="J11" s="1491"/>
      <c r="K11" s="1491"/>
      <c r="L11" s="1492"/>
      <c r="M11" s="1492"/>
    </row>
    <row r="12" spans="1:20" s="9" customFormat="1">
      <c r="B12" s="344" t="s">
        <v>1872</v>
      </c>
      <c r="C12" s="345"/>
      <c r="D12" s="1493" t="s">
        <v>1871</v>
      </c>
      <c r="E12" s="1494"/>
      <c r="F12" s="1490"/>
      <c r="G12" s="1490" t="s">
        <v>3548</v>
      </c>
      <c r="H12" s="346"/>
      <c r="I12" s="1491"/>
      <c r="J12" s="1491"/>
      <c r="K12" s="1491"/>
      <c r="L12" s="1492"/>
      <c r="M12" s="1492"/>
    </row>
    <row r="13" spans="1:20" s="9" customFormat="1">
      <c r="B13" s="344" t="s">
        <v>1873</v>
      </c>
      <c r="C13" s="345"/>
      <c r="D13" s="1493" t="s">
        <v>1871</v>
      </c>
      <c r="E13" s="1494"/>
      <c r="F13" s="1490"/>
      <c r="G13" s="1490" t="s">
        <v>3548</v>
      </c>
      <c r="H13" s="346"/>
      <c r="I13" s="1491"/>
      <c r="J13" s="1491"/>
      <c r="K13" s="1491"/>
      <c r="L13" s="1492"/>
      <c r="M13" s="1492"/>
    </row>
    <row r="14" spans="1:20" s="9" customFormat="1">
      <c r="B14" s="344" t="s">
        <v>1874</v>
      </c>
      <c r="C14" s="345"/>
      <c r="D14" s="344" t="s">
        <v>1871</v>
      </c>
      <c r="E14" s="347"/>
      <c r="F14" s="1490"/>
      <c r="G14" s="1490" t="s">
        <v>3548</v>
      </c>
      <c r="H14" s="346"/>
      <c r="I14" s="1491"/>
      <c r="J14" s="1491"/>
      <c r="K14" s="1491"/>
      <c r="L14" s="1492"/>
      <c r="M14" s="1492"/>
    </row>
    <row r="15" spans="1:20" s="9" customFormat="1">
      <c r="B15" s="344" t="s">
        <v>2202</v>
      </c>
      <c r="C15" s="345"/>
      <c r="D15" s="344" t="s">
        <v>860</v>
      </c>
      <c r="E15" s="1495" t="s">
        <v>61</v>
      </c>
      <c r="F15" s="1490"/>
      <c r="G15" s="1490" t="s">
        <v>3548</v>
      </c>
      <c r="H15" s="346"/>
      <c r="I15" s="1491"/>
      <c r="J15" s="1491"/>
      <c r="K15" s="1491"/>
      <c r="L15" s="1492"/>
      <c r="M15" s="1492"/>
    </row>
    <row r="16" spans="1:20" s="9" customFormat="1">
      <c r="B16" s="348" t="s">
        <v>1376</v>
      </c>
      <c r="C16" s="349"/>
      <c r="D16" s="348"/>
      <c r="E16" s="315"/>
      <c r="F16" s="1496"/>
      <c r="G16" s="1496" t="s">
        <v>3548</v>
      </c>
      <c r="H16" s="350"/>
      <c r="I16" s="1497"/>
      <c r="J16" s="1497"/>
      <c r="K16" s="1497"/>
      <c r="L16" s="1498"/>
      <c r="M16" s="1498"/>
    </row>
    <row r="17" spans="1:19" s="9" customFormat="1">
      <c r="B17" s="338" t="s">
        <v>2504</v>
      </c>
      <c r="D17" s="31"/>
      <c r="E17" s="31"/>
      <c r="F17" s="108"/>
      <c r="G17" s="108"/>
      <c r="I17" s="847">
        <f>SUM(I10:I16)</f>
        <v>0</v>
      </c>
      <c r="J17" s="847">
        <f>SUM(J10:J16)</f>
        <v>0</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2832</v>
      </c>
      <c r="B19" s="16" t="s">
        <v>981</v>
      </c>
      <c r="F19" s="9" t="s">
        <v>608</v>
      </c>
      <c r="I19" s="1485"/>
      <c r="J19" s="1481"/>
      <c r="K19" s="1481"/>
      <c r="L19" s="1481"/>
      <c r="M19" s="1482"/>
    </row>
    <row r="20" spans="1:19" s="9" customFormat="1" ht="13.35" customHeight="1">
      <c r="A20" s="16"/>
      <c r="B20" s="16"/>
      <c r="F20" s="9" t="s">
        <v>3233</v>
      </c>
      <c r="H20" s="31"/>
      <c r="I20" s="1483"/>
      <c r="J20" s="1484"/>
      <c r="K20" s="74" t="s">
        <v>3309</v>
      </c>
      <c r="L20" s="1485"/>
      <c r="M20" s="1482"/>
    </row>
    <row r="21" spans="1:19" s="9" customFormat="1" ht="6" customHeight="1">
      <c r="A21" s="16"/>
    </row>
    <row r="22" spans="1:19" s="16" customFormat="1">
      <c r="B22" s="338"/>
      <c r="C22" s="338"/>
      <c r="D22" s="338"/>
      <c r="E22" s="338"/>
      <c r="F22" s="1079" t="s">
        <v>3212</v>
      </c>
      <c r="G22" s="1079"/>
      <c r="I22" s="1078" t="s">
        <v>3708</v>
      </c>
      <c r="J22" s="1078"/>
      <c r="K22" s="1078"/>
      <c r="L22" s="1078"/>
      <c r="M22" s="1078"/>
    </row>
    <row r="23" spans="1:19" s="16" customFormat="1">
      <c r="B23" s="338" t="s">
        <v>2819</v>
      </c>
      <c r="D23" s="338" t="s">
        <v>1875</v>
      </c>
      <c r="F23" s="847" t="s">
        <v>3239</v>
      </c>
      <c r="G23" s="847" t="s">
        <v>1375</v>
      </c>
      <c r="I23" s="339">
        <v>0</v>
      </c>
      <c r="J23" s="340">
        <v>1</v>
      </c>
      <c r="K23" s="340">
        <v>2</v>
      </c>
      <c r="L23" s="340">
        <v>3</v>
      </c>
      <c r="M23" s="340">
        <v>4</v>
      </c>
    </row>
    <row r="24" spans="1:19" s="9" customFormat="1">
      <c r="B24" s="341" t="s">
        <v>1377</v>
      </c>
      <c r="C24" s="342"/>
      <c r="D24" s="1499" t="s">
        <v>1338</v>
      </c>
      <c r="E24" s="1487"/>
      <c r="F24" s="1488"/>
      <c r="G24" s="1488"/>
      <c r="H24" s="343"/>
      <c r="I24" s="1489"/>
      <c r="J24" s="1489"/>
      <c r="K24" s="1489"/>
      <c r="L24" s="1489"/>
      <c r="M24" s="1489"/>
    </row>
    <row r="25" spans="1:19" s="9" customFormat="1">
      <c r="B25" s="344" t="s">
        <v>3493</v>
      </c>
      <c r="C25" s="345"/>
      <c r="D25" s="344" t="s">
        <v>1871</v>
      </c>
      <c r="E25" s="345"/>
      <c r="F25" s="1490"/>
      <c r="G25" s="1490"/>
      <c r="H25" s="346"/>
      <c r="I25" s="1491"/>
      <c r="J25" s="1491"/>
      <c r="K25" s="1491"/>
      <c r="L25" s="1492"/>
      <c r="M25" s="1492"/>
    </row>
    <row r="26" spans="1:19" s="9" customFormat="1">
      <c r="B26" s="344" t="s">
        <v>1872</v>
      </c>
      <c r="C26" s="345"/>
      <c r="D26" s="1500" t="s">
        <v>1338</v>
      </c>
      <c r="E26" s="1494"/>
      <c r="F26" s="1490"/>
      <c r="G26" s="1490"/>
      <c r="H26" s="346"/>
      <c r="I26" s="1491"/>
      <c r="J26" s="1491"/>
      <c r="K26" s="1491"/>
      <c r="L26" s="1492"/>
      <c r="M26" s="1492"/>
    </row>
    <row r="27" spans="1:19" s="9" customFormat="1">
      <c r="B27" s="344" t="s">
        <v>1873</v>
      </c>
      <c r="C27" s="345"/>
      <c r="D27" s="1500" t="s">
        <v>1338</v>
      </c>
      <c r="E27" s="1494"/>
      <c r="F27" s="1490"/>
      <c r="G27" s="1490"/>
      <c r="H27" s="346"/>
      <c r="I27" s="1491"/>
      <c r="J27" s="1491"/>
      <c r="K27" s="1491"/>
      <c r="L27" s="1492"/>
      <c r="M27" s="1492"/>
    </row>
    <row r="28" spans="1:19" s="9" customFormat="1">
      <c r="B28" s="344" t="s">
        <v>1874</v>
      </c>
      <c r="C28" s="345"/>
      <c r="D28" s="344" t="s">
        <v>1871</v>
      </c>
      <c r="E28" s="347"/>
      <c r="F28" s="1490"/>
      <c r="G28" s="1490"/>
      <c r="H28" s="346"/>
      <c r="I28" s="1491"/>
      <c r="J28" s="1491"/>
      <c r="K28" s="1491"/>
      <c r="L28" s="1492"/>
      <c r="M28" s="1492"/>
    </row>
    <row r="29" spans="1:19" s="9" customFormat="1">
      <c r="B29" s="344" t="s">
        <v>2202</v>
      </c>
      <c r="C29" s="345"/>
      <c r="D29" s="344" t="s">
        <v>860</v>
      </c>
      <c r="E29" s="1495" t="s">
        <v>3709</v>
      </c>
      <c r="F29" s="1490"/>
      <c r="G29" s="1490"/>
      <c r="H29" s="346"/>
      <c r="I29" s="1491"/>
      <c r="J29" s="1491"/>
      <c r="K29" s="1491"/>
      <c r="L29" s="1492"/>
      <c r="M29" s="1492"/>
    </row>
    <row r="30" spans="1:19" s="9" customFormat="1">
      <c r="B30" s="348" t="s">
        <v>1376</v>
      </c>
      <c r="C30" s="349"/>
      <c r="D30" s="348"/>
      <c r="E30" s="315"/>
      <c r="F30" s="1496"/>
      <c r="G30" s="1496"/>
      <c r="H30" s="350"/>
      <c r="I30" s="1497"/>
      <c r="J30" s="1497"/>
      <c r="K30" s="1497"/>
      <c r="L30" s="1498"/>
      <c r="M30" s="1498"/>
    </row>
    <row r="31" spans="1:19" s="9" customFormat="1">
      <c r="B31" s="338" t="s">
        <v>2504</v>
      </c>
      <c r="D31" s="31"/>
      <c r="E31" s="31"/>
      <c r="F31" s="108"/>
      <c r="G31" s="108"/>
      <c r="I31" s="847">
        <f>SUM(I24:I30)</f>
        <v>0</v>
      </c>
      <c r="J31" s="847">
        <f>SUM(J24:J30)</f>
        <v>0</v>
      </c>
      <c r="K31" s="847">
        <f>SUM(K24:K30)</f>
        <v>0</v>
      </c>
      <c r="L31" s="847">
        <f>SUM(L24:L30)</f>
        <v>0</v>
      </c>
      <c r="M31" s="847">
        <f>SUM(M24:M30)</f>
        <v>0</v>
      </c>
    </row>
    <row r="32" spans="1:19">
      <c r="A32" s="9"/>
    </row>
    <row r="33" spans="1:19">
      <c r="B33" s="351" t="s">
        <v>1435</v>
      </c>
    </row>
    <row r="34" spans="1:19" s="9" customFormat="1" ht="6" customHeight="1">
      <c r="M34" s="31"/>
      <c r="N34" s="31"/>
      <c r="O34" s="31"/>
      <c r="P34" s="31"/>
      <c r="Q34" s="31"/>
      <c r="R34" s="31"/>
      <c r="S34" s="31"/>
    </row>
    <row r="35" spans="1:19" s="9" customFormat="1" ht="12" customHeight="1">
      <c r="A35" s="16"/>
      <c r="B35" s="16" t="s">
        <v>3248</v>
      </c>
      <c r="M35" s="31"/>
      <c r="N35" s="31"/>
      <c r="O35" s="31"/>
      <c r="P35" s="31"/>
      <c r="Q35" s="31"/>
      <c r="R35" s="31"/>
      <c r="S35" s="31"/>
    </row>
    <row r="36" spans="1:19" s="9" customFormat="1" ht="24.75" customHeight="1">
      <c r="B36" s="1501" t="s">
        <v>72</v>
      </c>
      <c r="C36" s="1502"/>
      <c r="D36" s="1502"/>
      <c r="E36" s="1502"/>
      <c r="F36" s="1502"/>
      <c r="G36" s="1502"/>
      <c r="H36" s="1502"/>
      <c r="I36" s="1502"/>
      <c r="J36" s="1502"/>
      <c r="K36" s="1502"/>
      <c r="L36" s="1502"/>
      <c r="M36" s="1503"/>
      <c r="N36" s="31"/>
      <c r="O36" s="886" t="s">
        <v>121</v>
      </c>
      <c r="P36" s="886"/>
      <c r="Q36" s="886"/>
      <c r="R36" s="886"/>
      <c r="S36" s="886"/>
    </row>
    <row r="37" spans="1:19" s="9" customFormat="1" ht="3" customHeight="1">
      <c r="M37" s="31"/>
      <c r="N37" s="31"/>
      <c r="O37" s="886"/>
      <c r="P37" s="886"/>
      <c r="Q37" s="886"/>
      <c r="R37" s="886"/>
      <c r="S37" s="886"/>
    </row>
    <row r="38" spans="1:19" s="9" customFormat="1" ht="12" customHeight="1">
      <c r="A38" s="16"/>
      <c r="B38" s="16" t="s">
        <v>1370</v>
      </c>
      <c r="M38" s="31"/>
      <c r="N38" s="31"/>
      <c r="O38" s="886"/>
      <c r="P38" s="886"/>
      <c r="Q38" s="886"/>
      <c r="R38" s="886"/>
      <c r="S38" s="886"/>
    </row>
    <row r="39" spans="1:19" s="9" customFormat="1" ht="24.75" customHeight="1">
      <c r="B39" s="1504"/>
      <c r="C39" s="1505"/>
      <c r="D39" s="1505"/>
      <c r="E39" s="1505"/>
      <c r="F39" s="1505"/>
      <c r="G39" s="1505"/>
      <c r="H39" s="1505"/>
      <c r="I39" s="1505"/>
      <c r="J39" s="1505"/>
      <c r="K39" s="1505"/>
      <c r="L39" s="1505"/>
      <c r="M39" s="1506"/>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8" customWidth="1"/>
    <col min="76" max="81" width="12.42578125" style="758" customWidth="1"/>
    <col min="82" max="180" width="9.140625" style="758" customWidth="1"/>
    <col min="181" max="197" width="9.140625" style="777" customWidth="1"/>
    <col min="198" max="203" width="9.140625" style="758" customWidth="1"/>
    <col min="204" max="204" width="9.140625" style="782" customWidth="1"/>
    <col min="205" max="219" width="9.140625" style="758" customWidth="1"/>
    <col min="220" max="221" width="9.140625" style="782" customWidth="1"/>
    <col min="222" max="223" width="9.140625" style="758"/>
    <col min="224" max="255" width="9.140625" style="199"/>
    <col min="256" max="16384" width="9.140625" style="110"/>
  </cols>
  <sheetData>
    <row r="1" spans="1:255" s="119" customFormat="1" ht="14.1" customHeight="1">
      <c r="A1" s="993" t="str">
        <f>CONCATENATE("PART SIX - PROJECTED REVENUES &amp; EXPENSES","  -  ",'Part I-Project Information'!$O$4," ",'Part I-Project Information'!$F$22,", ",'Part I-Project Information'!F24,", ",'Part I-Project Information'!J25," County")</f>
        <v>PART SIX - PROJECTED REVENUES &amp; EXPENSES  -  2012-042 Adair Court, Atlanta, Fulton County</v>
      </c>
      <c r="B1" s="994"/>
      <c r="C1" s="994"/>
      <c r="D1" s="994"/>
      <c r="E1" s="994"/>
      <c r="F1" s="994"/>
      <c r="G1" s="994"/>
      <c r="H1" s="994"/>
      <c r="I1" s="994"/>
      <c r="J1" s="994"/>
      <c r="K1" s="994"/>
      <c r="L1" s="994"/>
      <c r="M1" s="994"/>
      <c r="N1" s="994"/>
      <c r="O1" s="994"/>
      <c r="P1" s="995"/>
      <c r="T1" s="1102" t="str">
        <f>A1</f>
        <v>PART SIX - PROJECTED REVENUES &amp; EXPENSES  -  2012-042 Adair Court, Atlanta, Fulton County</v>
      </c>
      <c r="U1" s="1102"/>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0"/>
      <c r="ES1" s="770"/>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1"/>
      <c r="GG1" s="771"/>
      <c r="GH1" s="770"/>
      <c r="GI1" s="770"/>
      <c r="GJ1" s="770"/>
      <c r="GK1" s="770"/>
      <c r="GL1" s="772"/>
      <c r="GM1" s="770"/>
      <c r="GN1" s="770"/>
      <c r="GO1" s="770"/>
      <c r="GP1" s="770"/>
      <c r="GQ1" s="770"/>
      <c r="GR1" s="770"/>
      <c r="GS1" s="770"/>
      <c r="GT1" s="770"/>
      <c r="GU1" s="770"/>
      <c r="GV1" s="770"/>
      <c r="GW1" s="770"/>
      <c r="GX1" s="770"/>
      <c r="GY1" s="770"/>
      <c r="GZ1" s="770"/>
      <c r="HA1" s="770"/>
      <c r="HB1" s="770"/>
      <c r="HC1" s="770"/>
      <c r="HD1" s="770"/>
      <c r="HE1" s="770"/>
      <c r="HF1" s="770"/>
      <c r="HG1" s="770"/>
      <c r="HH1" s="770"/>
      <c r="HI1" s="770"/>
      <c r="HJ1" s="770"/>
      <c r="HK1" s="770"/>
      <c r="HL1" s="770"/>
      <c r="HM1" s="770"/>
      <c r="HN1" s="770"/>
      <c r="HO1" s="770"/>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4"/>
      <c r="GI2" s="774"/>
      <c r="GJ2" s="773"/>
      <c r="GK2" s="773"/>
      <c r="GL2" s="773"/>
      <c r="GM2" s="773"/>
      <c r="GN2" s="773"/>
      <c r="GO2" s="758"/>
      <c r="GT2" s="773"/>
      <c r="GU2" s="773"/>
      <c r="GV2" s="773"/>
      <c r="GW2" s="773"/>
      <c r="GX2" s="773"/>
      <c r="GY2" s="773"/>
      <c r="GZ2" s="773"/>
      <c r="HA2" s="773"/>
      <c r="HB2" s="773"/>
      <c r="HC2" s="773"/>
      <c r="HD2" s="773"/>
      <c r="HE2" s="773"/>
      <c r="HF2" s="773"/>
      <c r="HG2" s="773"/>
      <c r="HH2" s="773"/>
      <c r="HI2" s="773"/>
      <c r="HJ2" s="773"/>
      <c r="HK2" s="773"/>
      <c r="HL2" s="773"/>
      <c r="HM2" s="773"/>
    </row>
    <row r="3" spans="1:255" s="119" customFormat="1" ht="12.6" customHeight="1">
      <c r="A3" s="5" t="s">
        <v>3133</v>
      </c>
      <c r="B3" s="5" t="s">
        <v>618</v>
      </c>
      <c r="C3" s="2"/>
      <c r="E3" s="186" t="s">
        <v>191</v>
      </c>
      <c r="F3" s="2"/>
      <c r="G3" s="168"/>
      <c r="H3" s="168"/>
      <c r="I3" s="168"/>
      <c r="J3" s="168"/>
      <c r="K3" s="168"/>
      <c r="L3" s="168"/>
      <c r="Q3" s="441"/>
      <c r="R3" s="441"/>
      <c r="S3" s="441"/>
      <c r="T3" s="5" t="str">
        <f>B3</f>
        <v>RENT SCHEDULE</v>
      </c>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6"/>
      <c r="EW3" s="776"/>
      <c r="EX3" s="776"/>
      <c r="EY3" s="776"/>
      <c r="EZ3" s="776"/>
      <c r="FA3" s="774" t="s">
        <v>3437</v>
      </c>
      <c r="FB3" s="774" t="s">
        <v>724</v>
      </c>
      <c r="FC3" s="774" t="s">
        <v>725</v>
      </c>
      <c r="FD3" s="774" t="s">
        <v>726</v>
      </c>
      <c r="FE3" s="774" t="s">
        <v>727</v>
      </c>
      <c r="FF3" s="776"/>
      <c r="FG3" s="776"/>
      <c r="FH3" s="776"/>
      <c r="FI3" s="776"/>
      <c r="FJ3" s="776"/>
      <c r="FK3" s="774" t="s">
        <v>3437</v>
      </c>
      <c r="FL3" s="774" t="s">
        <v>724</v>
      </c>
      <c r="FM3" s="774" t="s">
        <v>725</v>
      </c>
      <c r="FN3" s="774" t="s">
        <v>726</v>
      </c>
      <c r="FO3" s="774" t="s">
        <v>727</v>
      </c>
      <c r="FP3" s="774" t="s">
        <v>3437</v>
      </c>
      <c r="FQ3" s="774" t="s">
        <v>724</v>
      </c>
      <c r="FR3" s="774" t="s">
        <v>725</v>
      </c>
      <c r="FS3" s="774" t="s">
        <v>726</v>
      </c>
      <c r="FT3" s="774" t="s">
        <v>727</v>
      </c>
      <c r="FU3" s="774" t="s">
        <v>3437</v>
      </c>
      <c r="FV3" s="774" t="s">
        <v>724</v>
      </c>
      <c r="FW3" s="774" t="s">
        <v>725</v>
      </c>
      <c r="FX3" s="774" t="s">
        <v>726</v>
      </c>
      <c r="FY3" s="774" t="s">
        <v>727</v>
      </c>
      <c r="FZ3" s="774" t="s">
        <v>3437</v>
      </c>
      <c r="GA3" s="774" t="s">
        <v>724</v>
      </c>
      <c r="GB3" s="774" t="s">
        <v>725</v>
      </c>
      <c r="GC3" s="774" t="s">
        <v>726</v>
      </c>
      <c r="GD3" s="774" t="s">
        <v>727</v>
      </c>
      <c r="GE3" s="774" t="s">
        <v>3437</v>
      </c>
      <c r="GF3" s="774" t="s">
        <v>724</v>
      </c>
      <c r="GG3" s="774" t="s">
        <v>725</v>
      </c>
      <c r="GH3" s="774" t="s">
        <v>726</v>
      </c>
      <c r="GI3" s="774" t="s">
        <v>727</v>
      </c>
      <c r="GJ3" s="774" t="s">
        <v>3437</v>
      </c>
      <c r="GK3" s="774" t="s">
        <v>724</v>
      </c>
      <c r="GL3" s="774" t="s">
        <v>725</v>
      </c>
      <c r="GM3" s="774" t="s">
        <v>726</v>
      </c>
      <c r="GN3" s="774" t="s">
        <v>727</v>
      </c>
      <c r="GO3" s="770"/>
      <c r="GP3" s="770"/>
      <c r="GQ3" s="770"/>
      <c r="GR3" s="770"/>
      <c r="GS3" s="770"/>
      <c r="GT3" s="775"/>
      <c r="GU3" s="775"/>
      <c r="GV3" s="775"/>
      <c r="GW3" s="775"/>
      <c r="GX3" s="775"/>
      <c r="GY3" s="775"/>
      <c r="GZ3" s="775"/>
      <c r="HA3" s="775"/>
      <c r="HB3" s="775"/>
      <c r="HC3" s="775"/>
      <c r="HD3" s="775"/>
      <c r="HE3" s="775"/>
      <c r="HF3" s="775"/>
      <c r="HG3" s="775"/>
      <c r="HH3" s="775"/>
      <c r="HI3" s="775"/>
      <c r="HJ3" s="775"/>
      <c r="HK3" s="775"/>
      <c r="HL3" s="775"/>
      <c r="HM3" s="775"/>
      <c r="HN3" s="770"/>
      <c r="HO3" s="770"/>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8"/>
      <c r="Q4" s="669"/>
      <c r="R4" s="669"/>
      <c r="S4" s="669"/>
      <c r="T4" s="669"/>
      <c r="U4" s="670"/>
      <c r="V4" s="1080" t="s">
        <v>2683</v>
      </c>
      <c r="W4" s="1080" t="s">
        <v>3018</v>
      </c>
      <c r="X4" s="1080" t="s">
        <v>3019</v>
      </c>
      <c r="Y4" s="1080" t="s">
        <v>3020</v>
      </c>
      <c r="Z4" s="1080" t="s">
        <v>3021</v>
      </c>
      <c r="AA4" s="1080" t="s">
        <v>2684</v>
      </c>
      <c r="AB4" s="1080" t="s">
        <v>838</v>
      </c>
      <c r="AC4" s="1080" t="s">
        <v>839</v>
      </c>
      <c r="AD4" s="1080" t="s">
        <v>840</v>
      </c>
      <c r="AE4" s="1080" t="s">
        <v>947</v>
      </c>
      <c r="AF4" s="1080" t="s">
        <v>2685</v>
      </c>
      <c r="AG4" s="1080" t="s">
        <v>948</v>
      </c>
      <c r="AH4" s="1080" t="s">
        <v>949</v>
      </c>
      <c r="AI4" s="1080" t="s">
        <v>848</v>
      </c>
      <c r="AJ4" s="1080" t="s">
        <v>849</v>
      </c>
      <c r="AK4" s="1080" t="s">
        <v>3914</v>
      </c>
      <c r="AL4" s="1080" t="s">
        <v>756</v>
      </c>
      <c r="AM4" s="1080" t="s">
        <v>757</v>
      </c>
      <c r="AN4" s="1080" t="s">
        <v>758</v>
      </c>
      <c r="AO4" s="1080" t="s">
        <v>2409</v>
      </c>
      <c r="AP4" s="1080" t="s">
        <v>3330</v>
      </c>
      <c r="AQ4" s="1080" t="s">
        <v>3331</v>
      </c>
      <c r="AR4" s="1080" t="s">
        <v>3254</v>
      </c>
      <c r="AS4" s="1080" t="s">
        <v>3255</v>
      </c>
      <c r="AT4" s="1080" t="s">
        <v>3256</v>
      </c>
      <c r="AU4" s="1080" t="s">
        <v>3257</v>
      </c>
      <c r="AV4" s="1080" t="s">
        <v>3258</v>
      </c>
      <c r="AW4" s="1080" t="s">
        <v>3259</v>
      </c>
      <c r="AX4" s="1080" t="s">
        <v>3260</v>
      </c>
      <c r="AY4" s="1080" t="s">
        <v>3261</v>
      </c>
      <c r="AZ4" s="1080" t="s">
        <v>3262</v>
      </c>
      <c r="BA4" s="1080" t="s">
        <v>3263</v>
      </c>
      <c r="BB4" s="1080" t="s">
        <v>2709</v>
      </c>
      <c r="BC4" s="1080" t="s">
        <v>2621</v>
      </c>
      <c r="BD4" s="1080" t="s">
        <v>2622</v>
      </c>
      <c r="BE4" s="1080" t="s">
        <v>3349</v>
      </c>
      <c r="BF4" s="1080" t="s">
        <v>3350</v>
      </c>
      <c r="BG4" s="1080" t="s">
        <v>3351</v>
      </c>
      <c r="BH4" s="1080" t="s">
        <v>3352</v>
      </c>
      <c r="BI4" s="1080" t="s">
        <v>3353</v>
      </c>
      <c r="BJ4" s="1080" t="s">
        <v>2757</v>
      </c>
      <c r="BK4" s="1080" t="s">
        <v>2758</v>
      </c>
      <c r="BL4" s="1080" t="s">
        <v>2759</v>
      </c>
      <c r="BM4" s="1080" t="s">
        <v>2760</v>
      </c>
      <c r="BN4" s="1080" t="s">
        <v>2761</v>
      </c>
      <c r="BO4" s="1080" t="s">
        <v>2762</v>
      </c>
      <c r="BP4" s="1080" t="s">
        <v>2763</v>
      </c>
      <c r="BQ4" s="1080" t="s">
        <v>2764</v>
      </c>
      <c r="BR4" s="1080" t="s">
        <v>2765</v>
      </c>
      <c r="BS4" s="1080" t="s">
        <v>2655</v>
      </c>
      <c r="BT4" s="1080" t="s">
        <v>714</v>
      </c>
      <c r="BU4" s="1080" t="s">
        <v>715</v>
      </c>
      <c r="BV4" s="1080" t="s">
        <v>716</v>
      </c>
      <c r="BW4" s="1080" t="s">
        <v>717</v>
      </c>
      <c r="BX4" s="1080" t="s">
        <v>718</v>
      </c>
      <c r="BY4" s="1080" t="s">
        <v>3990</v>
      </c>
      <c r="BZ4" s="1080" t="s">
        <v>2412</v>
      </c>
      <c r="CA4" s="1080" t="s">
        <v>2413</v>
      </c>
      <c r="CB4" s="1080" t="s">
        <v>2274</v>
      </c>
      <c r="CC4" s="1080" t="s">
        <v>2275</v>
      </c>
      <c r="CD4" s="1081" t="s">
        <v>3917</v>
      </c>
      <c r="CE4" s="1081" t="s">
        <v>2276</v>
      </c>
      <c r="CF4" s="1081" t="s">
        <v>2386</v>
      </c>
      <c r="CG4" s="1081" t="s">
        <v>2387</v>
      </c>
      <c r="CH4" s="1081" t="s">
        <v>2388</v>
      </c>
      <c r="CI4" s="1081" t="s">
        <v>3916</v>
      </c>
      <c r="CJ4" s="1081" t="s">
        <v>2675</v>
      </c>
      <c r="CK4" s="1081" t="s">
        <v>2676</v>
      </c>
      <c r="CL4" s="1081" t="s">
        <v>2677</v>
      </c>
      <c r="CM4" s="1081" t="s">
        <v>2678</v>
      </c>
      <c r="CN4" s="1081" t="s">
        <v>3915</v>
      </c>
      <c r="CO4" s="1081" t="s">
        <v>2679</v>
      </c>
      <c r="CP4" s="1081" t="s">
        <v>2680</v>
      </c>
      <c r="CQ4" s="1081" t="s">
        <v>2681</v>
      </c>
      <c r="CR4" s="1081" t="s">
        <v>2682</v>
      </c>
      <c r="CS4" s="1081" t="s">
        <v>2696</v>
      </c>
      <c r="CT4" s="1081" t="s">
        <v>2697</v>
      </c>
      <c r="CU4" s="1081" t="s">
        <v>2698</v>
      </c>
      <c r="CV4" s="1081" t="s">
        <v>2699</v>
      </c>
      <c r="CW4" s="1081" t="s">
        <v>2700</v>
      </c>
      <c r="CX4" s="1081" t="s">
        <v>2647</v>
      </c>
      <c r="CY4" s="1081" t="s">
        <v>2648</v>
      </c>
      <c r="CZ4" s="1081" t="s">
        <v>2649</v>
      </c>
      <c r="DA4" s="1081" t="s">
        <v>2650</v>
      </c>
      <c r="DB4" s="1081" t="s">
        <v>713</v>
      </c>
      <c r="DC4" s="1081" t="s">
        <v>2033</v>
      </c>
      <c r="DD4" s="1081" t="s">
        <v>2034</v>
      </c>
      <c r="DE4" s="1081" t="s">
        <v>2035</v>
      </c>
      <c r="DF4" s="1081" t="s">
        <v>2036</v>
      </c>
      <c r="DG4" s="1081" t="s">
        <v>2037</v>
      </c>
      <c r="DH4" s="1081" t="s">
        <v>3542</v>
      </c>
      <c r="DI4" s="1081" t="s">
        <v>3543</v>
      </c>
      <c r="DJ4" s="1081" t="s">
        <v>3544</v>
      </c>
      <c r="DK4" s="1081" t="s">
        <v>3545</v>
      </c>
      <c r="DL4" s="1081" t="s">
        <v>3546</v>
      </c>
      <c r="DM4" s="1081" t="s">
        <v>4090</v>
      </c>
      <c r="DN4" s="1081" t="s">
        <v>4091</v>
      </c>
      <c r="DO4" s="1081" t="s">
        <v>4092</v>
      </c>
      <c r="DP4" s="1081" t="s">
        <v>4093</v>
      </c>
      <c r="DQ4" s="1081" t="s">
        <v>4094</v>
      </c>
      <c r="DR4" s="1081" t="s">
        <v>3858</v>
      </c>
      <c r="DS4" s="1081" t="s">
        <v>3859</v>
      </c>
      <c r="DT4" s="1081" t="s">
        <v>3860</v>
      </c>
      <c r="DU4" s="1081" t="s">
        <v>1442</v>
      </c>
      <c r="DV4" s="1081" t="s">
        <v>1443</v>
      </c>
      <c r="DW4" s="1081" t="s">
        <v>1444</v>
      </c>
      <c r="DX4" s="1081" t="s">
        <v>3276</v>
      </c>
      <c r="DY4" s="1081" t="s">
        <v>3277</v>
      </c>
      <c r="DZ4" s="1081" t="s">
        <v>3278</v>
      </c>
      <c r="EA4" s="1081" t="s">
        <v>3279</v>
      </c>
      <c r="EB4" s="1081" t="s">
        <v>4095</v>
      </c>
      <c r="EC4" s="1081" t="s">
        <v>4096</v>
      </c>
      <c r="ED4" s="1081" t="s">
        <v>4097</v>
      </c>
      <c r="EE4" s="1081" t="s">
        <v>4098</v>
      </c>
      <c r="EF4" s="1081" t="s">
        <v>4099</v>
      </c>
      <c r="EG4" s="1081" t="s">
        <v>3346</v>
      </c>
      <c r="EH4" s="1081" t="s">
        <v>3538</v>
      </c>
      <c r="EI4" s="1081" t="s">
        <v>3539</v>
      </c>
      <c r="EJ4" s="1081" t="s">
        <v>3540</v>
      </c>
      <c r="EK4" s="1081" t="s">
        <v>3541</v>
      </c>
      <c r="EL4" s="1081" t="s">
        <v>1085</v>
      </c>
      <c r="EM4" s="1081" t="s">
        <v>1086</v>
      </c>
      <c r="EN4" s="1081" t="s">
        <v>1087</v>
      </c>
      <c r="EO4" s="1081" t="s">
        <v>1987</v>
      </c>
      <c r="EP4" s="1081" t="s">
        <v>1988</v>
      </c>
      <c r="EQ4" s="1081" t="s">
        <v>4100</v>
      </c>
      <c r="ER4" s="1081" t="s">
        <v>4101</v>
      </c>
      <c r="ES4" s="1081" t="s">
        <v>4102</v>
      </c>
      <c r="ET4" s="1081" t="s">
        <v>4103</v>
      </c>
      <c r="EU4" s="1081" t="s">
        <v>4104</v>
      </c>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c r="GE4" s="771"/>
      <c r="GF4" s="771"/>
      <c r="GG4" s="771"/>
      <c r="GH4" s="771"/>
      <c r="GI4" s="771"/>
      <c r="GJ4" s="770"/>
      <c r="GK4" s="770"/>
      <c r="GL4" s="770"/>
      <c r="GM4" s="770"/>
      <c r="GN4" s="770"/>
      <c r="GO4" s="1081" t="s">
        <v>1696</v>
      </c>
      <c r="GP4" s="1081" t="s">
        <v>516</v>
      </c>
      <c r="GQ4" s="1081" t="s">
        <v>517</v>
      </c>
      <c r="GR4" s="1081" t="s">
        <v>3684</v>
      </c>
      <c r="GS4" s="1081" t="s">
        <v>3685</v>
      </c>
      <c r="GT4" s="1081" t="s">
        <v>3686</v>
      </c>
      <c r="GU4" s="1081" t="s">
        <v>3687</v>
      </c>
      <c r="GV4" s="1081" t="s">
        <v>3688</v>
      </c>
      <c r="GW4" s="1081" t="s">
        <v>3689</v>
      </c>
      <c r="GX4" s="1081" t="s">
        <v>3690</v>
      </c>
      <c r="GY4" s="1081" t="s">
        <v>3838</v>
      </c>
      <c r="GZ4" s="1081" t="s">
        <v>3839</v>
      </c>
      <c r="HA4" s="1081" t="s">
        <v>3840</v>
      </c>
      <c r="HB4" s="1081" t="s">
        <v>3713</v>
      </c>
      <c r="HC4" s="1081" t="s">
        <v>3714</v>
      </c>
      <c r="HD4" s="1081" t="s">
        <v>3719</v>
      </c>
      <c r="HE4" s="1081" t="s">
        <v>3720</v>
      </c>
      <c r="HF4" s="1081" t="s">
        <v>3721</v>
      </c>
      <c r="HG4" s="1081" t="s">
        <v>3841</v>
      </c>
      <c r="HH4" s="1081" t="s">
        <v>3842</v>
      </c>
      <c r="HI4" s="1081" t="s">
        <v>3843</v>
      </c>
      <c r="HJ4" s="1081" t="s">
        <v>3844</v>
      </c>
      <c r="HK4" s="1081" t="s">
        <v>3845</v>
      </c>
      <c r="HL4" s="1081" t="s">
        <v>3846</v>
      </c>
      <c r="HM4" s="1081" t="s">
        <v>3847</v>
      </c>
      <c r="HN4" s="770"/>
      <c r="HO4" s="770"/>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35" customHeight="1">
      <c r="B5" s="5" t="s">
        <v>1371</v>
      </c>
      <c r="D5" s="2"/>
      <c r="E5" s="5"/>
      <c r="F5" s="2"/>
      <c r="G5" s="1507"/>
      <c r="N5" s="857" t="s">
        <v>3253</v>
      </c>
      <c r="P5" s="850" t="s">
        <v>2522</v>
      </c>
      <c r="Q5" s="670"/>
      <c r="R5" s="670"/>
      <c r="S5" s="67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1080"/>
      <c r="BJ5" s="1080"/>
      <c r="BK5" s="1080"/>
      <c r="BL5" s="1080"/>
      <c r="BM5" s="1080"/>
      <c r="BN5" s="1080"/>
      <c r="BO5" s="1080"/>
      <c r="BP5" s="1080"/>
      <c r="BQ5" s="1080"/>
      <c r="BR5" s="1080"/>
      <c r="BS5" s="1080"/>
      <c r="BT5" s="1080"/>
      <c r="BU5" s="1080"/>
      <c r="BV5" s="1080"/>
      <c r="BW5" s="1080"/>
      <c r="BX5" s="1080"/>
      <c r="BY5" s="1080"/>
      <c r="BZ5" s="1080"/>
      <c r="CA5" s="1080"/>
      <c r="CB5" s="1080"/>
      <c r="CC5" s="1080"/>
      <c r="CD5" s="1081"/>
      <c r="CE5" s="1081"/>
      <c r="CF5" s="1081"/>
      <c r="CG5" s="1081"/>
      <c r="CH5" s="1081"/>
      <c r="CI5" s="1081"/>
      <c r="CJ5" s="1081"/>
      <c r="CK5" s="1081"/>
      <c r="CL5" s="1081"/>
      <c r="CM5" s="1081"/>
      <c r="CN5" s="1081"/>
      <c r="CO5" s="1081"/>
      <c r="CP5" s="1081"/>
      <c r="CQ5" s="1081"/>
      <c r="CR5" s="1081"/>
      <c r="CS5" s="1081"/>
      <c r="CT5" s="1081"/>
      <c r="CU5" s="1081"/>
      <c r="CV5" s="1081"/>
      <c r="CW5" s="1081"/>
      <c r="CX5" s="1081"/>
      <c r="CY5" s="1081"/>
      <c r="CZ5" s="1081"/>
      <c r="DA5" s="1081"/>
      <c r="DB5" s="1081"/>
      <c r="DC5" s="1081"/>
      <c r="DD5" s="1081"/>
      <c r="DE5" s="1081"/>
      <c r="DF5" s="1081"/>
      <c r="DG5" s="1081"/>
      <c r="DH5" s="1081"/>
      <c r="DI5" s="1081"/>
      <c r="DJ5" s="1081"/>
      <c r="DK5" s="1081"/>
      <c r="DL5" s="1081"/>
      <c r="DM5" s="1081"/>
      <c r="DN5" s="1081"/>
      <c r="DO5" s="1081"/>
      <c r="DP5" s="1081"/>
      <c r="DQ5" s="1081"/>
      <c r="DR5" s="1081"/>
      <c r="DS5" s="1081"/>
      <c r="DT5" s="1081"/>
      <c r="DU5" s="1081"/>
      <c r="DV5" s="1081"/>
      <c r="DW5" s="1081"/>
      <c r="DX5" s="1081"/>
      <c r="DY5" s="1081"/>
      <c r="DZ5" s="1081"/>
      <c r="EA5" s="1081"/>
      <c r="EB5" s="1081"/>
      <c r="EC5" s="1081"/>
      <c r="ED5" s="1081"/>
      <c r="EE5" s="1081"/>
      <c r="EF5" s="1081"/>
      <c r="EG5" s="1081"/>
      <c r="EH5" s="1081"/>
      <c r="EI5" s="1081"/>
      <c r="EJ5" s="1081"/>
      <c r="EK5" s="1081"/>
      <c r="EL5" s="1081"/>
      <c r="EM5" s="1081"/>
      <c r="EN5" s="1081"/>
      <c r="EO5" s="1081"/>
      <c r="EP5" s="1081"/>
      <c r="EQ5" s="1081"/>
      <c r="ER5" s="1081"/>
      <c r="ES5" s="1081"/>
      <c r="ET5" s="1081"/>
      <c r="EU5" s="1081"/>
      <c r="EV5" s="771"/>
      <c r="EW5" s="771"/>
      <c r="EX5" s="771"/>
      <c r="EY5" s="771"/>
      <c r="EZ5" s="771"/>
      <c r="FA5" s="771"/>
      <c r="FB5" s="771"/>
      <c r="FC5" s="771"/>
      <c r="FD5" s="771"/>
      <c r="FE5" s="771"/>
      <c r="FF5" s="771"/>
      <c r="FG5" s="771"/>
      <c r="FH5" s="771"/>
      <c r="FI5" s="771"/>
      <c r="FJ5" s="771"/>
      <c r="FK5" s="771"/>
      <c r="FL5" s="771"/>
      <c r="FM5" s="771"/>
      <c r="FN5" s="771"/>
      <c r="FO5" s="771"/>
      <c r="FP5" s="771"/>
      <c r="FQ5" s="771"/>
      <c r="FR5" s="771"/>
      <c r="FS5" s="771"/>
      <c r="FT5" s="771"/>
      <c r="FU5" s="771"/>
      <c r="FV5" s="771"/>
      <c r="FW5" s="771"/>
      <c r="FX5" s="771"/>
      <c r="FY5" s="771"/>
      <c r="FZ5" s="771"/>
      <c r="GA5" s="771"/>
      <c r="GB5" s="771"/>
      <c r="GC5" s="771"/>
      <c r="GD5" s="771"/>
      <c r="GE5" s="771"/>
      <c r="GF5" s="771"/>
      <c r="GG5" s="771"/>
      <c r="GH5" s="771"/>
      <c r="GI5" s="771"/>
      <c r="GJ5" s="770"/>
      <c r="GK5" s="770"/>
      <c r="GL5" s="770"/>
      <c r="GM5" s="770"/>
      <c r="GN5" s="770"/>
      <c r="GO5" s="1081"/>
      <c r="GP5" s="1081"/>
      <c r="GQ5" s="1081"/>
      <c r="GR5" s="1081"/>
      <c r="GS5" s="1081"/>
      <c r="GT5" s="1081"/>
      <c r="GU5" s="1081"/>
      <c r="GV5" s="1081"/>
      <c r="GW5" s="1081"/>
      <c r="GX5" s="1081"/>
      <c r="GY5" s="1081"/>
      <c r="GZ5" s="1081"/>
      <c r="HA5" s="1081"/>
      <c r="HB5" s="1081"/>
      <c r="HC5" s="1081"/>
      <c r="HD5" s="1081"/>
      <c r="HE5" s="1081"/>
      <c r="HF5" s="1081"/>
      <c r="HG5" s="1081"/>
      <c r="HH5" s="1081"/>
      <c r="HI5" s="1081"/>
      <c r="HJ5" s="1081"/>
      <c r="HK5" s="1081"/>
      <c r="HL5" s="1081"/>
      <c r="HM5" s="1081"/>
      <c r="HN5" s="770"/>
      <c r="HO5" s="770"/>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35" customHeight="1">
      <c r="B6" s="33" t="s">
        <v>1434</v>
      </c>
      <c r="D6" s="2"/>
      <c r="E6" s="5"/>
      <c r="G6" s="1508" t="s">
        <v>61</v>
      </c>
      <c r="J6" s="848" t="s">
        <v>686</v>
      </c>
      <c r="N6" s="1099" t="str">
        <f>'Part I-Project Information'!$J$26</f>
        <v>Atlanta-Sandy Springs-Marietta</v>
      </c>
      <c r="O6" s="1099"/>
      <c r="P6" s="673">
        <f>VLOOKUP('Part I-Project Information'!$J$26,'DCA Underwriting Assumptions'!$C$84:$D$194,2)</f>
        <v>69300</v>
      </c>
      <c r="Q6" s="770"/>
      <c r="R6" s="1101" t="s">
        <v>55</v>
      </c>
      <c r="S6" s="1101"/>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080"/>
      <c r="CD6" s="1081"/>
      <c r="CE6" s="1081"/>
      <c r="CF6" s="1081"/>
      <c r="CG6" s="1081"/>
      <c r="CH6" s="1081"/>
      <c r="CI6" s="1081"/>
      <c r="CJ6" s="1081"/>
      <c r="CK6" s="1081"/>
      <c r="CL6" s="1081"/>
      <c r="CM6" s="1081"/>
      <c r="CN6" s="1081"/>
      <c r="CO6" s="1081"/>
      <c r="CP6" s="1081"/>
      <c r="CQ6" s="1081"/>
      <c r="CR6" s="1081"/>
      <c r="CS6" s="1081"/>
      <c r="CT6" s="1081"/>
      <c r="CU6" s="1081"/>
      <c r="CV6" s="1081"/>
      <c r="CW6" s="1081"/>
      <c r="CX6" s="1081"/>
      <c r="CY6" s="1081"/>
      <c r="CZ6" s="1081"/>
      <c r="DA6" s="1081"/>
      <c r="DB6" s="1081"/>
      <c r="DC6" s="1081"/>
      <c r="DD6" s="1081"/>
      <c r="DE6" s="1081"/>
      <c r="DF6" s="1081"/>
      <c r="DG6" s="1081"/>
      <c r="DH6" s="1081"/>
      <c r="DI6" s="1081"/>
      <c r="DJ6" s="1081"/>
      <c r="DK6" s="1081"/>
      <c r="DL6" s="1081"/>
      <c r="DM6" s="1081"/>
      <c r="DN6" s="1081"/>
      <c r="DO6" s="1081"/>
      <c r="DP6" s="1081"/>
      <c r="DQ6" s="1081"/>
      <c r="DR6" s="1081"/>
      <c r="DS6" s="1081"/>
      <c r="DT6" s="1081"/>
      <c r="DU6" s="1081"/>
      <c r="DV6" s="1081"/>
      <c r="DW6" s="1081"/>
      <c r="DX6" s="1081"/>
      <c r="DY6" s="1081"/>
      <c r="DZ6" s="1081"/>
      <c r="EA6" s="1081"/>
      <c r="EB6" s="1081"/>
      <c r="EC6" s="1081"/>
      <c r="ED6" s="1081"/>
      <c r="EE6" s="1081"/>
      <c r="EF6" s="1081"/>
      <c r="EG6" s="1081"/>
      <c r="EH6" s="1081"/>
      <c r="EI6" s="1081"/>
      <c r="EJ6" s="1081"/>
      <c r="EK6" s="1081"/>
      <c r="EL6" s="1081"/>
      <c r="EM6" s="1081"/>
      <c r="EN6" s="1081"/>
      <c r="EO6" s="1081"/>
      <c r="EP6" s="1081"/>
      <c r="EQ6" s="1081"/>
      <c r="ER6" s="1081"/>
      <c r="ES6" s="1081"/>
      <c r="ET6" s="1081"/>
      <c r="EU6" s="1081"/>
      <c r="EV6" s="771"/>
      <c r="EW6" s="771"/>
      <c r="EX6" s="771"/>
      <c r="EY6" s="771"/>
      <c r="EZ6" s="771"/>
      <c r="FA6" s="771"/>
      <c r="FB6" s="771"/>
      <c r="FC6" s="771"/>
      <c r="FD6" s="771"/>
      <c r="FE6" s="771"/>
      <c r="FF6" s="771"/>
      <c r="FG6" s="771"/>
      <c r="FH6" s="771"/>
      <c r="FI6" s="771"/>
      <c r="FJ6" s="771"/>
      <c r="FK6" s="771"/>
      <c r="FL6" s="771"/>
      <c r="FM6" s="771"/>
      <c r="FN6" s="771"/>
      <c r="FO6" s="771"/>
      <c r="FP6" s="771"/>
      <c r="FQ6" s="771"/>
      <c r="FR6" s="771"/>
      <c r="FS6" s="771"/>
      <c r="FT6" s="771"/>
      <c r="FU6" s="771"/>
      <c r="FV6" s="771"/>
      <c r="FW6" s="771"/>
      <c r="FX6" s="771"/>
      <c r="FY6" s="771"/>
      <c r="FZ6" s="771"/>
      <c r="GA6" s="771"/>
      <c r="GB6" s="771"/>
      <c r="GC6" s="771"/>
      <c r="GD6" s="771"/>
      <c r="GE6" s="771"/>
      <c r="GF6" s="771"/>
      <c r="GG6" s="771"/>
      <c r="GH6" s="771"/>
      <c r="GI6" s="771"/>
      <c r="GJ6" s="770"/>
      <c r="GK6" s="770"/>
      <c r="GL6" s="770"/>
      <c r="GM6" s="770"/>
      <c r="GN6" s="770"/>
      <c r="GO6" s="1081"/>
      <c r="GP6" s="1081"/>
      <c r="GQ6" s="1081"/>
      <c r="GR6" s="1081"/>
      <c r="GS6" s="1081"/>
      <c r="GT6" s="1081"/>
      <c r="GU6" s="1081"/>
      <c r="GV6" s="1081"/>
      <c r="GW6" s="1081"/>
      <c r="GX6" s="1081"/>
      <c r="GY6" s="1081"/>
      <c r="GZ6" s="1081"/>
      <c r="HA6" s="1081"/>
      <c r="HB6" s="1081"/>
      <c r="HC6" s="1081"/>
      <c r="HD6" s="1081"/>
      <c r="HE6" s="1081"/>
      <c r="HF6" s="1081"/>
      <c r="HG6" s="1081"/>
      <c r="HH6" s="1081"/>
      <c r="HI6" s="1081"/>
      <c r="HJ6" s="1081"/>
      <c r="HK6" s="1081"/>
      <c r="HL6" s="1081"/>
      <c r="HM6" s="1081"/>
      <c r="HN6" s="770"/>
      <c r="HO6" s="770"/>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4.1" customHeight="1">
      <c r="A7" s="1098" t="str">
        <f>IF(A48&gt;0,"Finish!","")</f>
        <v/>
      </c>
      <c r="B7" s="5"/>
      <c r="C7" s="2"/>
      <c r="D7" s="5"/>
      <c r="E7" s="2"/>
      <c r="F7" s="2"/>
      <c r="G7" s="2"/>
      <c r="H7" s="2"/>
      <c r="I7" s="2"/>
      <c r="J7" s="848" t="s">
        <v>687</v>
      </c>
      <c r="K7" s="2"/>
      <c r="L7" s="2"/>
      <c r="M7" s="2"/>
      <c r="N7" s="37"/>
      <c r="O7" s="37"/>
      <c r="P7" s="818"/>
      <c r="Q7" s="818"/>
      <c r="R7" s="819"/>
      <c r="S7" s="820" t="s">
        <v>52</v>
      </c>
      <c r="T7" s="669"/>
      <c r="U7" s="67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1"/>
      <c r="CE7" s="1081"/>
      <c r="CF7" s="1081"/>
      <c r="CG7" s="1081"/>
      <c r="CH7" s="1081"/>
      <c r="CI7" s="1081"/>
      <c r="CJ7" s="1081"/>
      <c r="CK7" s="1081"/>
      <c r="CL7" s="1081"/>
      <c r="CM7" s="1081"/>
      <c r="CN7" s="1081"/>
      <c r="CO7" s="1081"/>
      <c r="CP7" s="1081"/>
      <c r="CQ7" s="1081"/>
      <c r="CR7" s="1081"/>
      <c r="CS7" s="1081"/>
      <c r="CT7" s="1081"/>
      <c r="CU7" s="1081"/>
      <c r="CV7" s="1081"/>
      <c r="CW7" s="1081"/>
      <c r="CX7" s="1081"/>
      <c r="CY7" s="1081"/>
      <c r="CZ7" s="1081"/>
      <c r="DA7" s="1081"/>
      <c r="DB7" s="1081"/>
      <c r="DC7" s="1081"/>
      <c r="DD7" s="1081"/>
      <c r="DE7" s="1081"/>
      <c r="DF7" s="1081"/>
      <c r="DG7" s="1081"/>
      <c r="DH7" s="1081"/>
      <c r="DI7" s="1081"/>
      <c r="DJ7" s="1081"/>
      <c r="DK7" s="1081"/>
      <c r="DL7" s="1081"/>
      <c r="DM7" s="1081"/>
      <c r="DN7" s="1081"/>
      <c r="DO7" s="1081"/>
      <c r="DP7" s="1081"/>
      <c r="DQ7" s="1081"/>
      <c r="DR7" s="1081"/>
      <c r="DS7" s="1081"/>
      <c r="DT7" s="1081"/>
      <c r="DU7" s="1081"/>
      <c r="DV7" s="1081"/>
      <c r="DW7" s="1081"/>
      <c r="DX7" s="1081"/>
      <c r="DY7" s="1081"/>
      <c r="DZ7" s="1081"/>
      <c r="EA7" s="1081"/>
      <c r="EB7" s="1081"/>
      <c r="EC7" s="1081"/>
      <c r="ED7" s="1081"/>
      <c r="EE7" s="1081"/>
      <c r="EF7" s="1081"/>
      <c r="EG7" s="1081"/>
      <c r="EH7" s="1081"/>
      <c r="EI7" s="1081"/>
      <c r="EJ7" s="1081"/>
      <c r="EK7" s="1081"/>
      <c r="EL7" s="1081"/>
      <c r="EM7" s="1081"/>
      <c r="EN7" s="1081"/>
      <c r="EO7" s="1081"/>
      <c r="EP7" s="1081"/>
      <c r="EQ7" s="1081"/>
      <c r="ER7" s="1081"/>
      <c r="ES7" s="1081"/>
      <c r="ET7" s="1081"/>
      <c r="EU7" s="1081"/>
      <c r="EV7" s="771"/>
      <c r="EW7" s="771"/>
      <c r="EX7" s="771"/>
      <c r="EY7" s="771"/>
      <c r="EZ7" s="771"/>
      <c r="FA7" s="771"/>
      <c r="FB7" s="771"/>
      <c r="FC7" s="771"/>
      <c r="FD7" s="771"/>
      <c r="FE7" s="771"/>
      <c r="FF7" s="771"/>
      <c r="FG7" s="771"/>
      <c r="FH7" s="771"/>
      <c r="FI7" s="771"/>
      <c r="FJ7" s="771"/>
      <c r="FK7" s="771"/>
      <c r="FL7" s="771"/>
      <c r="FM7" s="771"/>
      <c r="FN7" s="771"/>
      <c r="FO7" s="771"/>
      <c r="FP7" s="771"/>
      <c r="FQ7" s="771"/>
      <c r="FR7" s="771"/>
      <c r="FS7" s="771"/>
      <c r="FT7" s="771"/>
      <c r="FU7" s="771"/>
      <c r="FV7" s="771"/>
      <c r="FW7" s="771"/>
      <c r="FX7" s="771"/>
      <c r="FY7" s="771"/>
      <c r="FZ7" s="771"/>
      <c r="GA7" s="771"/>
      <c r="GB7" s="771"/>
      <c r="GC7" s="771"/>
      <c r="GD7" s="771"/>
      <c r="GE7" s="771"/>
      <c r="GF7" s="771"/>
      <c r="GG7" s="771"/>
      <c r="GH7" s="771"/>
      <c r="GI7" s="771"/>
      <c r="GJ7" s="770"/>
      <c r="GK7" s="770"/>
      <c r="GL7" s="770"/>
      <c r="GM7" s="770"/>
      <c r="GN7" s="770"/>
      <c r="GO7" s="1081"/>
      <c r="GP7" s="1081"/>
      <c r="GQ7" s="1081"/>
      <c r="GR7" s="1081"/>
      <c r="GS7" s="1081"/>
      <c r="GT7" s="1081"/>
      <c r="GU7" s="1081"/>
      <c r="GV7" s="1081"/>
      <c r="GW7" s="1081"/>
      <c r="GX7" s="1081"/>
      <c r="GY7" s="1081"/>
      <c r="GZ7" s="1081"/>
      <c r="HA7" s="1081"/>
      <c r="HB7" s="1081"/>
      <c r="HC7" s="1081"/>
      <c r="HD7" s="1081"/>
      <c r="HE7" s="1081"/>
      <c r="HF7" s="1081"/>
      <c r="HG7" s="1081"/>
      <c r="HH7" s="1081"/>
      <c r="HI7" s="1081"/>
      <c r="HJ7" s="1081"/>
      <c r="HK7" s="1081"/>
      <c r="HL7" s="1081"/>
      <c r="HM7" s="1081"/>
      <c r="HN7" s="770"/>
      <c r="HO7" s="770"/>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4.1" customHeight="1">
      <c r="A8" s="1098"/>
      <c r="B8" s="218" t="s">
        <v>1986</v>
      </c>
      <c r="C8" s="848" t="s">
        <v>3907</v>
      </c>
      <c r="D8" s="848" t="s">
        <v>3314</v>
      </c>
      <c r="E8" s="848" t="s">
        <v>1984</v>
      </c>
      <c r="F8" s="848" t="s">
        <v>1984</v>
      </c>
      <c r="G8" s="848" t="s">
        <v>779</v>
      </c>
      <c r="H8" s="848" t="s">
        <v>777</v>
      </c>
      <c r="I8" s="848" t="s">
        <v>2819</v>
      </c>
      <c r="J8" s="848" t="s">
        <v>688</v>
      </c>
      <c r="K8" s="1097" t="s">
        <v>3945</v>
      </c>
      <c r="L8" s="1097"/>
      <c r="M8" s="848" t="s">
        <v>619</v>
      </c>
      <c r="N8" s="848" t="s">
        <v>3301</v>
      </c>
      <c r="O8" s="848" t="s">
        <v>3681</v>
      </c>
      <c r="P8" s="1100" t="s">
        <v>2529</v>
      </c>
      <c r="Q8" s="1100"/>
      <c r="R8" s="849" t="s">
        <v>51</v>
      </c>
      <c r="S8" s="849" t="s">
        <v>53</v>
      </c>
      <c r="T8" s="671"/>
      <c r="U8" s="672"/>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1"/>
      <c r="CE8" s="1081"/>
      <c r="CF8" s="1081"/>
      <c r="CG8" s="1081"/>
      <c r="CH8" s="1081"/>
      <c r="CI8" s="1081"/>
      <c r="CJ8" s="1081"/>
      <c r="CK8" s="1081"/>
      <c r="CL8" s="1081"/>
      <c r="CM8" s="1081"/>
      <c r="CN8" s="1081"/>
      <c r="CO8" s="1081"/>
      <c r="CP8" s="1081"/>
      <c r="CQ8" s="1081"/>
      <c r="CR8" s="1081"/>
      <c r="CS8" s="1081"/>
      <c r="CT8" s="1081"/>
      <c r="CU8" s="1081"/>
      <c r="CV8" s="1081"/>
      <c r="CW8" s="1081"/>
      <c r="CX8" s="1081"/>
      <c r="CY8" s="1081"/>
      <c r="CZ8" s="1081"/>
      <c r="DA8" s="1081"/>
      <c r="DB8" s="1081"/>
      <c r="DC8" s="1081"/>
      <c r="DD8" s="1081"/>
      <c r="DE8" s="1081"/>
      <c r="DF8" s="1081"/>
      <c r="DG8" s="1081"/>
      <c r="DH8" s="1081"/>
      <c r="DI8" s="1081"/>
      <c r="DJ8" s="1081"/>
      <c r="DK8" s="1081"/>
      <c r="DL8" s="1081"/>
      <c r="DM8" s="1081"/>
      <c r="DN8" s="1081"/>
      <c r="DO8" s="1081"/>
      <c r="DP8" s="1081"/>
      <c r="DQ8" s="1081"/>
      <c r="DR8" s="1081"/>
      <c r="DS8" s="1081"/>
      <c r="DT8" s="1081"/>
      <c r="DU8" s="1081"/>
      <c r="DV8" s="1081"/>
      <c r="DW8" s="1081"/>
      <c r="DX8" s="1081"/>
      <c r="DY8" s="1081"/>
      <c r="DZ8" s="1081"/>
      <c r="EA8" s="1081"/>
      <c r="EB8" s="1081"/>
      <c r="EC8" s="1081"/>
      <c r="ED8" s="1081"/>
      <c r="EE8" s="1081"/>
      <c r="EF8" s="1081"/>
      <c r="EG8" s="1081"/>
      <c r="EH8" s="1081"/>
      <c r="EI8" s="1081"/>
      <c r="EJ8" s="1081"/>
      <c r="EK8" s="1081"/>
      <c r="EL8" s="1081"/>
      <c r="EM8" s="1081"/>
      <c r="EN8" s="1081"/>
      <c r="EO8" s="1081"/>
      <c r="EP8" s="1081"/>
      <c r="EQ8" s="1081"/>
      <c r="ER8" s="1081"/>
      <c r="ES8" s="1081"/>
      <c r="ET8" s="1081"/>
      <c r="EU8" s="1081"/>
      <c r="EV8" s="1081" t="s">
        <v>2065</v>
      </c>
      <c r="EW8" s="777" t="s">
        <v>724</v>
      </c>
      <c r="EX8" s="777" t="s">
        <v>725</v>
      </c>
      <c r="EY8" s="777" t="s">
        <v>726</v>
      </c>
      <c r="EZ8" s="777" t="s">
        <v>727</v>
      </c>
      <c r="FA8" s="1081" t="s">
        <v>483</v>
      </c>
      <c r="FB8" s="1081" t="s">
        <v>483</v>
      </c>
      <c r="FC8" s="1081" t="s">
        <v>483</v>
      </c>
      <c r="FD8" s="1081" t="s">
        <v>483</v>
      </c>
      <c r="FE8" s="1081" t="s">
        <v>483</v>
      </c>
      <c r="FF8" s="777" t="s">
        <v>3437</v>
      </c>
      <c r="FG8" s="777" t="s">
        <v>724</v>
      </c>
      <c r="FH8" s="777" t="s">
        <v>725</v>
      </c>
      <c r="FI8" s="777" t="s">
        <v>726</v>
      </c>
      <c r="FJ8" s="777" t="s">
        <v>727</v>
      </c>
      <c r="FK8" s="1081" t="s">
        <v>485</v>
      </c>
      <c r="FL8" s="1081" t="s">
        <v>485</v>
      </c>
      <c r="FM8" s="1081" t="s">
        <v>485</v>
      </c>
      <c r="FN8" s="1081" t="s">
        <v>485</v>
      </c>
      <c r="FO8" s="1081" t="s">
        <v>485</v>
      </c>
      <c r="FP8" s="1081" t="s">
        <v>3524</v>
      </c>
      <c r="FQ8" s="1081" t="s">
        <v>3524</v>
      </c>
      <c r="FR8" s="1081" t="s">
        <v>3524</v>
      </c>
      <c r="FS8" s="1081" t="s">
        <v>3524</v>
      </c>
      <c r="FT8" s="1081" t="s">
        <v>3524</v>
      </c>
      <c r="FU8" s="1081" t="s">
        <v>3525</v>
      </c>
      <c r="FV8" s="1081" t="s">
        <v>3525</v>
      </c>
      <c r="FW8" s="1081" t="s">
        <v>3525</v>
      </c>
      <c r="FX8" s="1081" t="s">
        <v>3525</v>
      </c>
      <c r="FY8" s="1081" t="s">
        <v>3525</v>
      </c>
      <c r="FZ8" s="1081" t="s">
        <v>3526</v>
      </c>
      <c r="GA8" s="1081" t="s">
        <v>3526</v>
      </c>
      <c r="GB8" s="1081" t="s">
        <v>3526</v>
      </c>
      <c r="GC8" s="1081" t="s">
        <v>3526</v>
      </c>
      <c r="GD8" s="1081" t="s">
        <v>3526</v>
      </c>
      <c r="GE8" s="1081" t="s">
        <v>3527</v>
      </c>
      <c r="GF8" s="1081" t="s">
        <v>3527</v>
      </c>
      <c r="GG8" s="1081" t="s">
        <v>3527</v>
      </c>
      <c r="GH8" s="1081" t="s">
        <v>3527</v>
      </c>
      <c r="GI8" s="1081" t="s">
        <v>3527</v>
      </c>
      <c r="GJ8" s="1081" t="s">
        <v>2064</v>
      </c>
      <c r="GK8" s="1081" t="s">
        <v>2064</v>
      </c>
      <c r="GL8" s="1081" t="s">
        <v>2064</v>
      </c>
      <c r="GM8" s="1081" t="s">
        <v>2064</v>
      </c>
      <c r="GN8" s="1081" t="s">
        <v>2064</v>
      </c>
      <c r="GO8" s="1081"/>
      <c r="GP8" s="1081"/>
      <c r="GQ8" s="1081"/>
      <c r="GR8" s="1081"/>
      <c r="GS8" s="1081"/>
      <c r="GT8" s="1081"/>
      <c r="GU8" s="1081"/>
      <c r="GV8" s="1081"/>
      <c r="GW8" s="1081"/>
      <c r="GX8" s="1081"/>
      <c r="GY8" s="1081"/>
      <c r="GZ8" s="1081"/>
      <c r="HA8" s="1081"/>
      <c r="HB8" s="1081"/>
      <c r="HC8" s="1081"/>
      <c r="HD8" s="1081"/>
      <c r="HE8" s="1081"/>
      <c r="HF8" s="1081"/>
      <c r="HG8" s="1081"/>
      <c r="HH8" s="1081"/>
      <c r="HI8" s="1081"/>
      <c r="HJ8" s="1081"/>
      <c r="HK8" s="1081"/>
      <c r="HL8" s="1081"/>
      <c r="HM8" s="1081"/>
      <c r="HN8" s="773"/>
      <c r="HO8" s="773"/>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4.1" customHeight="1">
      <c r="A9" s="1098"/>
      <c r="B9" s="218" t="s">
        <v>2280</v>
      </c>
      <c r="C9" s="848" t="s">
        <v>3906</v>
      </c>
      <c r="D9" s="848" t="s">
        <v>3908</v>
      </c>
      <c r="E9" s="848" t="s">
        <v>1985</v>
      </c>
      <c r="F9" s="848" t="s">
        <v>2247</v>
      </c>
      <c r="G9" s="848" t="s">
        <v>2248</v>
      </c>
      <c r="H9" s="848" t="s">
        <v>778</v>
      </c>
      <c r="I9" s="848" t="s">
        <v>2686</v>
      </c>
      <c r="J9" s="759" t="s">
        <v>3512</v>
      </c>
      <c r="K9" s="848" t="s">
        <v>1930</v>
      </c>
      <c r="L9" s="848" t="s">
        <v>3308</v>
      </c>
      <c r="M9" s="848" t="s">
        <v>1984</v>
      </c>
      <c r="N9" s="848" t="s">
        <v>2280</v>
      </c>
      <c r="O9" s="848" t="s">
        <v>3682</v>
      </c>
      <c r="P9" s="849" t="s">
        <v>2527</v>
      </c>
      <c r="Q9" s="849" t="s">
        <v>2528</v>
      </c>
      <c r="R9" s="849" t="s">
        <v>1986</v>
      </c>
      <c r="S9" s="849" t="s">
        <v>54</v>
      </c>
      <c r="T9" s="976" t="s">
        <v>1370</v>
      </c>
      <c r="U9" s="976"/>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1"/>
      <c r="CE9" s="1081"/>
      <c r="CF9" s="1081"/>
      <c r="CG9" s="1081"/>
      <c r="CH9" s="1081"/>
      <c r="CI9" s="1081"/>
      <c r="CJ9" s="1081"/>
      <c r="CK9" s="1081"/>
      <c r="CL9" s="1081"/>
      <c r="CM9" s="1081"/>
      <c r="CN9" s="1081"/>
      <c r="CO9" s="1081"/>
      <c r="CP9" s="1081"/>
      <c r="CQ9" s="1081"/>
      <c r="CR9" s="1081"/>
      <c r="CS9" s="1081"/>
      <c r="CT9" s="1081"/>
      <c r="CU9" s="1081"/>
      <c r="CV9" s="1081"/>
      <c r="CW9" s="1081"/>
      <c r="CX9" s="1081"/>
      <c r="CY9" s="1081"/>
      <c r="CZ9" s="1081"/>
      <c r="DA9" s="1081"/>
      <c r="DB9" s="1081"/>
      <c r="DC9" s="1081"/>
      <c r="DD9" s="1081"/>
      <c r="DE9" s="1081"/>
      <c r="DF9" s="1081"/>
      <c r="DG9" s="1081"/>
      <c r="DH9" s="1081"/>
      <c r="DI9" s="1081"/>
      <c r="DJ9" s="1081"/>
      <c r="DK9" s="1081"/>
      <c r="DL9" s="1081"/>
      <c r="DM9" s="1081"/>
      <c r="DN9" s="1081"/>
      <c r="DO9" s="1081"/>
      <c r="DP9" s="1081"/>
      <c r="DQ9" s="1081"/>
      <c r="DR9" s="1081"/>
      <c r="DS9" s="1081"/>
      <c r="DT9" s="1081"/>
      <c r="DU9" s="1081"/>
      <c r="DV9" s="1081"/>
      <c r="DW9" s="1081"/>
      <c r="DX9" s="1081"/>
      <c r="DY9" s="1081"/>
      <c r="DZ9" s="1081"/>
      <c r="EA9" s="1081"/>
      <c r="EB9" s="1081"/>
      <c r="EC9" s="1081"/>
      <c r="ED9" s="1081"/>
      <c r="EE9" s="1081"/>
      <c r="EF9" s="1081"/>
      <c r="EG9" s="1081"/>
      <c r="EH9" s="1081"/>
      <c r="EI9" s="1081"/>
      <c r="EJ9" s="1081"/>
      <c r="EK9" s="1081"/>
      <c r="EL9" s="1081"/>
      <c r="EM9" s="1081"/>
      <c r="EN9" s="1081"/>
      <c r="EO9" s="1081"/>
      <c r="EP9" s="1081"/>
      <c r="EQ9" s="1081"/>
      <c r="ER9" s="1081"/>
      <c r="ES9" s="1081"/>
      <c r="ET9" s="1081"/>
      <c r="EU9" s="1081"/>
      <c r="EV9" s="1081"/>
      <c r="EW9" s="777" t="s">
        <v>482</v>
      </c>
      <c r="EX9" s="777" t="s">
        <v>482</v>
      </c>
      <c r="EY9" s="777" t="s">
        <v>482</v>
      </c>
      <c r="EZ9" s="777" t="s">
        <v>482</v>
      </c>
      <c r="FA9" s="1081"/>
      <c r="FB9" s="1081"/>
      <c r="FC9" s="1081"/>
      <c r="FD9" s="1081"/>
      <c r="FE9" s="1081"/>
      <c r="FF9" s="777" t="s">
        <v>484</v>
      </c>
      <c r="FG9" s="777" t="s">
        <v>484</v>
      </c>
      <c r="FH9" s="777" t="s">
        <v>484</v>
      </c>
      <c r="FI9" s="777" t="s">
        <v>484</v>
      </c>
      <c r="FJ9" s="777" t="s">
        <v>484</v>
      </c>
      <c r="FK9" s="1081"/>
      <c r="FL9" s="1081"/>
      <c r="FM9" s="1081"/>
      <c r="FN9" s="1081"/>
      <c r="FO9" s="1081"/>
      <c r="FP9" s="1081"/>
      <c r="FQ9" s="1081"/>
      <c r="FR9" s="1081"/>
      <c r="FS9" s="1081"/>
      <c r="FT9" s="1081"/>
      <c r="FU9" s="1081"/>
      <c r="FV9" s="1081"/>
      <c r="FW9" s="1081"/>
      <c r="FX9" s="1081"/>
      <c r="FY9" s="1081"/>
      <c r="FZ9" s="1081"/>
      <c r="GA9" s="1081"/>
      <c r="GB9" s="1081"/>
      <c r="GC9" s="1081"/>
      <c r="GD9" s="1081"/>
      <c r="GE9" s="1081"/>
      <c r="GF9" s="1081"/>
      <c r="GG9" s="1081"/>
      <c r="GH9" s="1081"/>
      <c r="GI9" s="1081"/>
      <c r="GJ9" s="1081"/>
      <c r="GK9" s="1081"/>
      <c r="GL9" s="1081"/>
      <c r="GM9" s="1081"/>
      <c r="GN9" s="1081"/>
      <c r="GO9" s="1081"/>
      <c r="GP9" s="1081"/>
      <c r="GQ9" s="1081"/>
      <c r="GR9" s="1081"/>
      <c r="GS9" s="1081"/>
      <c r="GT9" s="1081"/>
      <c r="GU9" s="1081"/>
      <c r="GV9" s="1081"/>
      <c r="GW9" s="1081"/>
      <c r="GX9" s="1081"/>
      <c r="GY9" s="1081"/>
      <c r="GZ9" s="1081"/>
      <c r="HA9" s="1081"/>
      <c r="HB9" s="1081"/>
      <c r="HC9" s="1081"/>
      <c r="HD9" s="1081"/>
      <c r="HE9" s="1081"/>
      <c r="HF9" s="1081"/>
      <c r="HG9" s="1081"/>
      <c r="HH9" s="1081"/>
      <c r="HI9" s="1081"/>
      <c r="HJ9" s="1081"/>
      <c r="HK9" s="1081"/>
      <c r="HL9" s="1081"/>
      <c r="HM9" s="1081"/>
      <c r="HN9" s="773"/>
      <c r="HO9" s="773"/>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35" customHeight="1">
      <c r="A10" s="148" t="str">
        <f>IF(AND(E10&gt;0,OR(B10="",C10="",D10="",F10="",G10="", H10="",M10="",N10="",O10="")),1,"")</f>
        <v/>
      </c>
      <c r="B10" s="1509" t="s">
        <v>3991</v>
      </c>
      <c r="C10" s="1510">
        <v>1</v>
      </c>
      <c r="D10" s="1511">
        <v>1</v>
      </c>
      <c r="E10" s="1512">
        <v>16</v>
      </c>
      <c r="F10" s="1512">
        <v>738.48</v>
      </c>
      <c r="G10" s="1512">
        <v>650</v>
      </c>
      <c r="H10" s="1512">
        <v>625</v>
      </c>
      <c r="I10" s="1512">
        <v>0</v>
      </c>
      <c r="J10" s="1513"/>
      <c r="K10" s="224">
        <f>MAX(0,H10-I10)</f>
        <v>625</v>
      </c>
      <c r="L10" s="224">
        <f t="shared" ref="L10:L47" si="0">MAX(0,E10*K10)</f>
        <v>10000</v>
      </c>
      <c r="M10" s="1514" t="s">
        <v>61</v>
      </c>
      <c r="N10" s="1514" t="s">
        <v>67</v>
      </c>
      <c r="O10" s="1514" t="s">
        <v>936</v>
      </c>
      <c r="P10" s="674">
        <f>IF(H10="","",H10*12/0.3)</f>
        <v>25000</v>
      </c>
      <c r="Q10" s="675">
        <f>IF(H10="","",P10/($P$6*VLOOKUP(C10,'DCA Underwriting Assumptions'!$J$84:$K$89,2,FALSE)))</f>
        <v>0.48100048100048098</v>
      </c>
      <c r="R10" s="821"/>
      <c r="S10" s="675"/>
      <c r="T10" s="1453"/>
      <c r="U10" s="1454"/>
      <c r="V10" s="758" t="str">
        <f t="shared" ref="V10:V47" si="1">IF(AND(C10="Efficiency",B10="60% AMI",NOT(M10="Common")),E10,"")</f>
        <v/>
      </c>
      <c r="W10" s="758" t="str">
        <f t="shared" ref="W10:W47" si="2">IF(AND(C10=1,B10="60% AMI",NOT(M10="Common")),E10,"")</f>
        <v/>
      </c>
      <c r="X10" s="758" t="str">
        <f t="shared" ref="X10:X47" si="3">IF(AND(C10=2,B10="60% AMI",NOT(M10="Common")),E10,"")</f>
        <v/>
      </c>
      <c r="Y10" s="758" t="str">
        <f t="shared" ref="Y10:Y47" si="4">IF(AND(C10=3,B10="60% AMI",NOT(M10="Common")),E10,"")</f>
        <v/>
      </c>
      <c r="Z10" s="758" t="str">
        <f t="shared" ref="Z10:Z47" si="5">IF(AND(C10=4,B10="60% AMI",NOT(M10="Common")),E10,"")</f>
        <v/>
      </c>
      <c r="AA10" s="758" t="str">
        <f t="shared" ref="AA10:AA47" si="6">IF(AND(C10="Efficiency",B10="50% AMI",NOT(M10="Common")),E10,"")</f>
        <v/>
      </c>
      <c r="AB10" s="758">
        <f t="shared" ref="AB10:AB47" si="7">IF(AND(C10=1,B10="50% AMI",NOT(M10="Common")),E10,"")</f>
        <v>16</v>
      </c>
      <c r="AC10" s="758" t="str">
        <f t="shared" ref="AC10:AC47" si="8">IF(AND(C10=2,B10="50% AMI",NOT(M10="Common")),E10,"")</f>
        <v/>
      </c>
      <c r="AD10" s="758" t="str">
        <f t="shared" ref="AD10:AD47" si="9">IF(AND(C10=3,B10="50% AMI",NOT(M10="Common")),E10,"")</f>
        <v/>
      </c>
      <c r="AE10" s="758" t="str">
        <f t="shared" ref="AE10:AE47" si="10">IF(AND(C10=4,B10="50% AMI",NOT(M10="Common")),E10,"")</f>
        <v/>
      </c>
      <c r="AF10" s="758" t="str">
        <f t="shared" ref="AF10:AF47" si="11">IF(AND(C10="Efficiency",B10="30% AMI",NOT(M10="Common")),E10,"")</f>
        <v/>
      </c>
      <c r="AG10" s="758" t="str">
        <f t="shared" ref="AG10:AG47" si="12">IF(AND(C10=1,B10="30% AMI",NOT(M10="Common")),E10,"")</f>
        <v/>
      </c>
      <c r="AH10" s="758" t="str">
        <f t="shared" ref="AH10:AH47" si="13">IF(AND(C10=2,B10="30% AMI",NOT(M10="Common")),E10,"")</f>
        <v/>
      </c>
      <c r="AI10" s="758" t="str">
        <f t="shared" ref="AI10:AI47" si="14">IF(AND(C10=3,B10="30% AMI",NOT(M10="Common")),E10,"")</f>
        <v/>
      </c>
      <c r="AJ10" s="758" t="str">
        <f t="shared" ref="AJ10:AJ47" si="15">IF(AND(C10=4,B10="30% AMI",NOT(M10="Common")),E10,"")</f>
        <v/>
      </c>
      <c r="AK10" s="758" t="str">
        <f t="shared" ref="AK10:AK47" si="16">IF(AND(C10="Efficiency",B10="Unrestricted",NOT(M10="Common")),E10,"")</f>
        <v/>
      </c>
      <c r="AL10" s="758" t="str">
        <f t="shared" ref="AL10:AL47" si="17">IF(AND(C10=1,B10="Unrestricted",NOT(M10="Common")),E10,"")</f>
        <v/>
      </c>
      <c r="AM10" s="758" t="str">
        <f t="shared" ref="AM10:AM47" si="18">IF(AND(C10=2,B10="Unrestricted",NOT(M10="Common")),E10,"")</f>
        <v/>
      </c>
      <c r="AN10" s="758" t="str">
        <f t="shared" ref="AN10:AN47" si="19">IF(AND(C10=3,B10="Unrestricted",NOT(M10="Common")),E10,"")</f>
        <v/>
      </c>
      <c r="AO10" s="758" t="str">
        <f t="shared" ref="AO10:AO47" si="20">IF(AND(C10=4,B10="Unrestricted",NOT(M10="Common")),E10,"")</f>
        <v/>
      </c>
      <c r="AP10" s="758" t="str">
        <f>IF(OR(AND($C10="Efficiency",NOT($J10=""),NOT($J10="PHA Oper Sub"),$B10="30% AMI",NOT($M10="Common")),AND($C10="Efficiency",NOT($J10=""),NOT($J10="PHA Oper Sub"),$B10="HOME 30% AMI",NOT($M10="Common"))),$E10,"")</f>
        <v/>
      </c>
      <c r="AQ10" s="758" t="str">
        <f>IF(OR(AND($C10=1,NOT($J10=""),NOT($J10="PHA Oper Sub"),$B10="30% AMI",NOT($M10="Common")),AND($C10=1,NOT($J10=""),NOT($J10="PHA Oper Sub"),$B10="HOME 30% AMI",NOT($M10="Common"))),$E10,"")</f>
        <v/>
      </c>
      <c r="AR10" s="758" t="str">
        <f>IF(OR(AND($C10=2,NOT($J10=""),NOT($J10="PHA Oper Sub"),$B10="30% AMI",NOT($M10="Common")),AND($C10=2,NOT($J10=""),NOT($J10="PHA Oper Sub"),$B10="HOME 30% AMI",NOT($M10="Common"))),$E10,"")</f>
        <v/>
      </c>
      <c r="AS10" s="758" t="str">
        <f>IF(OR(AND($C10=3,NOT($J10=""),NOT($J10="PHA Oper Sub"),$B10="30% AMI",NOT($M10="Common")),AND($C10=3,NOT($J10=""),NOT($J10="PHA Oper Sub"),$B10="HOME 30% AMI",NOT($M10="Common"))),$E10,"")</f>
        <v/>
      </c>
      <c r="AT10" s="758" t="str">
        <f>IF(OR(AND($C10=4,NOT($J10=""),NOT($J10="PHA Oper Sub"),$B10="30% AMI",NOT($M10="Common")),AND($C10=4,NOT($J10=""),NOT($J10="PHA Oper Sub"),$B10="HOME 30% AMI",NOT($M10="Common"))),$E10,"")</f>
        <v/>
      </c>
      <c r="AU10" s="758" t="str">
        <f>IF(OR(AND($C10="Efficiency",NOT($J10=""),NOT($J10="PHA Oper Sub"),NOT($J10=0),$B10="50% AMI",NOT($M10="Common")),AND($C10="Efficiency",NOT($J10=""),NOT($J10=0),NOT($J10="PHA Oper Sub"),$B10="HOME 50% AMI",NOT($M10="Common"))),$E10,"")</f>
        <v/>
      </c>
      <c r="AV10" s="758" t="str">
        <f>IF(OR(AND($C10=1,NOT($J10=""),NOT($J10=0),NOT($J10="PHA Oper Sub"),$B10="50% AMI",NOT($M10="Common")),AND($C10=1,NOT($J10=""),NOT($J10=0),NOT($J10="PHA Oper Sub"),$B10="HOME 50% AMI",NOT($M10="Common"))),$E10,"")</f>
        <v/>
      </c>
      <c r="AW10" s="758" t="str">
        <f>IF(OR(AND($C10=2,NOT($J10=""),NOT($J10=0),NOT($J10="PHA Oper Sub"),$B10="50% AMI",NOT($M10="Common")),AND($C10=2,NOT($J10=""),NOT($J10=0),NOT($J10="PHA Oper Sub"),$B10="HOME 50% AMI",NOT($M10="Common"))),$E10,"")</f>
        <v/>
      </c>
      <c r="AX10" s="758" t="str">
        <f>IF(OR(AND($C10=3,NOT($J10=""),NOT($J10=0),NOT($J10="PHA Oper Sub"),$B10="50% AMI",NOT($M10="Common")),AND($C10=3,NOT($J10=""),NOT($J10=0),NOT($J10="PHA Oper Sub"),$B10="HOME 50% AMI",NOT($M10="Common"))),$E10,"")</f>
        <v/>
      </c>
      <c r="AY10" s="758" t="str">
        <f>IF(OR(AND($C10=4,NOT($J10=""),NOT($J10=0),NOT($J10="PHA Oper Sub"),$B10="50% AMI",NOT($M10="Common")),AND($C10=4,NOT($J10=""),NOT($J10=0),NOT($J10="PHA Oper Sub"),$B10="HOME 50% AMI",NOT($M10="Common"))),$E10,"")</f>
        <v/>
      </c>
      <c r="AZ10" s="758" t="str">
        <f>IF(OR(AND($C10="Efficiency",NOT($J10=""),NOT($J10=0),NOT($J10="PHA Oper Sub"),$B10="60% AMI",NOT($M10="Common")),AND($C10="Efficiency",NOT($J10=""),NOT($J10=0),NOT($J10="PHA Oper Sub"),$B10="HOME 60% AMI",NOT($M10="Common"))),$E10,"")</f>
        <v/>
      </c>
      <c r="BA10" s="758" t="str">
        <f>IF(OR(AND($C10=1,NOT($J10=""),NOT($J10=0),NOT($J10="PHA Oper Sub"),$B10="60% AMI",NOT($M10="Common")),AND($C10=1,NOT($J10=""),NOT($J10=0),NOT($J10="PHA Oper Sub"),$B10="HOME 60% AMI",NOT($M10="Common"))),$E10,"")</f>
        <v/>
      </c>
      <c r="BB10" s="758" t="str">
        <f>IF(OR(AND($C10=2,NOT($J10=""),NOT($J10=0),NOT($J10="PHA Oper Sub"),$B10="60% AMI",NOT($M10="Common")),AND($C10=2,NOT($J10=""),NOT($J10=0),NOT($J10="PHA Oper Sub"),$B10="HOME 60% AMI",NOT($M10="Common"))),$E10,"")</f>
        <v/>
      </c>
      <c r="BC10" s="758" t="str">
        <f>IF(OR(AND($C10=3,NOT($J10=""),NOT($J10=0),NOT($J10="PHA Oper Sub"),$B10="60% AMI",NOT($M10="Common")),AND($C10=3,NOT($J10=""),NOT($J10=0),NOT($J10="PHA Oper Sub"),$B10="HOME 60% AMI",NOT($M10="Common"))),$E10,"")</f>
        <v/>
      </c>
      <c r="BD10" s="758" t="str">
        <f>IF(OR(AND($C10=4,NOT($J10=""),NOT($J10=0),NOT($J10="PHA Oper Sub"),$B10="60% AMI",NOT($M10="Common")),AND($C10=4,NOT($J10=""),NOT($J10=0),NOT($J10="PHA Oper Sub"),$B10="HOME 60% AMI",NOT($M10="Common"))),$E10,"")</f>
        <v/>
      </c>
      <c r="BE10" s="758" t="str">
        <f>IF(OR(AND($C10="Efficiency",$J10="PHA Oper Sub",$B10="30% AMI",NOT($M10="Common")),AND($C10="Efficiency",$J10="PHA Oper Sub",$B10="HOME 30% AMI",NOT($M10="Common"))),$E10,"")</f>
        <v/>
      </c>
      <c r="BF10" s="758" t="str">
        <f>IF(OR(AND($C10=1,$J10="PHA Oper Sub",$B10="30% AMI",NOT($M10="Common")),AND($C10=1,$J10="PHA Oper Sub",$B10="HOME 30% AMI",NOT($M10="Common"))),$E10,"")</f>
        <v/>
      </c>
      <c r="BG10" s="758" t="str">
        <f>IF(OR(AND($C10=2,$J10="PHA Oper Sub",$B10="30% AMI",NOT($M10="Common")),AND($C10=2,$J10="PHA Oper Sub",$B10="HOME 30% AMI",NOT($M10="Common"))),$E10,"")</f>
        <v/>
      </c>
      <c r="BH10" s="758" t="str">
        <f>IF(OR(AND($C10=3,$J10="PHA Oper Sub",$B10="30% AMI",NOT($M10="Common")),AND($C10=3,$J10="PHA Oper Sub",$B10="HOME 30% AMI",NOT($M10="Common"))),$E10,"")</f>
        <v/>
      </c>
      <c r="BI10" s="758" t="str">
        <f>IF(OR(AND($C10=4,$J10="PHA Oper Sub",$B10="30% AMI",NOT($M10="Common")),AND($C10=4,$J10="PHA Oper Sub",$B10="HOME 30% AMI",NOT($M10="Common"))),$E10,"")</f>
        <v/>
      </c>
      <c r="BJ10" s="758" t="str">
        <f>IF(OR(AND($C10="Efficiency",$J10="PHA Oper Sub",$B10="50% AMI",NOT($M10="Common")),AND($C10="Efficiency",$J10="PHA Oper Sub",$B10="HOME 50% AMI",NOT($M10="Common"))),$E10,"")</f>
        <v/>
      </c>
      <c r="BK10" s="758" t="str">
        <f>IF(OR(AND($C10=1,$J10="PHA Oper Sub",$B10="50% AMI",NOT($M10="Common")),AND($C10=1,$J10="PHA Oper Sub",$B10="HOME 50% AMI",NOT($M10="Common"))),$E10,"")</f>
        <v/>
      </c>
      <c r="BL10" s="758" t="str">
        <f>IF(OR(AND($C10=2,$J10="PHA Oper Sub",$B10="50% AMI",NOT($M10="Common")),AND($C10=2,$J10="PHA Oper Sub",$B10="HOME 50% AMI",NOT($M10="Common"))),$E10,"")</f>
        <v/>
      </c>
      <c r="BM10" s="758" t="str">
        <f>IF(OR(AND($C10=3,$J10="PHA Oper Sub",$B10="50% AMI",NOT($M10="Common")),AND($C10=3,$J10="PHA Oper Sub",$B10="HOME 50% AMI",NOT($M10="Common"))),$E10,"")</f>
        <v/>
      </c>
      <c r="BN10" s="758" t="str">
        <f>IF(OR(AND($C10=4,$J10="PHA Oper Sub",$B10="50% AMI",NOT($M10="Common")),AND($C10=4,$J10="PHA Oper Sub",$B10="HOME 50% AMI",NOT($M10="Common"))),$E10,"")</f>
        <v/>
      </c>
      <c r="BO10" s="758" t="str">
        <f>IF(OR(AND($C10="Efficiency",$J10="PHA Oper Sub",$B10="60% AMI",NOT($M10="Common")),AND($C10="Efficiency",$J10="PHA Oper Sub",$B10="HOME 60% AMI",NOT($M10="Common"))),$E10,"")</f>
        <v/>
      </c>
      <c r="BP10" s="758" t="str">
        <f>IF(OR(AND($C10=1,$J10="PHA Oper Sub",$B10="60% AMI",NOT($M10="Common")),AND($C10=1,$J10="PHA Oper Sub",$B10="HOME 60% AMI",NOT($M10="Common"))),$E10,"")</f>
        <v/>
      </c>
      <c r="BQ10" s="758" t="str">
        <f>IF(OR(AND($C10=2,$J10="PHA Oper Sub",$B10="60% AMI",NOT($M10="Common")),AND($C10=2,$J10="PHA Oper Sub",$B10="HOME 60% AMI",NOT($M10="Common"))),$E10,"")</f>
        <v/>
      </c>
      <c r="BR10" s="758" t="str">
        <f>IF(OR(AND($C10=3,$J10="PHA Oper Sub",$B10="60% AMI",NOT($M10="Common")),AND($C10=3,$J10="PHA Oper Sub",$B10="HOME 60% AMI",NOT($M10="Common"))),$E10,"")</f>
        <v/>
      </c>
      <c r="BS10" s="758" t="str">
        <f>IF(OR(AND($C10=4,$J10="PHA Oper Sub",$B10="60% AMI",NOT($M10="Common")),AND($C10=4,$J10="PHA Oper Sub",$B10="HOME 60% AMI",NOT($M10="Common"))),$E10,"")</f>
        <v/>
      </c>
      <c r="BT10" s="758" t="str">
        <f t="shared" ref="BT10:BT47" si="21">IF(AND(C10="Efficiency",M10="Common"),E10,"")</f>
        <v/>
      </c>
      <c r="BU10" s="758" t="str">
        <f t="shared" ref="BU10:BU47" si="22">IF(AND(C10=1,M10="Common"),E10,"")</f>
        <v/>
      </c>
      <c r="BV10" s="758" t="str">
        <f t="shared" ref="BV10:BV47" si="23">IF(AND(C10=2,M10="Common"),E10,"")</f>
        <v/>
      </c>
      <c r="BW10" s="758" t="str">
        <f t="shared" ref="BW10:BW47" si="24">IF(AND(C10=3,M10="Common"),E10,"")</f>
        <v/>
      </c>
      <c r="BX10" s="758" t="str">
        <f t="shared" ref="BX10:BX47" si="25">IF(AND(C10=4,M10="Common"),E10,"")</f>
        <v/>
      </c>
      <c r="BY10" s="758" t="str">
        <f t="shared" ref="BY10:BY47" si="26">IF(OR(AND(C10="Efficiency",B10="60% AMI",NOT(M10="Common")),AND(C10="Efficiency",B10="HOME 60% AMI",NOT(M10="Common"))),E10*F10,"")</f>
        <v/>
      </c>
      <c r="BZ10" s="758" t="str">
        <f t="shared" ref="BZ10:BZ47" si="27">IF(OR(AND(C10=1,B10="60% AMI",NOT(M10="Common")),AND(C10=1,B10="HOME 60% AMI",NOT(M10="Common"))),E10*F10,"")</f>
        <v/>
      </c>
      <c r="CA10" s="758" t="str">
        <f t="shared" ref="CA10:CA47" si="28">IF(OR(AND(C10=2,B10="60% AMI",NOT(M10="Common")),AND(C10=2,B10="HOME 60% AMI",NOT(M10="Common"))),E10*F10,"")</f>
        <v/>
      </c>
      <c r="CB10" s="758" t="str">
        <f t="shared" ref="CB10:CB47" si="29">IF(OR(AND(C10=3,B10="60% AMI",NOT(M10="Common")),AND(C10=3,B10="HOME 60% AMI",NOT(M10="Common"))),E10*F10,"")</f>
        <v/>
      </c>
      <c r="CC10" s="758" t="str">
        <f t="shared" ref="CC10:CC47" si="30">IF(OR(AND(C10=4,B10="60% AMI",NOT(M10="Common")),AND(C10=4,B10="HOME 60% AMI",NOT(M10="Common"))),E10*F10,"")</f>
        <v/>
      </c>
      <c r="CD10" s="758" t="str">
        <f t="shared" ref="CD10:CD47" si="31">IF(OR(AND(C10="Efficiency",B10="50% AMI",NOT(M10="Common")),AND(C10="Efficiency",B10="HOME 50% AMI",NOT(M10="Common"))),E10*F10,"")</f>
        <v/>
      </c>
      <c r="CE10" s="758">
        <f t="shared" ref="CE10:CE47" si="32">IF(OR(AND(C10=1,B10="50% AMI",NOT(M10="Common")),AND(C10=1,B10="HOME 50% AMI",NOT(M10="Common"))),E10*F10,"")</f>
        <v>11815.68</v>
      </c>
      <c r="CF10" s="758" t="str">
        <f t="shared" ref="CF10:CF47" si="33">IF(OR(AND(C10=2,B10="50% AMI",NOT(M10="Common")),AND(C10=2,B10="HOME 50% AMI",NOT(M10="Common"))),E10*F10,"")</f>
        <v/>
      </c>
      <c r="CG10" s="758" t="str">
        <f t="shared" ref="CG10:CG47" si="34">IF(OR(AND(C10=3,B10="50% AMI",NOT(M10="Common")),AND(C10=3,B10="HOME 50% AMI",NOT(M10="Common"))),E10*F10,"")</f>
        <v/>
      </c>
      <c r="CH10" s="758" t="str">
        <f t="shared" ref="CH10:CH47" si="35">IF(OR(AND(C10=4,B10="50% AMI",NOT(M10="Common")),AND(C10=4,B10="HOME 50% AMI",NOT(M10="Common"))),E10*F10,"")</f>
        <v/>
      </c>
      <c r="CI10" s="758" t="str">
        <f t="shared" ref="CI10:CI47" si="36">IF(OR(AND(C10="Efficiency",B10="30% AMI",NOT(M10="Common")),AND(C10="Efficiency",B10="HOME 30% AMI",NOT(M10="Common"))),E10*F10,"")</f>
        <v/>
      </c>
      <c r="CJ10" s="758" t="str">
        <f t="shared" ref="CJ10:CJ47" si="37">IF(OR(AND(C10=1,B10="30% AMI",NOT(M10="Common")),AND(C10=1,B10="HOME 30% AMI",NOT(M10="Common"))),E10*F10,"")</f>
        <v/>
      </c>
      <c r="CK10" s="758" t="str">
        <f t="shared" ref="CK10:CK47" si="38">IF(OR(AND(C10=2,B10="30% AMI",NOT(M10="Common")),AND(C10=2,B10="HOME 30% AMI",NOT(M10="Common"))),E10*F10,"")</f>
        <v/>
      </c>
      <c r="CL10" s="758" t="str">
        <f t="shared" ref="CL10:CL47" si="39">IF(OR(AND(C10=3,B10="30% AMI",NOT(M10="Common")),AND(C10=3,B10="HOME 30% AMI",NOT(M10="Common"))),E10*F10,"")</f>
        <v/>
      </c>
      <c r="CM10" s="758" t="str">
        <f t="shared" ref="CM10:CM47" si="40">IF(OR(AND(C10=4,B10="30% AMI",NOT(M10="Common")),AND(C10=4,B10="HOME 30% AMI",NOT(M10="Common"))),E10*F10,"")</f>
        <v/>
      </c>
      <c r="CN10" s="758" t="str">
        <f t="shared" ref="CN10:CN47" si="41">IF(AND(C10="Efficiency",B10="Unrestricted",NOT(M10="Common")),E10*F10,"")</f>
        <v/>
      </c>
      <c r="CO10" s="758" t="str">
        <f t="shared" ref="CO10:CO47" si="42">IF(AND(C10=1,B10="Unrestricted",NOT(M10="Common")),E10*F10,"")</f>
        <v/>
      </c>
      <c r="CP10" s="758" t="str">
        <f t="shared" ref="CP10:CP47" si="43">IF(AND(C10=2,B10="Unrestricted",NOT(M10="Common")),E10*F10,"")</f>
        <v/>
      </c>
      <c r="CQ10" s="758" t="str">
        <f t="shared" ref="CQ10:CQ47" si="44">IF(AND(C10=3,B10="Unrestricted",NOT(M10="Common")),E10*F10,"")</f>
        <v/>
      </c>
      <c r="CR10" s="758" t="str">
        <f t="shared" ref="CR10:CR47" si="45">IF(AND(C10=4,B10="Unrestricted",NOT(M10="Common")),E10*F10,"")</f>
        <v/>
      </c>
      <c r="CS10" s="758" t="str">
        <f t="shared" ref="CS10:CS47" si="46">IF(AND(C10="Efficiency",NOT(J10=""),NOT($J10=0),NOT(M10="Common")),E10*F10,"")</f>
        <v/>
      </c>
      <c r="CT10" s="758" t="str">
        <f t="shared" ref="CT10:CT47" si="47">IF(AND(C10=1,NOT(J10=""),NOT($J10=0),NOT(M10="Common")),E10*F10,"")</f>
        <v/>
      </c>
      <c r="CU10" s="758" t="str">
        <f t="shared" ref="CU10:CU47" si="48">IF(AND(C10=2,NOT(J10=""),NOT($J10=0),NOT(M10="Common")),E10*F10,"")</f>
        <v/>
      </c>
      <c r="CV10" s="758" t="str">
        <f t="shared" ref="CV10:CV47" si="49">IF(AND(C10=3,NOT(J10=""),NOT($J10=0),NOT(M10="Common")),E10*F10,"")</f>
        <v/>
      </c>
      <c r="CW10" s="758" t="str">
        <f t="shared" ref="CW10:CW47" si="50">IF(AND(C10=4,NOT(J10=""),NOT($J10=0),NOT(M10="Common")),E10*F10,"")</f>
        <v/>
      </c>
      <c r="CX10" s="758" t="str">
        <f t="shared" ref="CX10:CX47" si="51">IF(AND(C10="Efficiency",M10="Common"),E10*F10,"")</f>
        <v/>
      </c>
      <c r="CY10" s="758" t="str">
        <f t="shared" ref="CY10:CY47" si="52">IF(AND(C10=1,M10="Common"),E10*F10,"")</f>
        <v/>
      </c>
      <c r="CZ10" s="758" t="str">
        <f t="shared" ref="CZ10:CZ47" si="53">IF(AND(C10=2,M10="Common"),E10*F10,"")</f>
        <v/>
      </c>
      <c r="DA10" s="758" t="str">
        <f t="shared" ref="DA10:DA47" si="54">IF(AND(C10=3,M10="Common"),E10*F10,"")</f>
        <v/>
      </c>
      <c r="DB10" s="758" t="str">
        <f t="shared" ref="DB10:DB47" si="55">IF(AND(C10=4,M10="Common"),E10*F10,"")</f>
        <v/>
      </c>
      <c r="DC10" s="758" t="str">
        <f t="shared" ref="DC10:DC47" si="56">IF(AND($C10="Efficiency", $O10="New Construction",NOT($B10="Unrestricted"),NOT($B10="NSP 120% AMI"),NOT($B10="N/A-CS"),NOT($M10="Common")),$E10,"")</f>
        <v/>
      </c>
      <c r="DD10" s="758">
        <f t="shared" ref="DD10:DD47" si="57">IF(AND($C10=1, $O10="New Construction",NOT($B10="Unrestricted"),NOT($B10="NSP 120% AMI"),NOT($B10="N/A-CS"),NOT($M10="Common")),$E10,"")</f>
        <v>16</v>
      </c>
      <c r="DE10" s="758" t="str">
        <f t="shared" ref="DE10:DE47" si="58">IF(AND($C10=2, $O10="New Construction",NOT($B10="Unrestricted"),NOT($B10="NSP 120% AMI"),NOT($B10="N/A-CS"),NOT($M10="Common")),$E10,"")</f>
        <v/>
      </c>
      <c r="DF10" s="758" t="str">
        <f t="shared" ref="DF10:DF47" si="59">IF(AND($C10=3, $O10="New Construction",NOT($B10="Unrestricted"),NOT($B10="NSP 120% AMI"),NOT($B10="N/A-CS"),NOT($M10="Common")),$E10,"")</f>
        <v/>
      </c>
      <c r="DG10" s="758" t="str">
        <f t="shared" ref="DG10:DG47" si="60">IF(AND($C10=4, $O10="New Construction",NOT($B10="Unrestricted"),NOT($B10="NSP 120% AMI"),NOT($B10="N/A-CS"),NOT($M10="Common")),$E10,"")</f>
        <v/>
      </c>
      <c r="DH10" s="758" t="str">
        <f t="shared" ref="DH10:DH47" si="61">IF(AND($C10="Efficiency", $O10="New Construction",$B10="Unrestricted",NOT($B10="N/A-CS"),NOT($M10="Common")),$E10,"")</f>
        <v/>
      </c>
      <c r="DI10" s="758" t="str">
        <f t="shared" ref="DI10:DI47" si="62">IF(AND($C10=1, $O10="New Construction",$B10="Unrestricted",NOT($B10="N/A-CS"),NOT($M10="Common")),$E10,"")</f>
        <v/>
      </c>
      <c r="DJ10" s="758" t="str">
        <f t="shared" ref="DJ10:DJ47" si="63">IF(AND($C10=2, $O10="New Construction",$B10="Unrestricted",NOT($B10="N/A-CS"),NOT($M10="Common")),$E10,"")</f>
        <v/>
      </c>
      <c r="DK10" s="758" t="str">
        <f t="shared" ref="DK10:DK47" si="64">IF(AND($C10=3, $O10="New Construction",$B10="Unrestricted",NOT($B10="N/A-CS"),NOT($M10="Common")),$E10,"")</f>
        <v/>
      </c>
      <c r="DL10" s="758" t="str">
        <f t="shared" ref="DL10:DL47" si="65">IF(AND($C10=4, $O10="New Construction",$B10="Unrestricted",NOT($B10="N/A-CS"),NOT($M10="Common")),$E10,"")</f>
        <v/>
      </c>
      <c r="DM10" s="758" t="str">
        <f t="shared" ref="DM10:DM47" si="66">IF(AND($C10="Efficiency", $O10="New Construction",$B10="N/A-CS",$M10="Common"),$E10,"")</f>
        <v/>
      </c>
      <c r="DN10" s="758" t="str">
        <f t="shared" ref="DN10:DN47" si="67">IF(AND($C10=1, $O10="New Construction",$B10="N/A-CS",$M10="Common"),$E10,"")</f>
        <v/>
      </c>
      <c r="DO10" s="758" t="str">
        <f t="shared" ref="DO10:DO47" si="68">IF(AND($C10=2, $O10="New Construction",$B10="N/A-CS",$M10="Common"),$E10,"")</f>
        <v/>
      </c>
      <c r="DP10" s="758" t="str">
        <f t="shared" ref="DP10:DP47" si="69">IF(AND($C10=3, $O10="New Construction",$B10="N/A-CS",$M10="Common"),$E10,"")</f>
        <v/>
      </c>
      <c r="DQ10" s="758" t="str">
        <f t="shared" ref="DQ10:DQ47" si="70">IF(AND($C10=4, $O10="New Construction",$B10="N/A-CS",$M10="Common"),$E10,"")</f>
        <v/>
      </c>
      <c r="DR10" s="758" t="str">
        <f t="shared" ref="DR10:DR47" si="71">IF(AND($C10="Efficiency", $O10="Acquisition/Rehab",NOT($B10="Unrestricted"),NOT($B10="NSP 120% AMI"),NOT($B10="N/A-CS"),NOT($M10="Common")),$E10,"")</f>
        <v/>
      </c>
      <c r="DS10" s="758" t="str">
        <f t="shared" ref="DS10:DS47" si="72">IF(AND($C10=1, $O10="Acquisition/Rehab",NOT($B10="Unrestricted"),NOT($B10="NSP 120% AMI"),NOT($B10="N/A-CS"),NOT($M10="Common")),$E10,"")</f>
        <v/>
      </c>
      <c r="DT10" s="758" t="str">
        <f t="shared" ref="DT10:DT47" si="73">IF(AND($C10=2, $O10="Acquisition/Rehab",NOT($B10="Unrestricted"),NOT($B10="NSP 120% AMI"),NOT($B10="N/A-CS"),NOT($M10="Common")),$E10,"")</f>
        <v/>
      </c>
      <c r="DU10" s="758" t="str">
        <f t="shared" ref="DU10:DU47" si="74">IF(AND($C10=3, $O10="Acquisition/Rehab",NOT($B10="Unrestricted"),NOT($B10="NSP 120% AMI"),NOT($B10="N/A-CS"),NOT($M10="Common")),$E10,"")</f>
        <v/>
      </c>
      <c r="DV10" s="758" t="str">
        <f t="shared" ref="DV10:DV47" si="75">IF(AND($C10=4, $O10="Acquisition/Rehab",NOT($B10="Unrestricted"),NOT($B10="NSP 120% AMI"),NOT($B10="N/A-CS"),NOT($M10="Common")),$E10,"")</f>
        <v/>
      </c>
      <c r="DW10" s="758" t="str">
        <f t="shared" ref="DW10:DW47" si="76">IF(AND($C10="Efficiency", $O10="Acquisition/Rehab",$B10="Unrestricted",NOT($B10="N/A-CS"),NOT($M10="Common")),$E10,"")</f>
        <v/>
      </c>
      <c r="DX10" s="758" t="str">
        <f t="shared" ref="DX10:DX47" si="77">IF(AND($C10=1, $O10="Acquisition/Rehab",$B10="Unrestricted",NOT($B10="N/A-CS"),NOT($M10="Common")),$E10,"")</f>
        <v/>
      </c>
      <c r="DY10" s="758" t="str">
        <f t="shared" ref="DY10:DY47" si="78">IF(AND($C10=2, $O10="Acquisition/Rehab",$B10="Unrestricted",NOT($B10="N/A-CS"),NOT($M10="Common")),$E10,"")</f>
        <v/>
      </c>
      <c r="DZ10" s="758" t="str">
        <f t="shared" ref="DZ10:DZ47" si="79">IF(AND($C10=3, $O10="Acquisition/Rehab",$B10="Unrestricted",NOT($B10="N/A-CS"),NOT($M10="Common")),$E10,"")</f>
        <v/>
      </c>
      <c r="EA10" s="758" t="str">
        <f t="shared" ref="EA10:EA47" si="80">IF(AND($C10=4, $O10="Acquisition/Rehab",$B10="Unrestricted",NOT($B10="N/A-CS"),NOT($M10="Common")),$E10,"")</f>
        <v/>
      </c>
      <c r="EB10" s="758" t="str">
        <f t="shared" ref="EB10:EB47" si="81">IF(AND($C10="Efficiency", $O10="Acquisition/Rehab",$B10="N/A-CS",$M10="Common"),$E10,"")</f>
        <v/>
      </c>
      <c r="EC10" s="758" t="str">
        <f t="shared" ref="EC10:EC47" si="82">IF(AND($C10=1, $O10="Acquisition/Rehab",$B10="N/A-CS",$M10="Common"),$E10,"")</f>
        <v/>
      </c>
      <c r="ED10" s="758" t="str">
        <f t="shared" ref="ED10:ED47" si="83">IF(AND($C10=2, $O10="Acquisition/Rehab",$B10="N/A-CS",$M10="Common"),$E10,"")</f>
        <v/>
      </c>
      <c r="EE10" s="758" t="str">
        <f t="shared" ref="EE10:EE47" si="84">IF(AND($C10=3, $O10="Acquisition/Rehab",$B10="N/A-CS",$M10="Common"),$E10,"")</f>
        <v/>
      </c>
      <c r="EF10" s="758" t="str">
        <f t="shared" ref="EF10:EF47" si="85">IF(AND($C10=4, $O10="Acquisition/Rehab",$B10="N/A-CS",$M10="Common"),$E10,"")</f>
        <v/>
      </c>
      <c r="EG10" s="758" t="str">
        <f t="shared" ref="EG10:EG47" si="86">IF(AND($C10="Efficiency", $O10="Rehabilitation",NOT($B10="Unrestricted"),NOT($B10="NSP 120% AMI"),NOT($B10="N/A-CS"),NOT($M10="Common")),$E10,"")</f>
        <v/>
      </c>
      <c r="EH10" s="758" t="str">
        <f t="shared" ref="EH10:EH47" si="87">IF(AND($C10=1, $O10="Rehabilitation",NOT($B10="Unrestricted"),NOT($B10="NSP 120% AMI"),NOT($B10="N/A-CS"),NOT($M10="Common")),$E10,"")</f>
        <v/>
      </c>
      <c r="EI10" s="758" t="str">
        <f t="shared" ref="EI10:EI47" si="88">IF(AND($C10=2, $O10="Rehabilitation",NOT($B10="Unrestricted"),NOT($B10="NSP 120% AMI"),NOT($B10="N/A-CS"),NOT($M10="Common")),$E10,"")</f>
        <v/>
      </c>
      <c r="EJ10" s="758" t="str">
        <f t="shared" ref="EJ10:EJ47" si="89">IF(AND($C10=3, $O10="Rehabilitation",NOT($B10="Unrestricted"),NOT($B10="NSP 120% AMI"),NOT($B10="N/A-CS"),NOT($M10="Common")),$E10,"")</f>
        <v/>
      </c>
      <c r="EK10" s="758" t="str">
        <f t="shared" ref="EK10:EK47" si="90">IF(AND($C10=4, $O10="Rehabilitation",NOT($B10="Unrestricted"),NOT($B10="NSP 120% AMI"),NOT($B10="N/A-CS"),NOT($M10="Common")),$E10,"")</f>
        <v/>
      </c>
      <c r="EL10" s="758" t="str">
        <f t="shared" ref="EL10:EL47" si="91">IF(AND($C10="Efficiency", $O10="Rehabilitation",$B10="Unrestricted",NOT($B10="N/A-CS"),NOT($M10="Common")),$E10,"")</f>
        <v/>
      </c>
      <c r="EM10" s="758" t="str">
        <f t="shared" ref="EM10:EM47" si="92">IF(AND($C10=1, $O10="Rehabilitation",$B10="Unrestricted",NOT($B10="N/A-CS"),NOT($M10="Common")),$E10,"")</f>
        <v/>
      </c>
      <c r="EN10" s="758" t="str">
        <f t="shared" ref="EN10:EN47" si="93">IF(AND($C10=2, $O10="Rehabilitation",$B10="Unrestricted",NOT($B10="N/A-CS"),NOT($M10="Common")),$E10,"")</f>
        <v/>
      </c>
      <c r="EO10" s="758" t="str">
        <f t="shared" ref="EO10:EO47" si="94">IF(AND($C10=3, $O10="Rehabilitation",$B10="Unrestricted",NOT($B10="N/A-CS"),NOT($M10="Common")),$E10,"")</f>
        <v/>
      </c>
      <c r="EP10" s="758" t="str">
        <f t="shared" ref="EP10:EP47" si="95">IF(AND($C10=4, $O10="Rehabilitation",$B10="Unrestricted",NOT($B10="N/A-CS"),NOT($M10="Common")),$E10,"")</f>
        <v/>
      </c>
      <c r="EQ10" s="758" t="str">
        <f t="shared" ref="EQ10:EQ47" si="96">IF(AND($C10="Efficiency", $O10="Rehabilitation",$B10="N/A-CS",$M10="Common"),$E10,"")</f>
        <v/>
      </c>
      <c r="ER10" s="758" t="str">
        <f t="shared" ref="ER10:ER47" si="97">IF(AND($C10=1, $O10="Rehabilitation",$B10="N/A-CS",$M10="Common"),$E10,"")</f>
        <v/>
      </c>
      <c r="ES10" s="758" t="str">
        <f t="shared" ref="ES10:ES47" si="98">IF(AND($C10=2, $O10="Rehabilitation",$B10="N/A-CS",$M10="Common"),$E10,"")</f>
        <v/>
      </c>
      <c r="ET10" s="758" t="str">
        <f t="shared" ref="ET10:ET47" si="99">IF(AND($C10=3, $O10="Rehabilitation",$B10="N/A-CS",$M10="Common"),$E10,"")</f>
        <v/>
      </c>
      <c r="EU10" s="758" t="str">
        <f t="shared" ref="EU10:EU47" si="100">IF(AND($C10=4, $O10="Rehabilitation",$B10="N/A-CS",$M10="Common"),$E10,"")</f>
        <v/>
      </c>
      <c r="EV10" s="778" t="str">
        <f t="shared" ref="EV10:EV47" si="101">IF(AND($C10="Efficiency", NOT(OR($N10="SF Detached",$N10="Mfd Home",$N10="Duplex",$N10="Townhome"))),$E10,"")</f>
        <v/>
      </c>
      <c r="EW10" s="778">
        <f t="shared" ref="EW10:EW47" si="102">IF(AND($C10=1, NOT(OR($N10="SF Detached",$N10="Mfd Home",$N10="Duplex",$N10="Townhome"))),$E10,"")</f>
        <v>16</v>
      </c>
      <c r="EX10" s="778" t="str">
        <f t="shared" ref="EX10:EX47" si="103">IF(AND($C10=2, NOT(OR($N10="SF Detached",$N10="Mfd Home",$N10="Duplex",$N10="Townhome"))),$E10,"")</f>
        <v/>
      </c>
      <c r="EY10" s="778" t="str">
        <f t="shared" ref="EY10:EY47" si="104">IF(AND($C10=3, NOT(OR($N10="SF Detached",$N10="Mfd Home",$N10="Duplex",$N10="Townhome"))),$E10,"")</f>
        <v/>
      </c>
      <c r="EZ10" s="778" t="str">
        <f t="shared" ref="EZ10:EZ47" si="105">IF(AND($C10=4, NOT(OR($N10="SF Detached",$N10="Mfd Home",$N10="Duplex",$N10="Townhome"))),$E10,"")</f>
        <v/>
      </c>
      <c r="FA10" s="778" t="str">
        <f t="shared" ref="FA10:FA47" si="106">IF(AND($C10="Efficiency", $N10="SF Detached"),$E10,"")</f>
        <v/>
      </c>
      <c r="FB10" s="778" t="str">
        <f t="shared" ref="FB10:FB47" si="107">IF(AND($C10=1, $N10="SF Detached"),$E10,"")</f>
        <v/>
      </c>
      <c r="FC10" s="778" t="str">
        <f t="shared" ref="FC10:FC47" si="108">IF(AND($C10=2, $N10="SF Detached"),$E10,"")</f>
        <v/>
      </c>
      <c r="FD10" s="778" t="str">
        <f t="shared" ref="FD10:FD47" si="109">IF(AND($C10=3, $N10="SF Detached"),$E10,"")</f>
        <v/>
      </c>
      <c r="FE10" s="778" t="str">
        <f t="shared" ref="FE10:FE47" si="110">IF(AND($C10=4, $N10="SF Detached"),$E10,"")</f>
        <v/>
      </c>
      <c r="FF10" s="778" t="str">
        <f t="shared" ref="FF10:FF47" si="111">IF(AND($C10="Efficiency", $N10="MH"),$E10,"")</f>
        <v/>
      </c>
      <c r="FG10" s="778" t="str">
        <f t="shared" ref="FG10:FG47" si="112">IF(AND($C10=1, $N10="MH"),$E10,"")</f>
        <v/>
      </c>
      <c r="FH10" s="778" t="str">
        <f t="shared" ref="FH10:FH47" si="113">IF(AND($C10=2, $N10="MH"),$E10,"")</f>
        <v/>
      </c>
      <c r="FI10" s="778" t="str">
        <f t="shared" ref="FI10:FI47" si="114">IF(AND($C10=3, $N10="MH"),$E10,"")</f>
        <v/>
      </c>
      <c r="FJ10" s="778" t="str">
        <f t="shared" ref="FJ10:FJ47" si="115">IF(AND($C10=4, $N10="MH"),$E10,"")</f>
        <v/>
      </c>
      <c r="FK10" s="778" t="str">
        <f t="shared" ref="FK10:FK47" si="116">IF(AND($C10="Efficiency", $N10="Duplex"),$E10,"")</f>
        <v/>
      </c>
      <c r="FL10" s="778" t="str">
        <f t="shared" ref="FL10:FL47" si="117">IF(AND($C10=1, $N10="Duplex"),$E10,"")</f>
        <v/>
      </c>
      <c r="FM10" s="778" t="str">
        <f t="shared" ref="FM10:FM47" si="118">IF(AND($C10=2, $N10="Duplex"),$E10,"")</f>
        <v/>
      </c>
      <c r="FN10" s="778" t="str">
        <f t="shared" ref="FN10:FN47" si="119">IF(AND($C10=3, $N10="Duplex"),$E10,"")</f>
        <v/>
      </c>
      <c r="FO10" s="778" t="str">
        <f t="shared" ref="FO10:FO47" si="120">IF(AND($C10=4, $N10="Duplex"),$E10,"")</f>
        <v/>
      </c>
      <c r="FP10" s="778" t="str">
        <f t="shared" ref="FP10:FP47" si="121">IF(AND($C10="Efficiency", $N10="Townhome"),$E10,"")</f>
        <v/>
      </c>
      <c r="FQ10" s="778" t="str">
        <f t="shared" ref="FQ10:FQ47" si="122">IF(AND($C10=1, $N10="Townhome"),$E10,"")</f>
        <v/>
      </c>
      <c r="FR10" s="778" t="str">
        <f t="shared" ref="FR10:FR47" si="123">IF(AND($C10=2, $N10="Townhome"),$E10,"")</f>
        <v/>
      </c>
      <c r="FS10" s="778" t="str">
        <f t="shared" ref="FS10:FS47" si="124">IF(AND($C10=3, $N10="Townhome"),$E10,"")</f>
        <v/>
      </c>
      <c r="FT10" s="778" t="str">
        <f t="shared" ref="FT10:FT47" si="125">IF(AND($C10=4, $N10="Townhome"),$E10,"")</f>
        <v/>
      </c>
      <c r="FU10" s="778" t="str">
        <f t="shared" ref="FU10:FU47" si="126">IF(AND($C10="Efficiency", $N10="1-Story"),$E10,"")</f>
        <v/>
      </c>
      <c r="FV10" s="778" t="str">
        <f t="shared" ref="FV10:FV47" si="127">IF(AND($C10=1, $N10="1-Story"),$E10,"")</f>
        <v/>
      </c>
      <c r="FW10" s="778" t="str">
        <f t="shared" ref="FW10:FW47" si="128">IF(AND($C10=2, $N10="1-Story"),$E10,"")</f>
        <v/>
      </c>
      <c r="FX10" s="778" t="str">
        <f t="shared" ref="FX10:FX47" si="129">IF(AND($C10=3, $N10="1-Story"),$E10,"")</f>
        <v/>
      </c>
      <c r="FY10" s="778" t="str">
        <f t="shared" ref="FY10:FY47" si="130">IF(AND($C10=4, $N10="1-Story"),$E10,"")</f>
        <v/>
      </c>
      <c r="FZ10" s="778" t="str">
        <f t="shared" ref="FZ10:FZ47" si="131">IF(AND($C10="Efficiency", $N10="2-Story"),$E10,"")</f>
        <v/>
      </c>
      <c r="GA10" s="778" t="str">
        <f t="shared" ref="GA10:GA47" si="132">IF(AND($C10=1, $N10="2-Story"),$E10,"")</f>
        <v/>
      </c>
      <c r="GB10" s="778" t="str">
        <f t="shared" ref="GB10:GB47" si="133">IF(AND($C10=2, $N10="2-Story"),$E10,"")</f>
        <v/>
      </c>
      <c r="GC10" s="778" t="str">
        <f t="shared" ref="GC10:GC47" si="134">IF(AND($C10=3, $N10="2-Story"),$E10,"")</f>
        <v/>
      </c>
      <c r="GD10" s="778" t="str">
        <f t="shared" ref="GD10:GD47" si="135">IF(AND($C10=4, $N10="2-Story"),$E10,"")</f>
        <v/>
      </c>
      <c r="GE10" s="778" t="str">
        <f t="shared" ref="GE10:GE47" si="136">IF(AND($C10="Efficiency", $N10="2-Story Walkup"),$E10,"")</f>
        <v/>
      </c>
      <c r="GF10" s="778" t="str">
        <f t="shared" ref="GF10:GF47" si="137">IF(AND($C10=1, $N10="2-Story Walkup"),$E10,"")</f>
        <v/>
      </c>
      <c r="GG10" s="778" t="str">
        <f t="shared" ref="GG10:GG47" si="138">IF(AND($C10=2, $N10="2-Story Walkup"),$E10,"")</f>
        <v/>
      </c>
      <c r="GH10" s="778" t="str">
        <f t="shared" ref="GH10:GH47" si="139">IF(AND($C10=3, $N10="2-Story Walkup"),$E10,"")</f>
        <v/>
      </c>
      <c r="GI10" s="778" t="str">
        <f t="shared" ref="GI10:GI47" si="140">IF(AND($C10=4, $N10="2-Story Walkup"),$E10,"")</f>
        <v/>
      </c>
      <c r="GJ10" s="778" t="str">
        <f t="shared" ref="GJ10:GJ47" si="141">IF(AND($C10="Efficiency", $N10="3+ Story"),$E10,"")</f>
        <v/>
      </c>
      <c r="GK10" s="778">
        <f t="shared" ref="GK10:GK47" si="142">IF(AND($C10=1, $N10="3+ Story"),$E10,"")</f>
        <v>16</v>
      </c>
      <c r="GL10" s="778" t="str">
        <f t="shared" ref="GL10:GL47" si="143">IF(AND($C10=2, $N10="3+ Story"),$E10,"")</f>
        <v/>
      </c>
      <c r="GM10" s="778" t="str">
        <f t="shared" ref="GM10:GM47" si="144">IF(AND($C10=3, $N10="3+ Story"),$E10,"")</f>
        <v/>
      </c>
      <c r="GN10" s="778" t="str">
        <f t="shared" ref="GN10:GN47" si="145">IF(AND($C10=4, $N10="3+ Story"),$E10,"")</f>
        <v/>
      </c>
      <c r="GO10" s="779" t="str">
        <f t="shared" ref="GO10:GO47" si="146">IF(AND($B10="NSP 120% AMI",$C10="Efficiency", NOT($M10="Common")),$E10,"")</f>
        <v/>
      </c>
      <c r="GP10" s="779" t="str">
        <f t="shared" ref="GP10:GP47" si="147">IF(AND($B10="NSP 120% AMI",$C10=1,NOT($M10="Common")),$E10,"")</f>
        <v/>
      </c>
      <c r="GQ10" s="779" t="str">
        <f t="shared" ref="GQ10:GQ47" si="148">IF(AND($B10="NSP 120% AMI",$C10=2,NOT($M10="Common")),$E10,"")</f>
        <v/>
      </c>
      <c r="GR10" s="779" t="str">
        <f t="shared" ref="GR10:GR47" si="149">IF(AND($B10="NSP 120% AMI",$C10=3,NOT($M10="Common")),$E10,"")</f>
        <v/>
      </c>
      <c r="GS10" s="779" t="str">
        <f t="shared" ref="GS10:GS47" si="150">IF(AND($B10="NSP 120% AMI",$C10=4,NOT($M10="Common")),$E10,"")</f>
        <v/>
      </c>
      <c r="GT10" s="758" t="str">
        <f t="shared" ref="GT10:GT47" si="151">IF(AND(C10="Efficiency",B10="NSP 120% AMI",NOT(M10="Common")),E10*F10,"")</f>
        <v/>
      </c>
      <c r="GU10" s="758" t="str">
        <f t="shared" ref="GU10:GU47" si="152">IF(AND(C10=1,B10="NSP 120% AMI",NOT(M10="Common")),E10*F10,"")</f>
        <v/>
      </c>
      <c r="GV10" s="758" t="str">
        <f t="shared" ref="GV10:GV47" si="153">IF(AND(C10=2,B10="NSP 120% AMI",NOT(M10="Common")),E10*F10,"")</f>
        <v/>
      </c>
      <c r="GW10" s="758" t="str">
        <f t="shared" ref="GW10:GW47" si="154">IF(AND(C10=3,B10="NSP 120% AMI",NOT(M10="Common")),E10*F10,"")</f>
        <v/>
      </c>
      <c r="GX10" s="758" t="str">
        <f t="shared" ref="GX10:GX47" si="155">IF(AND(C10=4,B10="NSP 120% AMI",NOT(M10="Common")),E10*F10,"")</f>
        <v/>
      </c>
      <c r="GY10" s="758" t="str">
        <f t="shared" ref="GY10:GY47" si="156">IF(AND($C10="Efficiency", $O10="New Construction",$B10="NSP 120% AMI",NOT($M10="Common")),$E10,"")</f>
        <v/>
      </c>
      <c r="GZ10" s="758" t="str">
        <f t="shared" ref="GZ10:GZ47" si="157">IF(AND($C10=1, $O10="New Construction",$B10="NSP 120% AMI",NOT($M10="Common")),$E10,"")</f>
        <v/>
      </c>
      <c r="HA10" s="758" t="str">
        <f t="shared" ref="HA10:HA47" si="158">IF(AND($C10=2, $O10="New Construction",$B10="NSP 120% AMI",NOT($M10="Common")),$E10,"")</f>
        <v/>
      </c>
      <c r="HB10" s="758" t="str">
        <f t="shared" ref="HB10:HB47" si="159">IF(AND($C10=3, $O10="New Construction",$B10="NSP 120% AMI",NOT($M10="Common")),$E10,"")</f>
        <v/>
      </c>
      <c r="HC10" s="758" t="str">
        <f t="shared" ref="HC10:HC47" si="160">IF(AND($C10=4, $O10="New Construction",$B10="NSP 120% AMI",NOT($M10="Common")),$E10,"")</f>
        <v/>
      </c>
      <c r="HD10" s="758" t="str">
        <f t="shared" ref="HD10:HD47" si="161">IF(AND($C10="Efficiency", $O10="Acquisition/Rehab",$B10="NSP 120% AMI",NOT($M10="Common")),$E10,"")</f>
        <v/>
      </c>
      <c r="HE10" s="758" t="str">
        <f t="shared" ref="HE10:HE47" si="162">IF(AND($C10=1, $O10="Acquisition/Rehab",$B10="NSP 120% AMI",NOT($M10="Common")),$E10,"")</f>
        <v/>
      </c>
      <c r="HF10" s="758" t="str">
        <f t="shared" ref="HF10:HF47" si="163">IF(AND($C10=2, $O10="Acquisition/Rehab",$B10="NSP 120% AMI",NOT($M10="Common")),$E10,"")</f>
        <v/>
      </c>
      <c r="HG10" s="758" t="str">
        <f t="shared" ref="HG10:HG47" si="164">IF(AND($C10=3, $O10="Acquisition/Rehab",$B10="NSP 120% AMI",NOT($M10="Common")),$E10,"")</f>
        <v/>
      </c>
      <c r="HH10" s="758" t="str">
        <f t="shared" ref="HH10:HH47" si="165">IF(AND($C10=4, $O10="Acquisition/Rehab",$B10="NSP 120% AMI",NOT($M10="Common")),$E10,"")</f>
        <v/>
      </c>
      <c r="HI10" s="758" t="str">
        <f t="shared" ref="HI10:HI47" si="166">IF(AND($C10="Efficiency", $O10="Rehabilitation",$B10="NSP 120% AMI",NOT($M10="Common")),$E10,"")</f>
        <v/>
      </c>
      <c r="HJ10" s="758" t="str">
        <f t="shared" ref="HJ10:HJ47" si="167">IF(AND($C10=1, $O10="Rehabilitation",$B10="NSP 120% AMI",NOT($M10="Common")),$E10,"")</f>
        <v/>
      </c>
      <c r="HK10" s="758" t="str">
        <f t="shared" ref="HK10:HK47" si="168">IF(AND($C10=2, $O10="Rehabilitation",$B10="NSP 120% AMI",NOT($M10="Common")),$E10,"")</f>
        <v/>
      </c>
      <c r="HL10" s="758" t="str">
        <f t="shared" ref="HL10:HL47" si="169">IF(AND($C10=3, $O10="Rehabilitation",$B10="NSP 120% AMI",NOT($M10="Common")),$E10,"")</f>
        <v/>
      </c>
      <c r="HM10" s="758" t="str">
        <f t="shared" ref="HM10:HM47" si="170">IF(AND($C10=4, $O10="Rehabilitation",$B10="NSP 120% AMI",NOT($M10="Common")),$E10,"")</f>
        <v/>
      </c>
    </row>
    <row r="11" spans="1:255" ht="13.35" customHeight="1">
      <c r="A11" s="148" t="str">
        <f t="shared" ref="A11:A47" si="171">IF(AND(E11&gt;0,OR(B11="",C11="",D11="",F11="",G11="", H11="",M11="",N11="",O11="")),1,"")</f>
        <v/>
      </c>
      <c r="B11" s="1515" t="s">
        <v>3991</v>
      </c>
      <c r="C11" s="1516">
        <v>2</v>
      </c>
      <c r="D11" s="1517">
        <v>1</v>
      </c>
      <c r="E11" s="1518">
        <v>3</v>
      </c>
      <c r="F11" s="1518">
        <v>988.09</v>
      </c>
      <c r="G11" s="1518">
        <v>780</v>
      </c>
      <c r="H11" s="1518">
        <v>750</v>
      </c>
      <c r="I11" s="1518">
        <v>0</v>
      </c>
      <c r="J11" s="1519"/>
      <c r="K11" s="225">
        <f t="shared" ref="K11:K27" si="172">MAX(0,H11-I11)</f>
        <v>750</v>
      </c>
      <c r="L11" s="225">
        <f t="shared" si="0"/>
        <v>2250</v>
      </c>
      <c r="M11" s="1520" t="s">
        <v>61</v>
      </c>
      <c r="N11" s="1520" t="s">
        <v>67</v>
      </c>
      <c r="O11" s="1520" t="s">
        <v>936</v>
      </c>
      <c r="P11" s="674">
        <f>IF(H11="","",H11*12/0.3)</f>
        <v>30000</v>
      </c>
      <c r="Q11" s="675">
        <f>IF(H11="","",P11/($P$6*VLOOKUP(C11,'DCA Underwriting Assumptions'!$J$84:$K$89,2,FALSE)))</f>
        <v>0.48100048100048098</v>
      </c>
      <c r="R11" s="821"/>
      <c r="S11" s="675"/>
      <c r="T11" s="1455"/>
      <c r="U11" s="1456"/>
      <c r="V11" s="758" t="str">
        <f t="shared" si="1"/>
        <v/>
      </c>
      <c r="W11" s="758" t="str">
        <f t="shared" si="2"/>
        <v/>
      </c>
      <c r="X11" s="758" t="str">
        <f t="shared" si="3"/>
        <v/>
      </c>
      <c r="Y11" s="758" t="str">
        <f t="shared" si="4"/>
        <v/>
      </c>
      <c r="Z11" s="758" t="str">
        <f t="shared" si="5"/>
        <v/>
      </c>
      <c r="AA11" s="758" t="str">
        <f t="shared" si="6"/>
        <v/>
      </c>
      <c r="AB11" s="758" t="str">
        <f t="shared" si="7"/>
        <v/>
      </c>
      <c r="AC11" s="758">
        <f t="shared" si="8"/>
        <v>3</v>
      </c>
      <c r="AD11" s="758" t="str">
        <f t="shared" si="9"/>
        <v/>
      </c>
      <c r="AE11" s="758" t="str">
        <f t="shared" si="10"/>
        <v/>
      </c>
      <c r="AF11" s="758" t="str">
        <f t="shared" si="11"/>
        <v/>
      </c>
      <c r="AG11" s="758" t="str">
        <f t="shared" si="12"/>
        <v/>
      </c>
      <c r="AH11" s="758" t="str">
        <f t="shared" si="13"/>
        <v/>
      </c>
      <c r="AI11" s="758" t="str">
        <f t="shared" si="14"/>
        <v/>
      </c>
      <c r="AJ11" s="758" t="str">
        <f t="shared" si="15"/>
        <v/>
      </c>
      <c r="AK11" s="758" t="str">
        <f t="shared" si="16"/>
        <v/>
      </c>
      <c r="AL11" s="758" t="str">
        <f t="shared" si="17"/>
        <v/>
      </c>
      <c r="AM11" s="758" t="str">
        <f t="shared" si="18"/>
        <v/>
      </c>
      <c r="AN11" s="758" t="str">
        <f t="shared" si="19"/>
        <v/>
      </c>
      <c r="AO11" s="758" t="str">
        <f t="shared" si="20"/>
        <v/>
      </c>
      <c r="AP11" s="758" t="str">
        <f t="shared" ref="AP11:AP47" si="173">IF(OR(AND($C11="Efficiency",NOT($J11=""),NOT($J11="PHA Oper Sub"),$B11="30% AMI",NOT($M11="Common")),AND($C11="Efficiency",NOT($J11=""),NOT($J11="PHA Oper Sub"),$B11="HOME 30% AMI",NOT($M11="Common"))),$E11,"")</f>
        <v/>
      </c>
      <c r="AQ11" s="758" t="str">
        <f t="shared" ref="AQ11:AQ47" si="174">IF(OR(AND($C11=1,NOT($J11=""),NOT($J11="PHA Oper Sub"),$B11="30% AMI",NOT($M11="Common")),AND($C11=1,NOT($J11=""),NOT($J11="PHA Oper Sub"),$B11="HOME 30% AMI",NOT($M11="Common"))),$E11,"")</f>
        <v/>
      </c>
      <c r="AR11" s="758" t="str">
        <f t="shared" ref="AR11:AR47" si="175">IF(OR(AND($C11=2,NOT($J11=""),NOT($J11="PHA Oper Sub"),$B11="30% AMI",NOT($M11="Common")),AND($C11=2,NOT($J11=""),NOT($J11="PHA Oper Sub"),$B11="HOME 30% AMI",NOT($M11="Common"))),$E11,"")</f>
        <v/>
      </c>
      <c r="AS11" s="758" t="str">
        <f t="shared" ref="AS11:AS47" si="176">IF(OR(AND($C11=3,NOT($J11=""),NOT($J11="PHA Oper Sub"),$B11="30% AMI",NOT($M11="Common")),AND($C11=3,NOT($J11=""),NOT($J11="PHA Oper Sub"),$B11="HOME 30% AMI",NOT($M11="Common"))),$E11,"")</f>
        <v/>
      </c>
      <c r="AT11" s="758" t="str">
        <f t="shared" ref="AT11:AT47" si="177">IF(OR(AND($C11=4,NOT($J11=""),NOT($J11="PHA Oper Sub"),$B11="30% AMI",NOT($M11="Common")),AND($C11=4,NOT($J11=""),NOT($J11="PHA Oper Sub"),$B11="HOME 30% AMI",NOT($M11="Common"))),$E11,"")</f>
        <v/>
      </c>
      <c r="AU11" s="758" t="str">
        <f t="shared" ref="AU11:AU47" si="178">IF(OR(AND($C11="Efficiency",NOT($J11=""),NOT($J11="PHA Oper Sub"),NOT($J11=0),$B11="50% AMI",NOT($M11="Common")),AND($C11="Efficiency",NOT($J11=""),NOT($J11=0),NOT($J11="PHA Oper Sub"),$B11="HOME 50% AMI",NOT($M11="Common"))),$E11,"")</f>
        <v/>
      </c>
      <c r="AV11" s="758" t="str">
        <f t="shared" ref="AV11:AV47" si="179">IF(OR(AND($C11=1,NOT($J11=""),NOT($J11=0),NOT($J11="PHA Oper Sub"),$B11="50% AMI",NOT($M11="Common")),AND($C11=1,NOT($J11=""),NOT($J11=0),NOT($J11="PHA Oper Sub"),$B11="HOME 50% AMI",NOT($M11="Common"))),$E11,"")</f>
        <v/>
      </c>
      <c r="AW11" s="758" t="str">
        <f t="shared" ref="AW11:AW47" si="180">IF(OR(AND($C11=2,NOT($J11=""),NOT($J11=0),NOT($J11="PHA Oper Sub"),$B11="50% AMI",NOT($M11="Common")),AND($C11=2,NOT($J11=""),NOT($J11=0),NOT($J11="PHA Oper Sub"),$B11="HOME 50% AMI",NOT($M11="Common"))),$E11,"")</f>
        <v/>
      </c>
      <c r="AX11" s="758" t="str">
        <f t="shared" ref="AX11:AX47" si="181">IF(OR(AND($C11=3,NOT($J11=""),NOT($J11=0),NOT($J11="PHA Oper Sub"),$B11="50% AMI",NOT($M11="Common")),AND($C11=3,NOT($J11=""),NOT($J11=0),NOT($J11="PHA Oper Sub"),$B11="HOME 50% AMI",NOT($M11="Common"))),$E11,"")</f>
        <v/>
      </c>
      <c r="AY11" s="758" t="str">
        <f t="shared" ref="AY11:AY47" si="182">IF(OR(AND($C11=4,NOT($J11=""),NOT($J11=0),NOT($J11="PHA Oper Sub"),$B11="50% AMI",NOT($M11="Common")),AND($C11=4,NOT($J11=""),NOT($J11=0),NOT($J11="PHA Oper Sub"),$B11="HOME 50% AMI",NOT($M11="Common"))),$E11,"")</f>
        <v/>
      </c>
      <c r="AZ11" s="758" t="str">
        <f t="shared" ref="AZ11:AZ47" si="183">IF(OR(AND($C11="Efficiency",NOT($J11=""),NOT($J11=0),NOT($J11="PHA Oper Sub"),$B11="60% AMI",NOT($M11="Common")),AND($C11="Efficiency",NOT($J11=""),NOT($J11=0),NOT($J11="PHA Oper Sub"),$B11="HOME 60% AMI",NOT($M11="Common"))),$E11,"")</f>
        <v/>
      </c>
      <c r="BA11" s="758" t="str">
        <f t="shared" ref="BA11:BA47" si="184">IF(OR(AND($C11=1,NOT($J11=""),NOT($J11=0),NOT($J11="PHA Oper Sub"),$B11="60% AMI",NOT($M11="Common")),AND($C11=1,NOT($J11=""),NOT($J11=0),NOT($J11="PHA Oper Sub"),$B11="HOME 60% AMI",NOT($M11="Common"))),$E11,"")</f>
        <v/>
      </c>
      <c r="BB11" s="758" t="str">
        <f t="shared" ref="BB11:BB47" si="185">IF(OR(AND($C11=2,NOT($J11=""),NOT($J11=0),NOT($J11="PHA Oper Sub"),$B11="60% AMI",NOT($M11="Common")),AND($C11=2,NOT($J11=""),NOT($J11=0),NOT($J11="PHA Oper Sub"),$B11="HOME 60% AMI",NOT($M11="Common"))),$E11,"")</f>
        <v/>
      </c>
      <c r="BC11" s="758" t="str">
        <f t="shared" ref="BC11:BC47" si="186">IF(OR(AND($C11=3,NOT($J11=""),NOT($J11=0),NOT($J11="PHA Oper Sub"),$B11="60% AMI",NOT($M11="Common")),AND($C11=3,NOT($J11=""),NOT($J11=0),NOT($J11="PHA Oper Sub"),$B11="HOME 60% AMI",NOT($M11="Common"))),$E11,"")</f>
        <v/>
      </c>
      <c r="BD11" s="758" t="str">
        <f t="shared" ref="BD11:BD47" si="187">IF(OR(AND($C11=4,NOT($J11=""),NOT($J11=0),NOT($J11="PHA Oper Sub"),$B11="60% AMI",NOT($M11="Common")),AND($C11=4,NOT($J11=""),NOT($J11=0),NOT($J11="PHA Oper Sub"),$B11="HOME 60% AMI",NOT($M11="Common"))),$E11,"")</f>
        <v/>
      </c>
      <c r="BE11" s="758" t="str">
        <f t="shared" ref="BE11:BE47" si="188">IF(OR(AND($C11="Efficiency",$J11="PHA Oper Sub",$B11="30% AMI",NOT($M11="Common")),AND($C11="Efficiency",$J11="PHA Oper Sub",$B11="HOME 30% AMI",NOT($M11="Common"))),$E11,"")</f>
        <v/>
      </c>
      <c r="BF11" s="758" t="str">
        <f t="shared" ref="BF11:BF47" si="189">IF(OR(AND($C11=1,$J11="PHA Oper Sub",$B11="30% AMI",NOT($M11="Common")),AND($C11=1,$J11="PHA Oper Sub",$B11="HOME 30% AMI",NOT($M11="Common"))),$E11,"")</f>
        <v/>
      </c>
      <c r="BG11" s="758" t="str">
        <f t="shared" ref="BG11:BG47" si="190">IF(OR(AND($C11=2,$J11="PHA Oper Sub",$B11="30% AMI",NOT($M11="Common")),AND($C11=2,$J11="PHA Oper Sub",$B11="HOME 30% AMI",NOT($M11="Common"))),$E11,"")</f>
        <v/>
      </c>
      <c r="BH11" s="758" t="str">
        <f t="shared" ref="BH11:BH47" si="191">IF(OR(AND($C11=3,$J11="PHA Oper Sub",$B11="30% AMI",NOT($M11="Common")),AND($C11=3,$J11="PHA Oper Sub",$B11="HOME 30% AMI",NOT($M11="Common"))),$E11,"")</f>
        <v/>
      </c>
      <c r="BI11" s="758" t="str">
        <f t="shared" ref="BI11:BI47" si="192">IF(OR(AND($C11=4,$J11="PHA Oper Sub",$B11="30% AMI",NOT($M11="Common")),AND($C11=4,$J11="PHA Oper Sub",$B11="HOME 30% AMI",NOT($M11="Common"))),$E11,"")</f>
        <v/>
      </c>
      <c r="BJ11" s="758" t="str">
        <f t="shared" ref="BJ11:BJ47" si="193">IF(OR(AND($C11="Efficiency",$J11="PHA Oper Sub",$B11="50% AMI",NOT($M11="Common")),AND($C11="Efficiency",$J11="PHA Oper Sub",$B11="HOME 50% AMI",NOT($M11="Common"))),$E11,"")</f>
        <v/>
      </c>
      <c r="BK11" s="758" t="str">
        <f t="shared" ref="BK11:BK47" si="194">IF(OR(AND($C11=1,$J11="PHA Oper Sub",$B11="50% AMI",NOT($M11="Common")),AND($C11=1,$J11="PHA Oper Sub",$B11="HOME 50% AMI",NOT($M11="Common"))),$E11,"")</f>
        <v/>
      </c>
      <c r="BL11" s="758" t="str">
        <f t="shared" ref="BL11:BL47" si="195">IF(OR(AND($C11=2,$J11="PHA Oper Sub",$B11="50% AMI",NOT($M11="Common")),AND($C11=2,$J11="PHA Oper Sub",$B11="HOME 50% AMI",NOT($M11="Common"))),$E11,"")</f>
        <v/>
      </c>
      <c r="BM11" s="758" t="str">
        <f t="shared" ref="BM11:BM47" si="196">IF(OR(AND($C11=3,$J11="PHA Oper Sub",$B11="50% AMI",NOT($M11="Common")),AND($C11=3,$J11="PHA Oper Sub",$B11="HOME 50% AMI",NOT($M11="Common"))),$E11,"")</f>
        <v/>
      </c>
      <c r="BN11" s="758" t="str">
        <f t="shared" ref="BN11:BN47" si="197">IF(OR(AND($C11=4,$J11="PHA Oper Sub",$B11="50% AMI",NOT($M11="Common")),AND($C11=4,$J11="PHA Oper Sub",$B11="HOME 50% AMI",NOT($M11="Common"))),$E11,"")</f>
        <v/>
      </c>
      <c r="BO11" s="758" t="str">
        <f t="shared" ref="BO11:BO47" si="198">IF(OR(AND($C11="Efficiency",$J11="PHA Oper Sub",$B11="60% AMI",NOT($M11="Common")),AND($C11="Efficiency",$J11="PHA Oper Sub",$B11="HOME 60% AMI",NOT($M11="Common"))),$E11,"")</f>
        <v/>
      </c>
      <c r="BP11" s="758" t="str">
        <f t="shared" ref="BP11:BP47" si="199">IF(OR(AND($C11=1,$J11="PHA Oper Sub",$B11="60% AMI",NOT($M11="Common")),AND($C11=1,$J11="PHA Oper Sub",$B11="HOME 60% AMI",NOT($M11="Common"))),$E11,"")</f>
        <v/>
      </c>
      <c r="BQ11" s="758" t="str">
        <f t="shared" ref="BQ11:BQ47" si="200">IF(OR(AND($C11=2,$J11="PHA Oper Sub",$B11="60% AMI",NOT($M11="Common")),AND($C11=2,$J11="PHA Oper Sub",$B11="HOME 60% AMI",NOT($M11="Common"))),$E11,"")</f>
        <v/>
      </c>
      <c r="BR11" s="758" t="str">
        <f t="shared" ref="BR11:BR47" si="201">IF(OR(AND($C11=3,$J11="PHA Oper Sub",$B11="60% AMI",NOT($M11="Common")),AND($C11=3,$J11="PHA Oper Sub",$B11="HOME 60% AMI",NOT($M11="Common"))),$E11,"")</f>
        <v/>
      </c>
      <c r="BS11" s="758" t="str">
        <f t="shared" ref="BS11:BS47" si="202">IF(OR(AND($C11=4,$J11="PHA Oper Sub",$B11="60% AMI",NOT($M11="Common")),AND($C11=4,$J11="PHA Oper Sub",$B11="HOME 60% AMI",NOT($M11="Common"))),$E11,"")</f>
        <v/>
      </c>
      <c r="BT11" s="758" t="str">
        <f t="shared" si="21"/>
        <v/>
      </c>
      <c r="BU11" s="758" t="str">
        <f t="shared" si="22"/>
        <v/>
      </c>
      <c r="BV11" s="758" t="str">
        <f t="shared" si="23"/>
        <v/>
      </c>
      <c r="BW11" s="758" t="str">
        <f t="shared" si="24"/>
        <v/>
      </c>
      <c r="BX11" s="758" t="str">
        <f t="shared" si="25"/>
        <v/>
      </c>
      <c r="BY11" s="758" t="str">
        <f t="shared" si="26"/>
        <v/>
      </c>
      <c r="BZ11" s="758" t="str">
        <f t="shared" si="27"/>
        <v/>
      </c>
      <c r="CA11" s="758" t="str">
        <f t="shared" si="28"/>
        <v/>
      </c>
      <c r="CB11" s="758" t="str">
        <f t="shared" si="29"/>
        <v/>
      </c>
      <c r="CC11" s="758" t="str">
        <f t="shared" si="30"/>
        <v/>
      </c>
      <c r="CD11" s="758" t="str">
        <f t="shared" si="31"/>
        <v/>
      </c>
      <c r="CE11" s="758" t="str">
        <f t="shared" si="32"/>
        <v/>
      </c>
      <c r="CF11" s="758">
        <f t="shared" si="33"/>
        <v>2964.27</v>
      </c>
      <c r="CG11" s="758" t="str">
        <f t="shared" si="34"/>
        <v/>
      </c>
      <c r="CH11" s="758" t="str">
        <f t="shared" si="35"/>
        <v/>
      </c>
      <c r="CI11" s="758" t="str">
        <f t="shared" si="36"/>
        <v/>
      </c>
      <c r="CJ11" s="758" t="str">
        <f t="shared" si="37"/>
        <v/>
      </c>
      <c r="CK11" s="758" t="str">
        <f t="shared" si="38"/>
        <v/>
      </c>
      <c r="CL11" s="758" t="str">
        <f t="shared" si="39"/>
        <v/>
      </c>
      <c r="CM11" s="758" t="str">
        <f t="shared" si="40"/>
        <v/>
      </c>
      <c r="CN11" s="758" t="str">
        <f t="shared" si="41"/>
        <v/>
      </c>
      <c r="CO11" s="758" t="str">
        <f t="shared" si="42"/>
        <v/>
      </c>
      <c r="CP11" s="758" t="str">
        <f t="shared" si="43"/>
        <v/>
      </c>
      <c r="CQ11" s="758" t="str">
        <f t="shared" si="44"/>
        <v/>
      </c>
      <c r="CR11" s="758" t="str">
        <f t="shared" si="45"/>
        <v/>
      </c>
      <c r="CS11" s="758" t="str">
        <f t="shared" si="46"/>
        <v/>
      </c>
      <c r="CT11" s="758" t="str">
        <f t="shared" si="47"/>
        <v/>
      </c>
      <c r="CU11" s="758" t="str">
        <f t="shared" si="48"/>
        <v/>
      </c>
      <c r="CV11" s="758" t="str">
        <f t="shared" si="49"/>
        <v/>
      </c>
      <c r="CW11" s="758" t="str">
        <f t="shared" si="50"/>
        <v/>
      </c>
      <c r="CX11" s="758" t="str">
        <f t="shared" si="51"/>
        <v/>
      </c>
      <c r="CY11" s="758" t="str">
        <f t="shared" si="52"/>
        <v/>
      </c>
      <c r="CZ11" s="758" t="str">
        <f t="shared" si="53"/>
        <v/>
      </c>
      <c r="DA11" s="758" t="str">
        <f t="shared" si="54"/>
        <v/>
      </c>
      <c r="DB11" s="758" t="str">
        <f t="shared" si="55"/>
        <v/>
      </c>
      <c r="DC11" s="758" t="str">
        <f t="shared" si="56"/>
        <v/>
      </c>
      <c r="DD11" s="758" t="str">
        <f t="shared" si="57"/>
        <v/>
      </c>
      <c r="DE11" s="758">
        <f t="shared" si="58"/>
        <v>3</v>
      </c>
      <c r="DF11" s="758" t="str">
        <f t="shared" si="59"/>
        <v/>
      </c>
      <c r="DG11" s="758" t="str">
        <f t="shared" si="60"/>
        <v/>
      </c>
      <c r="DH11" s="758" t="str">
        <f t="shared" si="61"/>
        <v/>
      </c>
      <c r="DI11" s="758" t="str">
        <f t="shared" si="62"/>
        <v/>
      </c>
      <c r="DJ11" s="758" t="str">
        <f t="shared" si="63"/>
        <v/>
      </c>
      <c r="DK11" s="758" t="str">
        <f t="shared" si="64"/>
        <v/>
      </c>
      <c r="DL11" s="758" t="str">
        <f t="shared" si="65"/>
        <v/>
      </c>
      <c r="DM11" s="758" t="str">
        <f t="shared" si="66"/>
        <v/>
      </c>
      <c r="DN11" s="758" t="str">
        <f t="shared" si="67"/>
        <v/>
      </c>
      <c r="DO11" s="758" t="str">
        <f t="shared" si="68"/>
        <v/>
      </c>
      <c r="DP11" s="758" t="str">
        <f t="shared" si="69"/>
        <v/>
      </c>
      <c r="DQ11" s="758" t="str">
        <f t="shared" si="70"/>
        <v/>
      </c>
      <c r="DR11" s="758" t="str">
        <f t="shared" si="71"/>
        <v/>
      </c>
      <c r="DS11" s="758" t="str">
        <f t="shared" si="72"/>
        <v/>
      </c>
      <c r="DT11" s="758" t="str">
        <f t="shared" si="73"/>
        <v/>
      </c>
      <c r="DU11" s="758" t="str">
        <f t="shared" si="74"/>
        <v/>
      </c>
      <c r="DV11" s="758" t="str">
        <f t="shared" si="75"/>
        <v/>
      </c>
      <c r="DW11" s="758" t="str">
        <f t="shared" si="76"/>
        <v/>
      </c>
      <c r="DX11" s="758" t="str">
        <f t="shared" si="77"/>
        <v/>
      </c>
      <c r="DY11" s="758" t="str">
        <f t="shared" si="78"/>
        <v/>
      </c>
      <c r="DZ11" s="758" t="str">
        <f t="shared" si="79"/>
        <v/>
      </c>
      <c r="EA11" s="758" t="str">
        <f t="shared" si="80"/>
        <v/>
      </c>
      <c r="EB11" s="758" t="str">
        <f t="shared" si="81"/>
        <v/>
      </c>
      <c r="EC11" s="758" t="str">
        <f t="shared" si="82"/>
        <v/>
      </c>
      <c r="ED11" s="758" t="str">
        <f t="shared" si="83"/>
        <v/>
      </c>
      <c r="EE11" s="758" t="str">
        <f t="shared" si="84"/>
        <v/>
      </c>
      <c r="EF11" s="758" t="str">
        <f t="shared" si="85"/>
        <v/>
      </c>
      <c r="EG11" s="758" t="str">
        <f t="shared" si="86"/>
        <v/>
      </c>
      <c r="EH11" s="758" t="str">
        <f t="shared" si="87"/>
        <v/>
      </c>
      <c r="EI11" s="758" t="str">
        <f t="shared" si="88"/>
        <v/>
      </c>
      <c r="EJ11" s="758" t="str">
        <f t="shared" si="89"/>
        <v/>
      </c>
      <c r="EK11" s="758" t="str">
        <f t="shared" si="90"/>
        <v/>
      </c>
      <c r="EL11" s="758" t="str">
        <f t="shared" si="91"/>
        <v/>
      </c>
      <c r="EM11" s="758" t="str">
        <f t="shared" si="92"/>
        <v/>
      </c>
      <c r="EN11" s="758" t="str">
        <f t="shared" si="93"/>
        <v/>
      </c>
      <c r="EO11" s="758" t="str">
        <f t="shared" si="94"/>
        <v/>
      </c>
      <c r="EP11" s="758" t="str">
        <f t="shared" si="95"/>
        <v/>
      </c>
      <c r="EQ11" s="758" t="str">
        <f t="shared" si="96"/>
        <v/>
      </c>
      <c r="ER11" s="758" t="str">
        <f t="shared" si="97"/>
        <v/>
      </c>
      <c r="ES11" s="758" t="str">
        <f t="shared" si="98"/>
        <v/>
      </c>
      <c r="ET11" s="758" t="str">
        <f t="shared" si="99"/>
        <v/>
      </c>
      <c r="EU11" s="758" t="str">
        <f t="shared" si="100"/>
        <v/>
      </c>
      <c r="EV11" s="778" t="str">
        <f t="shared" si="101"/>
        <v/>
      </c>
      <c r="EW11" s="778" t="str">
        <f t="shared" si="102"/>
        <v/>
      </c>
      <c r="EX11" s="778">
        <f t="shared" si="103"/>
        <v>3</v>
      </c>
      <c r="EY11" s="778" t="str">
        <f t="shared" si="104"/>
        <v/>
      </c>
      <c r="EZ11" s="778" t="str">
        <f t="shared" si="105"/>
        <v/>
      </c>
      <c r="FA11" s="778" t="str">
        <f t="shared" si="106"/>
        <v/>
      </c>
      <c r="FB11" s="778" t="str">
        <f t="shared" si="107"/>
        <v/>
      </c>
      <c r="FC11" s="778" t="str">
        <f t="shared" si="108"/>
        <v/>
      </c>
      <c r="FD11" s="778" t="str">
        <f t="shared" si="109"/>
        <v/>
      </c>
      <c r="FE11" s="778" t="str">
        <f t="shared" si="110"/>
        <v/>
      </c>
      <c r="FF11" s="778" t="str">
        <f t="shared" si="111"/>
        <v/>
      </c>
      <c r="FG11" s="778" t="str">
        <f t="shared" si="112"/>
        <v/>
      </c>
      <c r="FH11" s="778" t="str">
        <f t="shared" si="113"/>
        <v/>
      </c>
      <c r="FI11" s="778" t="str">
        <f t="shared" si="114"/>
        <v/>
      </c>
      <c r="FJ11" s="778" t="str">
        <f t="shared" si="115"/>
        <v/>
      </c>
      <c r="FK11" s="778" t="str">
        <f t="shared" si="116"/>
        <v/>
      </c>
      <c r="FL11" s="778" t="str">
        <f t="shared" si="117"/>
        <v/>
      </c>
      <c r="FM11" s="778" t="str">
        <f t="shared" si="118"/>
        <v/>
      </c>
      <c r="FN11" s="778" t="str">
        <f t="shared" si="119"/>
        <v/>
      </c>
      <c r="FO11" s="778" t="str">
        <f t="shared" si="120"/>
        <v/>
      </c>
      <c r="FP11" s="778" t="str">
        <f t="shared" si="121"/>
        <v/>
      </c>
      <c r="FQ11" s="778" t="str">
        <f t="shared" si="122"/>
        <v/>
      </c>
      <c r="FR11" s="778" t="str">
        <f t="shared" si="123"/>
        <v/>
      </c>
      <c r="FS11" s="778" t="str">
        <f t="shared" si="124"/>
        <v/>
      </c>
      <c r="FT11" s="778" t="str">
        <f t="shared" si="125"/>
        <v/>
      </c>
      <c r="FU11" s="778" t="str">
        <f t="shared" si="126"/>
        <v/>
      </c>
      <c r="FV11" s="778" t="str">
        <f t="shared" si="127"/>
        <v/>
      </c>
      <c r="FW11" s="778" t="str">
        <f t="shared" si="128"/>
        <v/>
      </c>
      <c r="FX11" s="778" t="str">
        <f t="shared" si="129"/>
        <v/>
      </c>
      <c r="FY11" s="778" t="str">
        <f t="shared" si="130"/>
        <v/>
      </c>
      <c r="FZ11" s="778" t="str">
        <f t="shared" si="131"/>
        <v/>
      </c>
      <c r="GA11" s="778" t="str">
        <f t="shared" si="132"/>
        <v/>
      </c>
      <c r="GB11" s="778" t="str">
        <f t="shared" si="133"/>
        <v/>
      </c>
      <c r="GC11" s="778" t="str">
        <f t="shared" si="134"/>
        <v/>
      </c>
      <c r="GD11" s="778" t="str">
        <f t="shared" si="135"/>
        <v/>
      </c>
      <c r="GE11" s="778" t="str">
        <f t="shared" si="136"/>
        <v/>
      </c>
      <c r="GF11" s="778" t="str">
        <f t="shared" si="137"/>
        <v/>
      </c>
      <c r="GG11" s="778" t="str">
        <f t="shared" si="138"/>
        <v/>
      </c>
      <c r="GH11" s="778" t="str">
        <f t="shared" si="139"/>
        <v/>
      </c>
      <c r="GI11" s="778" t="str">
        <f t="shared" si="140"/>
        <v/>
      </c>
      <c r="GJ11" s="778" t="str">
        <f t="shared" si="141"/>
        <v/>
      </c>
      <c r="GK11" s="778" t="str">
        <f t="shared" si="142"/>
        <v/>
      </c>
      <c r="GL11" s="778">
        <f t="shared" si="143"/>
        <v>3</v>
      </c>
      <c r="GM11" s="778" t="str">
        <f t="shared" si="144"/>
        <v/>
      </c>
      <c r="GN11" s="778" t="str">
        <f t="shared" si="145"/>
        <v/>
      </c>
      <c r="GO11" s="779" t="str">
        <f t="shared" si="146"/>
        <v/>
      </c>
      <c r="GP11" s="779" t="str">
        <f t="shared" si="147"/>
        <v/>
      </c>
      <c r="GQ11" s="779" t="str">
        <f t="shared" si="148"/>
        <v/>
      </c>
      <c r="GR11" s="779" t="str">
        <f t="shared" si="149"/>
        <v/>
      </c>
      <c r="GS11" s="779" t="str">
        <f t="shared" si="150"/>
        <v/>
      </c>
      <c r="GT11" s="758" t="str">
        <f t="shared" si="151"/>
        <v/>
      </c>
      <c r="GU11" s="758" t="str">
        <f t="shared" si="152"/>
        <v/>
      </c>
      <c r="GV11" s="758" t="str">
        <f t="shared" si="153"/>
        <v/>
      </c>
      <c r="GW11" s="758" t="str">
        <f t="shared" si="154"/>
        <v/>
      </c>
      <c r="GX11" s="758" t="str">
        <f t="shared" si="155"/>
        <v/>
      </c>
      <c r="GY11" s="758" t="str">
        <f t="shared" si="156"/>
        <v/>
      </c>
      <c r="GZ11" s="758" t="str">
        <f t="shared" si="157"/>
        <v/>
      </c>
      <c r="HA11" s="758" t="str">
        <f t="shared" si="158"/>
        <v/>
      </c>
      <c r="HB11" s="758" t="str">
        <f t="shared" si="159"/>
        <v/>
      </c>
      <c r="HC11" s="758" t="str">
        <f t="shared" si="160"/>
        <v/>
      </c>
      <c r="HD11" s="758" t="str">
        <f t="shared" si="161"/>
        <v/>
      </c>
      <c r="HE11" s="758" t="str">
        <f t="shared" si="162"/>
        <v/>
      </c>
      <c r="HF11" s="758" t="str">
        <f t="shared" si="163"/>
        <v/>
      </c>
      <c r="HG11" s="758" t="str">
        <f t="shared" si="164"/>
        <v/>
      </c>
      <c r="HH11" s="758" t="str">
        <f t="shared" si="165"/>
        <v/>
      </c>
      <c r="HI11" s="758" t="str">
        <f t="shared" si="166"/>
        <v/>
      </c>
      <c r="HJ11" s="758" t="str">
        <f t="shared" si="167"/>
        <v/>
      </c>
      <c r="HK11" s="758" t="str">
        <f t="shared" si="168"/>
        <v/>
      </c>
      <c r="HL11" s="758" t="str">
        <f t="shared" si="169"/>
        <v/>
      </c>
      <c r="HM11" s="758" t="str">
        <f t="shared" si="170"/>
        <v/>
      </c>
    </row>
    <row r="12" spans="1:255" ht="13.35" customHeight="1">
      <c r="A12" s="148" t="str">
        <f t="shared" si="171"/>
        <v/>
      </c>
      <c r="B12" s="1515" t="s">
        <v>2410</v>
      </c>
      <c r="C12" s="1516">
        <v>1</v>
      </c>
      <c r="D12" s="1517">
        <v>1</v>
      </c>
      <c r="E12" s="1518">
        <v>48</v>
      </c>
      <c r="F12" s="1518">
        <v>738.48</v>
      </c>
      <c r="G12" s="1518">
        <v>757</v>
      </c>
      <c r="H12" s="1518">
        <v>705</v>
      </c>
      <c r="I12" s="1518">
        <v>0</v>
      </c>
      <c r="J12" s="1519"/>
      <c r="K12" s="225">
        <f t="shared" si="172"/>
        <v>705</v>
      </c>
      <c r="L12" s="225">
        <f t="shared" si="0"/>
        <v>33840</v>
      </c>
      <c r="M12" s="1520" t="s">
        <v>61</v>
      </c>
      <c r="N12" s="1520" t="s">
        <v>67</v>
      </c>
      <c r="O12" s="1520" t="s">
        <v>936</v>
      </c>
      <c r="P12" s="674">
        <f>IF(H12="","",H12*12/0.3)</f>
        <v>28200</v>
      </c>
      <c r="Q12" s="675">
        <f>IF(H12="","",P12/($P$6*VLOOKUP(C12,'DCA Underwriting Assumptions'!$J$84:$K$89,2,FALSE)))</f>
        <v>0.54256854256854259</v>
      </c>
      <c r="R12" s="821"/>
      <c r="S12" s="675"/>
      <c r="T12" s="1455"/>
      <c r="U12" s="1456"/>
      <c r="V12" s="758" t="str">
        <f t="shared" si="1"/>
        <v/>
      </c>
      <c r="W12" s="758">
        <f t="shared" si="2"/>
        <v>48</v>
      </c>
      <c r="X12" s="758" t="str">
        <f t="shared" si="3"/>
        <v/>
      </c>
      <c r="Y12" s="758" t="str">
        <f t="shared" si="4"/>
        <v/>
      </c>
      <c r="Z12" s="758" t="str">
        <f t="shared" si="5"/>
        <v/>
      </c>
      <c r="AA12" s="758" t="str">
        <f t="shared" si="6"/>
        <v/>
      </c>
      <c r="AB12" s="758" t="str">
        <f t="shared" si="7"/>
        <v/>
      </c>
      <c r="AC12" s="758" t="str">
        <f t="shared" si="8"/>
        <v/>
      </c>
      <c r="AD12" s="758" t="str">
        <f t="shared" si="9"/>
        <v/>
      </c>
      <c r="AE12" s="758" t="str">
        <f t="shared" si="10"/>
        <v/>
      </c>
      <c r="AF12" s="758" t="str">
        <f t="shared" si="11"/>
        <v/>
      </c>
      <c r="AG12" s="758" t="str">
        <f t="shared" si="12"/>
        <v/>
      </c>
      <c r="AH12" s="758" t="str">
        <f t="shared" si="13"/>
        <v/>
      </c>
      <c r="AI12" s="758" t="str">
        <f t="shared" si="14"/>
        <v/>
      </c>
      <c r="AJ12" s="758" t="str">
        <f t="shared" si="15"/>
        <v/>
      </c>
      <c r="AK12" s="758" t="str">
        <f t="shared" si="16"/>
        <v/>
      </c>
      <c r="AL12" s="758" t="str">
        <f t="shared" si="17"/>
        <v/>
      </c>
      <c r="AM12" s="758" t="str">
        <f t="shared" si="18"/>
        <v/>
      </c>
      <c r="AN12" s="758" t="str">
        <f t="shared" si="19"/>
        <v/>
      </c>
      <c r="AO12" s="758" t="str">
        <f t="shared" si="20"/>
        <v/>
      </c>
      <c r="AP12" s="758" t="str">
        <f t="shared" si="173"/>
        <v/>
      </c>
      <c r="AQ12" s="758" t="str">
        <f t="shared" si="174"/>
        <v/>
      </c>
      <c r="AR12" s="758" t="str">
        <f t="shared" si="175"/>
        <v/>
      </c>
      <c r="AS12" s="758" t="str">
        <f t="shared" si="176"/>
        <v/>
      </c>
      <c r="AT12" s="758" t="str">
        <f t="shared" si="177"/>
        <v/>
      </c>
      <c r="AU12" s="758" t="str">
        <f t="shared" si="178"/>
        <v/>
      </c>
      <c r="AV12" s="758" t="str">
        <f t="shared" si="179"/>
        <v/>
      </c>
      <c r="AW12" s="758" t="str">
        <f t="shared" si="180"/>
        <v/>
      </c>
      <c r="AX12" s="758" t="str">
        <f t="shared" si="181"/>
        <v/>
      </c>
      <c r="AY12" s="758" t="str">
        <f t="shared" si="182"/>
        <v/>
      </c>
      <c r="AZ12" s="758" t="str">
        <f t="shared" si="183"/>
        <v/>
      </c>
      <c r="BA12" s="758" t="str">
        <f t="shared" si="184"/>
        <v/>
      </c>
      <c r="BB12" s="758" t="str">
        <f t="shared" si="185"/>
        <v/>
      </c>
      <c r="BC12" s="758" t="str">
        <f t="shared" si="186"/>
        <v/>
      </c>
      <c r="BD12" s="758" t="str">
        <f t="shared" si="187"/>
        <v/>
      </c>
      <c r="BE12" s="758" t="str">
        <f t="shared" si="188"/>
        <v/>
      </c>
      <c r="BF12" s="758" t="str">
        <f t="shared" si="189"/>
        <v/>
      </c>
      <c r="BG12" s="758" t="str">
        <f t="shared" si="190"/>
        <v/>
      </c>
      <c r="BH12" s="758" t="str">
        <f t="shared" si="191"/>
        <v/>
      </c>
      <c r="BI12" s="758" t="str">
        <f t="shared" si="192"/>
        <v/>
      </c>
      <c r="BJ12" s="758" t="str">
        <f t="shared" si="193"/>
        <v/>
      </c>
      <c r="BK12" s="758" t="str">
        <f t="shared" si="194"/>
        <v/>
      </c>
      <c r="BL12" s="758" t="str">
        <f t="shared" si="195"/>
        <v/>
      </c>
      <c r="BM12" s="758" t="str">
        <f t="shared" si="196"/>
        <v/>
      </c>
      <c r="BN12" s="758" t="str">
        <f t="shared" si="197"/>
        <v/>
      </c>
      <c r="BO12" s="758" t="str">
        <f t="shared" si="198"/>
        <v/>
      </c>
      <c r="BP12" s="758" t="str">
        <f t="shared" si="199"/>
        <v/>
      </c>
      <c r="BQ12" s="758" t="str">
        <f t="shared" si="200"/>
        <v/>
      </c>
      <c r="BR12" s="758" t="str">
        <f t="shared" si="201"/>
        <v/>
      </c>
      <c r="BS12" s="758" t="str">
        <f t="shared" si="202"/>
        <v/>
      </c>
      <c r="BT12" s="758" t="str">
        <f t="shared" si="21"/>
        <v/>
      </c>
      <c r="BU12" s="758" t="str">
        <f t="shared" si="22"/>
        <v/>
      </c>
      <c r="BV12" s="758" t="str">
        <f t="shared" si="23"/>
        <v/>
      </c>
      <c r="BW12" s="758" t="str">
        <f t="shared" si="24"/>
        <v/>
      </c>
      <c r="BX12" s="758" t="str">
        <f t="shared" si="25"/>
        <v/>
      </c>
      <c r="BY12" s="758" t="str">
        <f t="shared" si="26"/>
        <v/>
      </c>
      <c r="BZ12" s="758">
        <f t="shared" si="27"/>
        <v>35447.040000000001</v>
      </c>
      <c r="CA12" s="758" t="str">
        <f t="shared" si="28"/>
        <v/>
      </c>
      <c r="CB12" s="758" t="str">
        <f t="shared" si="29"/>
        <v/>
      </c>
      <c r="CC12" s="758" t="str">
        <f t="shared" si="30"/>
        <v/>
      </c>
      <c r="CD12" s="758" t="str">
        <f t="shared" si="31"/>
        <v/>
      </c>
      <c r="CE12" s="758" t="str">
        <f t="shared" si="32"/>
        <v/>
      </c>
      <c r="CF12" s="758" t="str">
        <f t="shared" si="33"/>
        <v/>
      </c>
      <c r="CG12" s="758" t="str">
        <f t="shared" si="34"/>
        <v/>
      </c>
      <c r="CH12" s="758" t="str">
        <f t="shared" si="35"/>
        <v/>
      </c>
      <c r="CI12" s="758" t="str">
        <f t="shared" si="36"/>
        <v/>
      </c>
      <c r="CJ12" s="758" t="str">
        <f t="shared" si="37"/>
        <v/>
      </c>
      <c r="CK12" s="758" t="str">
        <f t="shared" si="38"/>
        <v/>
      </c>
      <c r="CL12" s="758" t="str">
        <f t="shared" si="39"/>
        <v/>
      </c>
      <c r="CM12" s="758" t="str">
        <f t="shared" si="40"/>
        <v/>
      </c>
      <c r="CN12" s="758" t="str">
        <f t="shared" si="41"/>
        <v/>
      </c>
      <c r="CO12" s="758" t="str">
        <f t="shared" si="42"/>
        <v/>
      </c>
      <c r="CP12" s="758" t="str">
        <f t="shared" si="43"/>
        <v/>
      </c>
      <c r="CQ12" s="758" t="str">
        <f t="shared" si="44"/>
        <v/>
      </c>
      <c r="CR12" s="758" t="str">
        <f t="shared" si="45"/>
        <v/>
      </c>
      <c r="CS12" s="758" t="str">
        <f t="shared" si="46"/>
        <v/>
      </c>
      <c r="CT12" s="758" t="str">
        <f t="shared" si="47"/>
        <v/>
      </c>
      <c r="CU12" s="758" t="str">
        <f t="shared" si="48"/>
        <v/>
      </c>
      <c r="CV12" s="758" t="str">
        <f t="shared" si="49"/>
        <v/>
      </c>
      <c r="CW12" s="758" t="str">
        <f t="shared" si="50"/>
        <v/>
      </c>
      <c r="CX12" s="758" t="str">
        <f t="shared" si="51"/>
        <v/>
      </c>
      <c r="CY12" s="758" t="str">
        <f t="shared" si="52"/>
        <v/>
      </c>
      <c r="CZ12" s="758" t="str">
        <f t="shared" si="53"/>
        <v/>
      </c>
      <c r="DA12" s="758" t="str">
        <f t="shared" si="54"/>
        <v/>
      </c>
      <c r="DB12" s="758" t="str">
        <f t="shared" si="55"/>
        <v/>
      </c>
      <c r="DC12" s="758" t="str">
        <f t="shared" si="56"/>
        <v/>
      </c>
      <c r="DD12" s="758">
        <f t="shared" si="57"/>
        <v>48</v>
      </c>
      <c r="DE12" s="758" t="str">
        <f t="shared" si="58"/>
        <v/>
      </c>
      <c r="DF12" s="758" t="str">
        <f t="shared" si="59"/>
        <v/>
      </c>
      <c r="DG12" s="758" t="str">
        <f t="shared" si="60"/>
        <v/>
      </c>
      <c r="DH12" s="758" t="str">
        <f t="shared" si="61"/>
        <v/>
      </c>
      <c r="DI12" s="758" t="str">
        <f t="shared" si="62"/>
        <v/>
      </c>
      <c r="DJ12" s="758" t="str">
        <f t="shared" si="63"/>
        <v/>
      </c>
      <c r="DK12" s="758" t="str">
        <f t="shared" si="64"/>
        <v/>
      </c>
      <c r="DL12" s="758" t="str">
        <f t="shared" si="65"/>
        <v/>
      </c>
      <c r="DM12" s="758" t="str">
        <f t="shared" si="66"/>
        <v/>
      </c>
      <c r="DN12" s="758" t="str">
        <f t="shared" si="67"/>
        <v/>
      </c>
      <c r="DO12" s="758" t="str">
        <f t="shared" si="68"/>
        <v/>
      </c>
      <c r="DP12" s="758" t="str">
        <f t="shared" si="69"/>
        <v/>
      </c>
      <c r="DQ12" s="758" t="str">
        <f t="shared" si="70"/>
        <v/>
      </c>
      <c r="DR12" s="758" t="str">
        <f t="shared" si="71"/>
        <v/>
      </c>
      <c r="DS12" s="758" t="str">
        <f t="shared" si="72"/>
        <v/>
      </c>
      <c r="DT12" s="758" t="str">
        <f t="shared" si="73"/>
        <v/>
      </c>
      <c r="DU12" s="758" t="str">
        <f t="shared" si="74"/>
        <v/>
      </c>
      <c r="DV12" s="758" t="str">
        <f t="shared" si="75"/>
        <v/>
      </c>
      <c r="DW12" s="758" t="str">
        <f t="shared" si="76"/>
        <v/>
      </c>
      <c r="DX12" s="758" t="str">
        <f t="shared" si="77"/>
        <v/>
      </c>
      <c r="DY12" s="758" t="str">
        <f t="shared" si="78"/>
        <v/>
      </c>
      <c r="DZ12" s="758" t="str">
        <f t="shared" si="79"/>
        <v/>
      </c>
      <c r="EA12" s="758" t="str">
        <f t="shared" si="80"/>
        <v/>
      </c>
      <c r="EB12" s="758" t="str">
        <f t="shared" si="81"/>
        <v/>
      </c>
      <c r="EC12" s="758" t="str">
        <f t="shared" si="82"/>
        <v/>
      </c>
      <c r="ED12" s="758" t="str">
        <f t="shared" si="83"/>
        <v/>
      </c>
      <c r="EE12" s="758" t="str">
        <f t="shared" si="84"/>
        <v/>
      </c>
      <c r="EF12" s="758" t="str">
        <f t="shared" si="85"/>
        <v/>
      </c>
      <c r="EG12" s="758" t="str">
        <f t="shared" si="86"/>
        <v/>
      </c>
      <c r="EH12" s="758" t="str">
        <f t="shared" si="87"/>
        <v/>
      </c>
      <c r="EI12" s="758" t="str">
        <f t="shared" si="88"/>
        <v/>
      </c>
      <c r="EJ12" s="758" t="str">
        <f t="shared" si="89"/>
        <v/>
      </c>
      <c r="EK12" s="758" t="str">
        <f t="shared" si="90"/>
        <v/>
      </c>
      <c r="EL12" s="758" t="str">
        <f t="shared" si="91"/>
        <v/>
      </c>
      <c r="EM12" s="758" t="str">
        <f t="shared" si="92"/>
        <v/>
      </c>
      <c r="EN12" s="758" t="str">
        <f t="shared" si="93"/>
        <v/>
      </c>
      <c r="EO12" s="758" t="str">
        <f t="shared" si="94"/>
        <v/>
      </c>
      <c r="EP12" s="758" t="str">
        <f t="shared" si="95"/>
        <v/>
      </c>
      <c r="EQ12" s="758" t="str">
        <f t="shared" si="96"/>
        <v/>
      </c>
      <c r="ER12" s="758" t="str">
        <f t="shared" si="97"/>
        <v/>
      </c>
      <c r="ES12" s="758" t="str">
        <f t="shared" si="98"/>
        <v/>
      </c>
      <c r="ET12" s="758" t="str">
        <f t="shared" si="99"/>
        <v/>
      </c>
      <c r="EU12" s="758" t="str">
        <f t="shared" si="100"/>
        <v/>
      </c>
      <c r="EV12" s="778" t="str">
        <f t="shared" si="101"/>
        <v/>
      </c>
      <c r="EW12" s="778">
        <f t="shared" si="102"/>
        <v>48</v>
      </c>
      <c r="EX12" s="778" t="str">
        <f t="shared" si="103"/>
        <v/>
      </c>
      <c r="EY12" s="778" t="str">
        <f t="shared" si="104"/>
        <v/>
      </c>
      <c r="EZ12" s="778" t="str">
        <f t="shared" si="105"/>
        <v/>
      </c>
      <c r="FA12" s="778" t="str">
        <f t="shared" si="106"/>
        <v/>
      </c>
      <c r="FB12" s="778" t="str">
        <f t="shared" si="107"/>
        <v/>
      </c>
      <c r="FC12" s="778" t="str">
        <f t="shared" si="108"/>
        <v/>
      </c>
      <c r="FD12" s="778" t="str">
        <f t="shared" si="109"/>
        <v/>
      </c>
      <c r="FE12" s="778" t="str">
        <f t="shared" si="110"/>
        <v/>
      </c>
      <c r="FF12" s="778" t="str">
        <f t="shared" si="111"/>
        <v/>
      </c>
      <c r="FG12" s="778" t="str">
        <f t="shared" si="112"/>
        <v/>
      </c>
      <c r="FH12" s="778" t="str">
        <f t="shared" si="113"/>
        <v/>
      </c>
      <c r="FI12" s="778" t="str">
        <f t="shared" si="114"/>
        <v/>
      </c>
      <c r="FJ12" s="778" t="str">
        <f t="shared" si="115"/>
        <v/>
      </c>
      <c r="FK12" s="778" t="str">
        <f t="shared" si="116"/>
        <v/>
      </c>
      <c r="FL12" s="778" t="str">
        <f t="shared" si="117"/>
        <v/>
      </c>
      <c r="FM12" s="778" t="str">
        <f t="shared" si="118"/>
        <v/>
      </c>
      <c r="FN12" s="778" t="str">
        <f t="shared" si="119"/>
        <v/>
      </c>
      <c r="FO12" s="778" t="str">
        <f t="shared" si="120"/>
        <v/>
      </c>
      <c r="FP12" s="778" t="str">
        <f t="shared" si="121"/>
        <v/>
      </c>
      <c r="FQ12" s="778" t="str">
        <f t="shared" si="122"/>
        <v/>
      </c>
      <c r="FR12" s="778" t="str">
        <f t="shared" si="123"/>
        <v/>
      </c>
      <c r="FS12" s="778" t="str">
        <f t="shared" si="124"/>
        <v/>
      </c>
      <c r="FT12" s="778" t="str">
        <f t="shared" si="125"/>
        <v/>
      </c>
      <c r="FU12" s="778" t="str">
        <f t="shared" si="126"/>
        <v/>
      </c>
      <c r="FV12" s="778" t="str">
        <f t="shared" si="127"/>
        <v/>
      </c>
      <c r="FW12" s="778" t="str">
        <f t="shared" si="128"/>
        <v/>
      </c>
      <c r="FX12" s="778" t="str">
        <f t="shared" si="129"/>
        <v/>
      </c>
      <c r="FY12" s="778" t="str">
        <f t="shared" si="130"/>
        <v/>
      </c>
      <c r="FZ12" s="778" t="str">
        <f t="shared" si="131"/>
        <v/>
      </c>
      <c r="GA12" s="778" t="str">
        <f t="shared" si="132"/>
        <v/>
      </c>
      <c r="GB12" s="778" t="str">
        <f t="shared" si="133"/>
        <v/>
      </c>
      <c r="GC12" s="778" t="str">
        <f t="shared" si="134"/>
        <v/>
      </c>
      <c r="GD12" s="778" t="str">
        <f t="shared" si="135"/>
        <v/>
      </c>
      <c r="GE12" s="778" t="str">
        <f t="shared" si="136"/>
        <v/>
      </c>
      <c r="GF12" s="778" t="str">
        <f t="shared" si="137"/>
        <v/>
      </c>
      <c r="GG12" s="778" t="str">
        <f t="shared" si="138"/>
        <v/>
      </c>
      <c r="GH12" s="778" t="str">
        <f t="shared" si="139"/>
        <v/>
      </c>
      <c r="GI12" s="778" t="str">
        <f t="shared" si="140"/>
        <v/>
      </c>
      <c r="GJ12" s="778" t="str">
        <f t="shared" si="141"/>
        <v/>
      </c>
      <c r="GK12" s="778">
        <f t="shared" si="142"/>
        <v>48</v>
      </c>
      <c r="GL12" s="778" t="str">
        <f t="shared" si="143"/>
        <v/>
      </c>
      <c r="GM12" s="778" t="str">
        <f t="shared" si="144"/>
        <v/>
      </c>
      <c r="GN12" s="778" t="str">
        <f t="shared" si="145"/>
        <v/>
      </c>
      <c r="GO12" s="779" t="str">
        <f t="shared" si="146"/>
        <v/>
      </c>
      <c r="GP12" s="779" t="str">
        <f t="shared" si="147"/>
        <v/>
      </c>
      <c r="GQ12" s="779" t="str">
        <f t="shared" si="148"/>
        <v/>
      </c>
      <c r="GR12" s="779" t="str">
        <f t="shared" si="149"/>
        <v/>
      </c>
      <c r="GS12" s="779" t="str">
        <f t="shared" si="150"/>
        <v/>
      </c>
      <c r="GT12" s="758" t="str">
        <f t="shared" si="151"/>
        <v/>
      </c>
      <c r="GU12" s="758" t="str">
        <f t="shared" si="152"/>
        <v/>
      </c>
      <c r="GV12" s="758" t="str">
        <f t="shared" si="153"/>
        <v/>
      </c>
      <c r="GW12" s="758" t="str">
        <f t="shared" si="154"/>
        <v/>
      </c>
      <c r="GX12" s="758" t="str">
        <f t="shared" si="155"/>
        <v/>
      </c>
      <c r="GY12" s="758" t="str">
        <f t="shared" si="156"/>
        <v/>
      </c>
      <c r="GZ12" s="758" t="str">
        <f t="shared" si="157"/>
        <v/>
      </c>
      <c r="HA12" s="758" t="str">
        <f t="shared" si="158"/>
        <v/>
      </c>
      <c r="HB12" s="758" t="str">
        <f t="shared" si="159"/>
        <v/>
      </c>
      <c r="HC12" s="758" t="str">
        <f t="shared" si="160"/>
        <v/>
      </c>
      <c r="HD12" s="758" t="str">
        <f t="shared" si="161"/>
        <v/>
      </c>
      <c r="HE12" s="758" t="str">
        <f t="shared" si="162"/>
        <v/>
      </c>
      <c r="HF12" s="758" t="str">
        <f t="shared" si="163"/>
        <v/>
      </c>
      <c r="HG12" s="758" t="str">
        <f t="shared" si="164"/>
        <v/>
      </c>
      <c r="HH12" s="758" t="str">
        <f t="shared" si="165"/>
        <v/>
      </c>
      <c r="HI12" s="758" t="str">
        <f t="shared" si="166"/>
        <v/>
      </c>
      <c r="HJ12" s="758" t="str">
        <f t="shared" si="167"/>
        <v/>
      </c>
      <c r="HK12" s="758" t="str">
        <f t="shared" si="168"/>
        <v/>
      </c>
      <c r="HL12" s="758" t="str">
        <f t="shared" si="169"/>
        <v/>
      </c>
      <c r="HM12" s="758" t="str">
        <f t="shared" si="170"/>
        <v/>
      </c>
    </row>
    <row r="13" spans="1:255" ht="13.35" customHeight="1">
      <c r="A13" s="148" t="str">
        <f t="shared" si="171"/>
        <v/>
      </c>
      <c r="B13" s="1515" t="s">
        <v>2410</v>
      </c>
      <c r="C13" s="1516">
        <v>2</v>
      </c>
      <c r="D13" s="1517">
        <v>1</v>
      </c>
      <c r="E13" s="1518">
        <v>16</v>
      </c>
      <c r="F13" s="1518">
        <v>988.09</v>
      </c>
      <c r="G13" s="1518">
        <v>842</v>
      </c>
      <c r="H13" s="1518">
        <v>825</v>
      </c>
      <c r="I13" s="1518">
        <v>0</v>
      </c>
      <c r="J13" s="1519"/>
      <c r="K13" s="225">
        <f t="shared" si="172"/>
        <v>825</v>
      </c>
      <c r="L13" s="225">
        <f t="shared" si="0"/>
        <v>13200</v>
      </c>
      <c r="M13" s="1520" t="s">
        <v>61</v>
      </c>
      <c r="N13" s="1520" t="s">
        <v>67</v>
      </c>
      <c r="O13" s="1520" t="s">
        <v>936</v>
      </c>
      <c r="P13" s="674">
        <f>IF(H13="","",H13*12/0.3)</f>
        <v>33000</v>
      </c>
      <c r="Q13" s="675">
        <f>IF(H13="","",P13/($P$6*VLOOKUP(C13,'DCA Underwriting Assumptions'!$J$84:$K$89,2,FALSE)))</f>
        <v>0.52910052910052907</v>
      </c>
      <c r="R13" s="821"/>
      <c r="S13" s="675"/>
      <c r="T13" s="1455"/>
      <c r="U13" s="1456"/>
      <c r="V13" s="758" t="str">
        <f t="shared" si="1"/>
        <v/>
      </c>
      <c r="W13" s="758" t="str">
        <f t="shared" si="2"/>
        <v/>
      </c>
      <c r="X13" s="758">
        <f t="shared" si="3"/>
        <v>16</v>
      </c>
      <c r="Y13" s="758" t="str">
        <f t="shared" si="4"/>
        <v/>
      </c>
      <c r="Z13" s="758" t="str">
        <f t="shared" si="5"/>
        <v/>
      </c>
      <c r="AA13" s="758" t="str">
        <f t="shared" si="6"/>
        <v/>
      </c>
      <c r="AB13" s="758" t="str">
        <f t="shared" si="7"/>
        <v/>
      </c>
      <c r="AC13" s="758" t="str">
        <f t="shared" si="8"/>
        <v/>
      </c>
      <c r="AD13" s="758" t="str">
        <f t="shared" si="9"/>
        <v/>
      </c>
      <c r="AE13" s="758" t="str">
        <f t="shared" si="10"/>
        <v/>
      </c>
      <c r="AF13" s="758" t="str">
        <f t="shared" si="11"/>
        <v/>
      </c>
      <c r="AG13" s="758" t="str">
        <f t="shared" si="12"/>
        <v/>
      </c>
      <c r="AH13" s="758" t="str">
        <f t="shared" si="13"/>
        <v/>
      </c>
      <c r="AI13" s="758" t="str">
        <f t="shared" si="14"/>
        <v/>
      </c>
      <c r="AJ13" s="758" t="str">
        <f t="shared" si="15"/>
        <v/>
      </c>
      <c r="AK13" s="758" t="str">
        <f t="shared" si="16"/>
        <v/>
      </c>
      <c r="AL13" s="758" t="str">
        <f t="shared" si="17"/>
        <v/>
      </c>
      <c r="AM13" s="758" t="str">
        <f t="shared" si="18"/>
        <v/>
      </c>
      <c r="AN13" s="758" t="str">
        <f t="shared" si="19"/>
        <v/>
      </c>
      <c r="AO13" s="758" t="str">
        <f t="shared" si="20"/>
        <v/>
      </c>
      <c r="AP13" s="758" t="str">
        <f t="shared" si="173"/>
        <v/>
      </c>
      <c r="AQ13" s="758" t="str">
        <f t="shared" si="174"/>
        <v/>
      </c>
      <c r="AR13" s="758" t="str">
        <f t="shared" si="175"/>
        <v/>
      </c>
      <c r="AS13" s="758" t="str">
        <f t="shared" si="176"/>
        <v/>
      </c>
      <c r="AT13" s="758" t="str">
        <f t="shared" si="177"/>
        <v/>
      </c>
      <c r="AU13" s="758" t="str">
        <f t="shared" si="178"/>
        <v/>
      </c>
      <c r="AV13" s="758" t="str">
        <f t="shared" si="179"/>
        <v/>
      </c>
      <c r="AW13" s="758" t="str">
        <f t="shared" si="180"/>
        <v/>
      </c>
      <c r="AX13" s="758" t="str">
        <f t="shared" si="181"/>
        <v/>
      </c>
      <c r="AY13" s="758" t="str">
        <f t="shared" si="182"/>
        <v/>
      </c>
      <c r="AZ13" s="758" t="str">
        <f t="shared" si="183"/>
        <v/>
      </c>
      <c r="BA13" s="758" t="str">
        <f t="shared" si="184"/>
        <v/>
      </c>
      <c r="BB13" s="758" t="str">
        <f t="shared" si="185"/>
        <v/>
      </c>
      <c r="BC13" s="758" t="str">
        <f t="shared" si="186"/>
        <v/>
      </c>
      <c r="BD13" s="758" t="str">
        <f t="shared" si="187"/>
        <v/>
      </c>
      <c r="BE13" s="758" t="str">
        <f t="shared" si="188"/>
        <v/>
      </c>
      <c r="BF13" s="758" t="str">
        <f t="shared" si="189"/>
        <v/>
      </c>
      <c r="BG13" s="758" t="str">
        <f t="shared" si="190"/>
        <v/>
      </c>
      <c r="BH13" s="758" t="str">
        <f t="shared" si="191"/>
        <v/>
      </c>
      <c r="BI13" s="758" t="str">
        <f t="shared" si="192"/>
        <v/>
      </c>
      <c r="BJ13" s="758" t="str">
        <f t="shared" si="193"/>
        <v/>
      </c>
      <c r="BK13" s="758" t="str">
        <f t="shared" si="194"/>
        <v/>
      </c>
      <c r="BL13" s="758" t="str">
        <f t="shared" si="195"/>
        <v/>
      </c>
      <c r="BM13" s="758" t="str">
        <f t="shared" si="196"/>
        <v/>
      </c>
      <c r="BN13" s="758" t="str">
        <f t="shared" si="197"/>
        <v/>
      </c>
      <c r="BO13" s="758" t="str">
        <f t="shared" si="198"/>
        <v/>
      </c>
      <c r="BP13" s="758" t="str">
        <f t="shared" si="199"/>
        <v/>
      </c>
      <c r="BQ13" s="758" t="str">
        <f t="shared" si="200"/>
        <v/>
      </c>
      <c r="BR13" s="758" t="str">
        <f t="shared" si="201"/>
        <v/>
      </c>
      <c r="BS13" s="758" t="str">
        <f t="shared" si="202"/>
        <v/>
      </c>
      <c r="BT13" s="758" t="str">
        <f t="shared" si="21"/>
        <v/>
      </c>
      <c r="BU13" s="758" t="str">
        <f t="shared" si="22"/>
        <v/>
      </c>
      <c r="BV13" s="758" t="str">
        <f t="shared" si="23"/>
        <v/>
      </c>
      <c r="BW13" s="758" t="str">
        <f t="shared" si="24"/>
        <v/>
      </c>
      <c r="BX13" s="758" t="str">
        <f t="shared" si="25"/>
        <v/>
      </c>
      <c r="BY13" s="758" t="str">
        <f t="shared" si="26"/>
        <v/>
      </c>
      <c r="BZ13" s="758" t="str">
        <f t="shared" si="27"/>
        <v/>
      </c>
      <c r="CA13" s="758">
        <f t="shared" si="28"/>
        <v>15809.44</v>
      </c>
      <c r="CB13" s="758" t="str">
        <f t="shared" si="29"/>
        <v/>
      </c>
      <c r="CC13" s="758" t="str">
        <f t="shared" si="30"/>
        <v/>
      </c>
      <c r="CD13" s="758" t="str">
        <f t="shared" si="31"/>
        <v/>
      </c>
      <c r="CE13" s="758" t="str">
        <f t="shared" si="32"/>
        <v/>
      </c>
      <c r="CF13" s="758" t="str">
        <f t="shared" si="33"/>
        <v/>
      </c>
      <c r="CG13" s="758" t="str">
        <f t="shared" si="34"/>
        <v/>
      </c>
      <c r="CH13" s="758" t="str">
        <f t="shared" si="35"/>
        <v/>
      </c>
      <c r="CI13" s="758" t="str">
        <f t="shared" si="36"/>
        <v/>
      </c>
      <c r="CJ13" s="758" t="str">
        <f t="shared" si="37"/>
        <v/>
      </c>
      <c r="CK13" s="758" t="str">
        <f t="shared" si="38"/>
        <v/>
      </c>
      <c r="CL13" s="758" t="str">
        <f t="shared" si="39"/>
        <v/>
      </c>
      <c r="CM13" s="758" t="str">
        <f t="shared" si="40"/>
        <v/>
      </c>
      <c r="CN13" s="758" t="str">
        <f t="shared" si="41"/>
        <v/>
      </c>
      <c r="CO13" s="758" t="str">
        <f t="shared" si="42"/>
        <v/>
      </c>
      <c r="CP13" s="758" t="str">
        <f t="shared" si="43"/>
        <v/>
      </c>
      <c r="CQ13" s="758" t="str">
        <f t="shared" si="44"/>
        <v/>
      </c>
      <c r="CR13" s="758" t="str">
        <f t="shared" si="45"/>
        <v/>
      </c>
      <c r="CS13" s="758" t="str">
        <f t="shared" si="46"/>
        <v/>
      </c>
      <c r="CT13" s="758" t="str">
        <f t="shared" si="47"/>
        <v/>
      </c>
      <c r="CU13" s="758" t="str">
        <f t="shared" si="48"/>
        <v/>
      </c>
      <c r="CV13" s="758" t="str">
        <f t="shared" si="49"/>
        <v/>
      </c>
      <c r="CW13" s="758" t="str">
        <f t="shared" si="50"/>
        <v/>
      </c>
      <c r="CX13" s="758" t="str">
        <f t="shared" si="51"/>
        <v/>
      </c>
      <c r="CY13" s="758" t="str">
        <f t="shared" si="52"/>
        <v/>
      </c>
      <c r="CZ13" s="758" t="str">
        <f t="shared" si="53"/>
        <v/>
      </c>
      <c r="DA13" s="758" t="str">
        <f t="shared" si="54"/>
        <v/>
      </c>
      <c r="DB13" s="758" t="str">
        <f t="shared" si="55"/>
        <v/>
      </c>
      <c r="DC13" s="758" t="str">
        <f t="shared" si="56"/>
        <v/>
      </c>
      <c r="DD13" s="758" t="str">
        <f t="shared" si="57"/>
        <v/>
      </c>
      <c r="DE13" s="758">
        <f t="shared" si="58"/>
        <v>16</v>
      </c>
      <c r="DF13" s="758" t="str">
        <f t="shared" si="59"/>
        <v/>
      </c>
      <c r="DG13" s="758" t="str">
        <f t="shared" si="60"/>
        <v/>
      </c>
      <c r="DH13" s="758" t="str">
        <f t="shared" si="61"/>
        <v/>
      </c>
      <c r="DI13" s="758" t="str">
        <f t="shared" si="62"/>
        <v/>
      </c>
      <c r="DJ13" s="758" t="str">
        <f t="shared" si="63"/>
        <v/>
      </c>
      <c r="DK13" s="758" t="str">
        <f t="shared" si="64"/>
        <v/>
      </c>
      <c r="DL13" s="758" t="str">
        <f t="shared" si="65"/>
        <v/>
      </c>
      <c r="DM13" s="758" t="str">
        <f t="shared" si="66"/>
        <v/>
      </c>
      <c r="DN13" s="758" t="str">
        <f t="shared" si="67"/>
        <v/>
      </c>
      <c r="DO13" s="758" t="str">
        <f t="shared" si="68"/>
        <v/>
      </c>
      <c r="DP13" s="758" t="str">
        <f t="shared" si="69"/>
        <v/>
      </c>
      <c r="DQ13" s="758" t="str">
        <f t="shared" si="70"/>
        <v/>
      </c>
      <c r="DR13" s="758" t="str">
        <f t="shared" si="71"/>
        <v/>
      </c>
      <c r="DS13" s="758" t="str">
        <f t="shared" si="72"/>
        <v/>
      </c>
      <c r="DT13" s="758" t="str">
        <f t="shared" si="73"/>
        <v/>
      </c>
      <c r="DU13" s="758" t="str">
        <f t="shared" si="74"/>
        <v/>
      </c>
      <c r="DV13" s="758" t="str">
        <f t="shared" si="75"/>
        <v/>
      </c>
      <c r="DW13" s="758" t="str">
        <f t="shared" si="76"/>
        <v/>
      </c>
      <c r="DX13" s="758" t="str">
        <f t="shared" si="77"/>
        <v/>
      </c>
      <c r="DY13" s="758" t="str">
        <f t="shared" si="78"/>
        <v/>
      </c>
      <c r="DZ13" s="758" t="str">
        <f t="shared" si="79"/>
        <v/>
      </c>
      <c r="EA13" s="758" t="str">
        <f t="shared" si="80"/>
        <v/>
      </c>
      <c r="EB13" s="758" t="str">
        <f t="shared" si="81"/>
        <v/>
      </c>
      <c r="EC13" s="758" t="str">
        <f t="shared" si="82"/>
        <v/>
      </c>
      <c r="ED13" s="758" t="str">
        <f t="shared" si="83"/>
        <v/>
      </c>
      <c r="EE13" s="758" t="str">
        <f t="shared" si="84"/>
        <v/>
      </c>
      <c r="EF13" s="758" t="str">
        <f t="shared" si="85"/>
        <v/>
      </c>
      <c r="EG13" s="758" t="str">
        <f t="shared" si="86"/>
        <v/>
      </c>
      <c r="EH13" s="758" t="str">
        <f t="shared" si="87"/>
        <v/>
      </c>
      <c r="EI13" s="758" t="str">
        <f t="shared" si="88"/>
        <v/>
      </c>
      <c r="EJ13" s="758" t="str">
        <f t="shared" si="89"/>
        <v/>
      </c>
      <c r="EK13" s="758" t="str">
        <f t="shared" si="90"/>
        <v/>
      </c>
      <c r="EL13" s="758" t="str">
        <f t="shared" si="91"/>
        <v/>
      </c>
      <c r="EM13" s="758" t="str">
        <f t="shared" si="92"/>
        <v/>
      </c>
      <c r="EN13" s="758" t="str">
        <f t="shared" si="93"/>
        <v/>
      </c>
      <c r="EO13" s="758" t="str">
        <f t="shared" si="94"/>
        <v/>
      </c>
      <c r="EP13" s="758" t="str">
        <f t="shared" si="95"/>
        <v/>
      </c>
      <c r="EQ13" s="758" t="str">
        <f t="shared" si="96"/>
        <v/>
      </c>
      <c r="ER13" s="758" t="str">
        <f t="shared" si="97"/>
        <v/>
      </c>
      <c r="ES13" s="758" t="str">
        <f t="shared" si="98"/>
        <v/>
      </c>
      <c r="ET13" s="758" t="str">
        <f t="shared" si="99"/>
        <v/>
      </c>
      <c r="EU13" s="758" t="str">
        <f t="shared" si="100"/>
        <v/>
      </c>
      <c r="EV13" s="778" t="str">
        <f t="shared" si="101"/>
        <v/>
      </c>
      <c r="EW13" s="778" t="str">
        <f t="shared" si="102"/>
        <v/>
      </c>
      <c r="EX13" s="778">
        <f t="shared" si="103"/>
        <v>16</v>
      </c>
      <c r="EY13" s="778" t="str">
        <f t="shared" si="104"/>
        <v/>
      </c>
      <c r="EZ13" s="778" t="str">
        <f t="shared" si="105"/>
        <v/>
      </c>
      <c r="FA13" s="778" t="str">
        <f t="shared" si="106"/>
        <v/>
      </c>
      <c r="FB13" s="778" t="str">
        <f t="shared" si="107"/>
        <v/>
      </c>
      <c r="FC13" s="778" t="str">
        <f t="shared" si="108"/>
        <v/>
      </c>
      <c r="FD13" s="778" t="str">
        <f t="shared" si="109"/>
        <v/>
      </c>
      <c r="FE13" s="778" t="str">
        <f t="shared" si="110"/>
        <v/>
      </c>
      <c r="FF13" s="778" t="str">
        <f t="shared" si="111"/>
        <v/>
      </c>
      <c r="FG13" s="778" t="str">
        <f t="shared" si="112"/>
        <v/>
      </c>
      <c r="FH13" s="778" t="str">
        <f t="shared" si="113"/>
        <v/>
      </c>
      <c r="FI13" s="778" t="str">
        <f t="shared" si="114"/>
        <v/>
      </c>
      <c r="FJ13" s="778" t="str">
        <f t="shared" si="115"/>
        <v/>
      </c>
      <c r="FK13" s="778" t="str">
        <f t="shared" si="116"/>
        <v/>
      </c>
      <c r="FL13" s="778" t="str">
        <f t="shared" si="117"/>
        <v/>
      </c>
      <c r="FM13" s="778" t="str">
        <f t="shared" si="118"/>
        <v/>
      </c>
      <c r="FN13" s="778" t="str">
        <f t="shared" si="119"/>
        <v/>
      </c>
      <c r="FO13" s="778" t="str">
        <f t="shared" si="120"/>
        <v/>
      </c>
      <c r="FP13" s="778" t="str">
        <f t="shared" si="121"/>
        <v/>
      </c>
      <c r="FQ13" s="778" t="str">
        <f t="shared" si="122"/>
        <v/>
      </c>
      <c r="FR13" s="778" t="str">
        <f t="shared" si="123"/>
        <v/>
      </c>
      <c r="FS13" s="778" t="str">
        <f t="shared" si="124"/>
        <v/>
      </c>
      <c r="FT13" s="778" t="str">
        <f t="shared" si="125"/>
        <v/>
      </c>
      <c r="FU13" s="778" t="str">
        <f t="shared" si="126"/>
        <v/>
      </c>
      <c r="FV13" s="778" t="str">
        <f t="shared" si="127"/>
        <v/>
      </c>
      <c r="FW13" s="778" t="str">
        <f t="shared" si="128"/>
        <v/>
      </c>
      <c r="FX13" s="778" t="str">
        <f t="shared" si="129"/>
        <v/>
      </c>
      <c r="FY13" s="778" t="str">
        <f t="shared" si="130"/>
        <v/>
      </c>
      <c r="FZ13" s="778" t="str">
        <f t="shared" si="131"/>
        <v/>
      </c>
      <c r="GA13" s="778" t="str">
        <f t="shared" si="132"/>
        <v/>
      </c>
      <c r="GB13" s="778" t="str">
        <f t="shared" si="133"/>
        <v/>
      </c>
      <c r="GC13" s="778" t="str">
        <f t="shared" si="134"/>
        <v/>
      </c>
      <c r="GD13" s="778" t="str">
        <f t="shared" si="135"/>
        <v/>
      </c>
      <c r="GE13" s="778" t="str">
        <f t="shared" si="136"/>
        <v/>
      </c>
      <c r="GF13" s="778" t="str">
        <f t="shared" si="137"/>
        <v/>
      </c>
      <c r="GG13" s="778" t="str">
        <f t="shared" si="138"/>
        <v/>
      </c>
      <c r="GH13" s="778" t="str">
        <f t="shared" si="139"/>
        <v/>
      </c>
      <c r="GI13" s="778" t="str">
        <f t="shared" si="140"/>
        <v/>
      </c>
      <c r="GJ13" s="778" t="str">
        <f t="shared" si="141"/>
        <v/>
      </c>
      <c r="GK13" s="778" t="str">
        <f t="shared" si="142"/>
        <v/>
      </c>
      <c r="GL13" s="778">
        <f t="shared" si="143"/>
        <v>16</v>
      </c>
      <c r="GM13" s="778" t="str">
        <f t="shared" si="144"/>
        <v/>
      </c>
      <c r="GN13" s="778" t="str">
        <f t="shared" si="145"/>
        <v/>
      </c>
      <c r="GO13" s="779" t="str">
        <f t="shared" si="146"/>
        <v/>
      </c>
      <c r="GP13" s="779" t="str">
        <f t="shared" si="147"/>
        <v/>
      </c>
      <c r="GQ13" s="779" t="str">
        <f t="shared" si="148"/>
        <v/>
      </c>
      <c r="GR13" s="779" t="str">
        <f t="shared" si="149"/>
        <v/>
      </c>
      <c r="GS13" s="779" t="str">
        <f t="shared" si="150"/>
        <v/>
      </c>
      <c r="GT13" s="758" t="str">
        <f t="shared" si="151"/>
        <v/>
      </c>
      <c r="GU13" s="758" t="str">
        <f t="shared" si="152"/>
        <v/>
      </c>
      <c r="GV13" s="758" t="str">
        <f t="shared" si="153"/>
        <v/>
      </c>
      <c r="GW13" s="758" t="str">
        <f t="shared" si="154"/>
        <v/>
      </c>
      <c r="GX13" s="758" t="str">
        <f t="shared" si="155"/>
        <v/>
      </c>
      <c r="GY13" s="758" t="str">
        <f t="shared" si="156"/>
        <v/>
      </c>
      <c r="GZ13" s="758" t="str">
        <f t="shared" si="157"/>
        <v/>
      </c>
      <c r="HA13" s="758" t="str">
        <f t="shared" si="158"/>
        <v/>
      </c>
      <c r="HB13" s="758" t="str">
        <f t="shared" si="159"/>
        <v/>
      </c>
      <c r="HC13" s="758" t="str">
        <f t="shared" si="160"/>
        <v/>
      </c>
      <c r="HD13" s="758" t="str">
        <f t="shared" si="161"/>
        <v/>
      </c>
      <c r="HE13" s="758" t="str">
        <f t="shared" si="162"/>
        <v/>
      </c>
      <c r="HF13" s="758" t="str">
        <f t="shared" si="163"/>
        <v/>
      </c>
      <c r="HG13" s="758" t="str">
        <f t="shared" si="164"/>
        <v/>
      </c>
      <c r="HH13" s="758" t="str">
        <f t="shared" si="165"/>
        <v/>
      </c>
      <c r="HI13" s="758" t="str">
        <f t="shared" si="166"/>
        <v/>
      </c>
      <c r="HJ13" s="758" t="str">
        <f t="shared" si="167"/>
        <v/>
      </c>
      <c r="HK13" s="758" t="str">
        <f t="shared" si="168"/>
        <v/>
      </c>
      <c r="HL13" s="758" t="str">
        <f t="shared" si="169"/>
        <v/>
      </c>
      <c r="HM13" s="758" t="str">
        <f t="shared" si="170"/>
        <v/>
      </c>
    </row>
    <row r="14" spans="1:255" ht="13.35" customHeight="1">
      <c r="A14" s="148" t="str">
        <f t="shared" si="171"/>
        <v/>
      </c>
      <c r="B14" s="1515" t="s">
        <v>3724</v>
      </c>
      <c r="C14" s="1516">
        <v>1</v>
      </c>
      <c r="D14" s="1517">
        <v>1</v>
      </c>
      <c r="E14" s="1518">
        <v>5</v>
      </c>
      <c r="F14" s="1518">
        <v>738.48</v>
      </c>
      <c r="G14" s="1518">
        <v>0</v>
      </c>
      <c r="H14" s="1518">
        <v>705</v>
      </c>
      <c r="I14" s="1518">
        <v>0</v>
      </c>
      <c r="J14" s="1519"/>
      <c r="K14" s="225">
        <f t="shared" si="172"/>
        <v>705</v>
      </c>
      <c r="L14" s="225">
        <f t="shared" si="0"/>
        <v>3525</v>
      </c>
      <c r="M14" s="1520" t="s">
        <v>61</v>
      </c>
      <c r="N14" s="1520" t="s">
        <v>67</v>
      </c>
      <c r="O14" s="1520" t="s">
        <v>936</v>
      </c>
      <c r="P14" s="674">
        <f>IF(H14="","",H14*12/0.3)</f>
        <v>28200</v>
      </c>
      <c r="Q14" s="675">
        <f>IF(H14="","",P14/($P$6*VLOOKUP(C14,'DCA Underwriting Assumptions'!$J$84:$K$89,2,FALSE)))</f>
        <v>0.54256854256854259</v>
      </c>
      <c r="R14" s="821"/>
      <c r="S14" s="675"/>
      <c r="T14" s="1455"/>
      <c r="U14" s="1456"/>
      <c r="V14" s="758" t="str">
        <f t="shared" si="1"/>
        <v/>
      </c>
      <c r="W14" s="758" t="str">
        <f t="shared" si="2"/>
        <v/>
      </c>
      <c r="X14" s="758" t="str">
        <f t="shared" si="3"/>
        <v/>
      </c>
      <c r="Y14" s="758" t="str">
        <f t="shared" si="4"/>
        <v/>
      </c>
      <c r="Z14" s="758" t="str">
        <f t="shared" si="5"/>
        <v/>
      </c>
      <c r="AA14" s="758" t="str">
        <f t="shared" si="6"/>
        <v/>
      </c>
      <c r="AB14" s="758" t="str">
        <f t="shared" si="7"/>
        <v/>
      </c>
      <c r="AC14" s="758" t="str">
        <f t="shared" si="8"/>
        <v/>
      </c>
      <c r="AD14" s="758" t="str">
        <f t="shared" si="9"/>
        <v/>
      </c>
      <c r="AE14" s="758" t="str">
        <f t="shared" si="10"/>
        <v/>
      </c>
      <c r="AF14" s="758" t="str">
        <f t="shared" si="11"/>
        <v/>
      </c>
      <c r="AG14" s="758" t="str">
        <f t="shared" si="12"/>
        <v/>
      </c>
      <c r="AH14" s="758" t="str">
        <f t="shared" si="13"/>
        <v/>
      </c>
      <c r="AI14" s="758" t="str">
        <f t="shared" si="14"/>
        <v/>
      </c>
      <c r="AJ14" s="758" t="str">
        <f t="shared" si="15"/>
        <v/>
      </c>
      <c r="AK14" s="758" t="str">
        <f t="shared" si="16"/>
        <v/>
      </c>
      <c r="AL14" s="758">
        <f t="shared" si="17"/>
        <v>5</v>
      </c>
      <c r="AM14" s="758" t="str">
        <f t="shared" si="18"/>
        <v/>
      </c>
      <c r="AN14" s="758" t="str">
        <f t="shared" si="19"/>
        <v/>
      </c>
      <c r="AO14" s="758" t="str">
        <f t="shared" si="20"/>
        <v/>
      </c>
      <c r="AP14" s="758" t="str">
        <f t="shared" si="173"/>
        <v/>
      </c>
      <c r="AQ14" s="758" t="str">
        <f t="shared" si="174"/>
        <v/>
      </c>
      <c r="AR14" s="758" t="str">
        <f t="shared" si="175"/>
        <v/>
      </c>
      <c r="AS14" s="758" t="str">
        <f t="shared" si="176"/>
        <v/>
      </c>
      <c r="AT14" s="758" t="str">
        <f t="shared" si="177"/>
        <v/>
      </c>
      <c r="AU14" s="758" t="str">
        <f t="shared" si="178"/>
        <v/>
      </c>
      <c r="AV14" s="758" t="str">
        <f t="shared" si="179"/>
        <v/>
      </c>
      <c r="AW14" s="758" t="str">
        <f t="shared" si="180"/>
        <v/>
      </c>
      <c r="AX14" s="758" t="str">
        <f t="shared" si="181"/>
        <v/>
      </c>
      <c r="AY14" s="758" t="str">
        <f t="shared" si="182"/>
        <v/>
      </c>
      <c r="AZ14" s="758" t="str">
        <f t="shared" si="183"/>
        <v/>
      </c>
      <c r="BA14" s="758" t="str">
        <f t="shared" si="184"/>
        <v/>
      </c>
      <c r="BB14" s="758" t="str">
        <f t="shared" si="185"/>
        <v/>
      </c>
      <c r="BC14" s="758" t="str">
        <f t="shared" si="186"/>
        <v/>
      </c>
      <c r="BD14" s="758" t="str">
        <f t="shared" si="187"/>
        <v/>
      </c>
      <c r="BE14" s="758" t="str">
        <f t="shared" si="188"/>
        <v/>
      </c>
      <c r="BF14" s="758" t="str">
        <f t="shared" si="189"/>
        <v/>
      </c>
      <c r="BG14" s="758" t="str">
        <f t="shared" si="190"/>
        <v/>
      </c>
      <c r="BH14" s="758" t="str">
        <f t="shared" si="191"/>
        <v/>
      </c>
      <c r="BI14" s="758" t="str">
        <f t="shared" si="192"/>
        <v/>
      </c>
      <c r="BJ14" s="758" t="str">
        <f t="shared" si="193"/>
        <v/>
      </c>
      <c r="BK14" s="758" t="str">
        <f t="shared" si="194"/>
        <v/>
      </c>
      <c r="BL14" s="758" t="str">
        <f t="shared" si="195"/>
        <v/>
      </c>
      <c r="BM14" s="758" t="str">
        <f t="shared" si="196"/>
        <v/>
      </c>
      <c r="BN14" s="758" t="str">
        <f t="shared" si="197"/>
        <v/>
      </c>
      <c r="BO14" s="758" t="str">
        <f t="shared" si="198"/>
        <v/>
      </c>
      <c r="BP14" s="758" t="str">
        <f t="shared" si="199"/>
        <v/>
      </c>
      <c r="BQ14" s="758" t="str">
        <f t="shared" si="200"/>
        <v/>
      </c>
      <c r="BR14" s="758" t="str">
        <f t="shared" si="201"/>
        <v/>
      </c>
      <c r="BS14" s="758" t="str">
        <f t="shared" si="202"/>
        <v/>
      </c>
      <c r="BT14" s="758" t="str">
        <f t="shared" si="21"/>
        <v/>
      </c>
      <c r="BU14" s="758" t="str">
        <f t="shared" si="22"/>
        <v/>
      </c>
      <c r="BV14" s="758" t="str">
        <f t="shared" si="23"/>
        <v/>
      </c>
      <c r="BW14" s="758" t="str">
        <f t="shared" si="24"/>
        <v/>
      </c>
      <c r="BX14" s="758" t="str">
        <f t="shared" si="25"/>
        <v/>
      </c>
      <c r="BY14" s="758" t="str">
        <f t="shared" si="26"/>
        <v/>
      </c>
      <c r="BZ14" s="758" t="str">
        <f t="shared" si="27"/>
        <v/>
      </c>
      <c r="CA14" s="758" t="str">
        <f t="shared" si="28"/>
        <v/>
      </c>
      <c r="CB14" s="758" t="str">
        <f t="shared" si="29"/>
        <v/>
      </c>
      <c r="CC14" s="758" t="str">
        <f t="shared" si="30"/>
        <v/>
      </c>
      <c r="CD14" s="758" t="str">
        <f t="shared" si="31"/>
        <v/>
      </c>
      <c r="CE14" s="758" t="str">
        <f t="shared" si="32"/>
        <v/>
      </c>
      <c r="CF14" s="758" t="str">
        <f t="shared" si="33"/>
        <v/>
      </c>
      <c r="CG14" s="758" t="str">
        <f t="shared" si="34"/>
        <v/>
      </c>
      <c r="CH14" s="758" t="str">
        <f t="shared" si="35"/>
        <v/>
      </c>
      <c r="CI14" s="758" t="str">
        <f t="shared" si="36"/>
        <v/>
      </c>
      <c r="CJ14" s="758" t="str">
        <f t="shared" si="37"/>
        <v/>
      </c>
      <c r="CK14" s="758" t="str">
        <f t="shared" si="38"/>
        <v/>
      </c>
      <c r="CL14" s="758" t="str">
        <f t="shared" si="39"/>
        <v/>
      </c>
      <c r="CM14" s="758" t="str">
        <f t="shared" si="40"/>
        <v/>
      </c>
      <c r="CN14" s="758" t="str">
        <f t="shared" si="41"/>
        <v/>
      </c>
      <c r="CO14" s="758">
        <f t="shared" si="42"/>
        <v>3692.4</v>
      </c>
      <c r="CP14" s="758" t="str">
        <f t="shared" si="43"/>
        <v/>
      </c>
      <c r="CQ14" s="758" t="str">
        <f t="shared" si="44"/>
        <v/>
      </c>
      <c r="CR14" s="758" t="str">
        <f t="shared" si="45"/>
        <v/>
      </c>
      <c r="CS14" s="758" t="str">
        <f t="shared" si="46"/>
        <v/>
      </c>
      <c r="CT14" s="758" t="str">
        <f t="shared" si="47"/>
        <v/>
      </c>
      <c r="CU14" s="758" t="str">
        <f t="shared" si="48"/>
        <v/>
      </c>
      <c r="CV14" s="758" t="str">
        <f t="shared" si="49"/>
        <v/>
      </c>
      <c r="CW14" s="758" t="str">
        <f t="shared" si="50"/>
        <v/>
      </c>
      <c r="CX14" s="758" t="str">
        <f t="shared" si="51"/>
        <v/>
      </c>
      <c r="CY14" s="758" t="str">
        <f t="shared" si="52"/>
        <v/>
      </c>
      <c r="CZ14" s="758" t="str">
        <f t="shared" si="53"/>
        <v/>
      </c>
      <c r="DA14" s="758" t="str">
        <f t="shared" si="54"/>
        <v/>
      </c>
      <c r="DB14" s="758" t="str">
        <f t="shared" si="55"/>
        <v/>
      </c>
      <c r="DC14" s="758" t="str">
        <f t="shared" si="56"/>
        <v/>
      </c>
      <c r="DD14" s="758" t="str">
        <f t="shared" si="57"/>
        <v/>
      </c>
      <c r="DE14" s="758" t="str">
        <f t="shared" si="58"/>
        <v/>
      </c>
      <c r="DF14" s="758" t="str">
        <f t="shared" si="59"/>
        <v/>
      </c>
      <c r="DG14" s="758" t="str">
        <f t="shared" si="60"/>
        <v/>
      </c>
      <c r="DH14" s="758" t="str">
        <f t="shared" si="61"/>
        <v/>
      </c>
      <c r="DI14" s="758">
        <f t="shared" si="62"/>
        <v>5</v>
      </c>
      <c r="DJ14" s="758" t="str">
        <f t="shared" si="63"/>
        <v/>
      </c>
      <c r="DK14" s="758" t="str">
        <f t="shared" si="64"/>
        <v/>
      </c>
      <c r="DL14" s="758" t="str">
        <f t="shared" si="65"/>
        <v/>
      </c>
      <c r="DM14" s="758" t="str">
        <f t="shared" si="66"/>
        <v/>
      </c>
      <c r="DN14" s="758" t="str">
        <f t="shared" si="67"/>
        <v/>
      </c>
      <c r="DO14" s="758" t="str">
        <f t="shared" si="68"/>
        <v/>
      </c>
      <c r="DP14" s="758" t="str">
        <f t="shared" si="69"/>
        <v/>
      </c>
      <c r="DQ14" s="758" t="str">
        <f t="shared" si="70"/>
        <v/>
      </c>
      <c r="DR14" s="758" t="str">
        <f t="shared" si="71"/>
        <v/>
      </c>
      <c r="DS14" s="758" t="str">
        <f t="shared" si="72"/>
        <v/>
      </c>
      <c r="DT14" s="758" t="str">
        <f t="shared" si="73"/>
        <v/>
      </c>
      <c r="DU14" s="758" t="str">
        <f t="shared" si="74"/>
        <v/>
      </c>
      <c r="DV14" s="758" t="str">
        <f t="shared" si="75"/>
        <v/>
      </c>
      <c r="DW14" s="758" t="str">
        <f t="shared" si="76"/>
        <v/>
      </c>
      <c r="DX14" s="758" t="str">
        <f t="shared" si="77"/>
        <v/>
      </c>
      <c r="DY14" s="758" t="str">
        <f t="shared" si="78"/>
        <v/>
      </c>
      <c r="DZ14" s="758" t="str">
        <f t="shared" si="79"/>
        <v/>
      </c>
      <c r="EA14" s="758" t="str">
        <f t="shared" si="80"/>
        <v/>
      </c>
      <c r="EB14" s="758" t="str">
        <f t="shared" si="81"/>
        <v/>
      </c>
      <c r="EC14" s="758" t="str">
        <f t="shared" si="82"/>
        <v/>
      </c>
      <c r="ED14" s="758" t="str">
        <f t="shared" si="83"/>
        <v/>
      </c>
      <c r="EE14" s="758" t="str">
        <f t="shared" si="84"/>
        <v/>
      </c>
      <c r="EF14" s="758" t="str">
        <f t="shared" si="85"/>
        <v/>
      </c>
      <c r="EG14" s="758" t="str">
        <f t="shared" si="86"/>
        <v/>
      </c>
      <c r="EH14" s="758" t="str">
        <f t="shared" si="87"/>
        <v/>
      </c>
      <c r="EI14" s="758" t="str">
        <f t="shared" si="88"/>
        <v/>
      </c>
      <c r="EJ14" s="758" t="str">
        <f t="shared" si="89"/>
        <v/>
      </c>
      <c r="EK14" s="758" t="str">
        <f t="shared" si="90"/>
        <v/>
      </c>
      <c r="EL14" s="758" t="str">
        <f t="shared" si="91"/>
        <v/>
      </c>
      <c r="EM14" s="758" t="str">
        <f t="shared" si="92"/>
        <v/>
      </c>
      <c r="EN14" s="758" t="str">
        <f t="shared" si="93"/>
        <v/>
      </c>
      <c r="EO14" s="758" t="str">
        <f t="shared" si="94"/>
        <v/>
      </c>
      <c r="EP14" s="758" t="str">
        <f t="shared" si="95"/>
        <v/>
      </c>
      <c r="EQ14" s="758" t="str">
        <f t="shared" si="96"/>
        <v/>
      </c>
      <c r="ER14" s="758" t="str">
        <f t="shared" si="97"/>
        <v/>
      </c>
      <c r="ES14" s="758" t="str">
        <f t="shared" si="98"/>
        <v/>
      </c>
      <c r="ET14" s="758" t="str">
        <f t="shared" si="99"/>
        <v/>
      </c>
      <c r="EU14" s="758" t="str">
        <f t="shared" si="100"/>
        <v/>
      </c>
      <c r="EV14" s="778" t="str">
        <f t="shared" si="101"/>
        <v/>
      </c>
      <c r="EW14" s="778">
        <f t="shared" si="102"/>
        <v>5</v>
      </c>
      <c r="EX14" s="778" t="str">
        <f t="shared" si="103"/>
        <v/>
      </c>
      <c r="EY14" s="778" t="str">
        <f t="shared" si="104"/>
        <v/>
      </c>
      <c r="EZ14" s="778" t="str">
        <f t="shared" si="105"/>
        <v/>
      </c>
      <c r="FA14" s="778" t="str">
        <f t="shared" si="106"/>
        <v/>
      </c>
      <c r="FB14" s="778" t="str">
        <f t="shared" si="107"/>
        <v/>
      </c>
      <c r="FC14" s="778" t="str">
        <f t="shared" si="108"/>
        <v/>
      </c>
      <c r="FD14" s="778" t="str">
        <f t="shared" si="109"/>
        <v/>
      </c>
      <c r="FE14" s="778" t="str">
        <f t="shared" si="110"/>
        <v/>
      </c>
      <c r="FF14" s="778" t="str">
        <f t="shared" si="111"/>
        <v/>
      </c>
      <c r="FG14" s="778" t="str">
        <f t="shared" si="112"/>
        <v/>
      </c>
      <c r="FH14" s="778" t="str">
        <f t="shared" si="113"/>
        <v/>
      </c>
      <c r="FI14" s="778" t="str">
        <f t="shared" si="114"/>
        <v/>
      </c>
      <c r="FJ14" s="778" t="str">
        <f t="shared" si="115"/>
        <v/>
      </c>
      <c r="FK14" s="778" t="str">
        <f t="shared" si="116"/>
        <v/>
      </c>
      <c r="FL14" s="778" t="str">
        <f t="shared" si="117"/>
        <v/>
      </c>
      <c r="FM14" s="778" t="str">
        <f t="shared" si="118"/>
        <v/>
      </c>
      <c r="FN14" s="778" t="str">
        <f t="shared" si="119"/>
        <v/>
      </c>
      <c r="FO14" s="778" t="str">
        <f t="shared" si="120"/>
        <v/>
      </c>
      <c r="FP14" s="778" t="str">
        <f t="shared" si="121"/>
        <v/>
      </c>
      <c r="FQ14" s="778" t="str">
        <f t="shared" si="122"/>
        <v/>
      </c>
      <c r="FR14" s="778" t="str">
        <f t="shared" si="123"/>
        <v/>
      </c>
      <c r="FS14" s="778" t="str">
        <f t="shared" si="124"/>
        <v/>
      </c>
      <c r="FT14" s="778" t="str">
        <f t="shared" si="125"/>
        <v/>
      </c>
      <c r="FU14" s="778" t="str">
        <f t="shared" si="126"/>
        <v/>
      </c>
      <c r="FV14" s="778" t="str">
        <f t="shared" si="127"/>
        <v/>
      </c>
      <c r="FW14" s="778" t="str">
        <f t="shared" si="128"/>
        <v/>
      </c>
      <c r="FX14" s="778" t="str">
        <f t="shared" si="129"/>
        <v/>
      </c>
      <c r="FY14" s="778" t="str">
        <f t="shared" si="130"/>
        <v/>
      </c>
      <c r="FZ14" s="778" t="str">
        <f t="shared" si="131"/>
        <v/>
      </c>
      <c r="GA14" s="778" t="str">
        <f t="shared" si="132"/>
        <v/>
      </c>
      <c r="GB14" s="778" t="str">
        <f t="shared" si="133"/>
        <v/>
      </c>
      <c r="GC14" s="778" t="str">
        <f t="shared" si="134"/>
        <v/>
      </c>
      <c r="GD14" s="778" t="str">
        <f t="shared" si="135"/>
        <v/>
      </c>
      <c r="GE14" s="778" t="str">
        <f t="shared" si="136"/>
        <v/>
      </c>
      <c r="GF14" s="778" t="str">
        <f t="shared" si="137"/>
        <v/>
      </c>
      <c r="GG14" s="778" t="str">
        <f t="shared" si="138"/>
        <v/>
      </c>
      <c r="GH14" s="778" t="str">
        <f t="shared" si="139"/>
        <v/>
      </c>
      <c r="GI14" s="778" t="str">
        <f t="shared" si="140"/>
        <v/>
      </c>
      <c r="GJ14" s="778" t="str">
        <f t="shared" si="141"/>
        <v/>
      </c>
      <c r="GK14" s="778">
        <f t="shared" si="142"/>
        <v>5</v>
      </c>
      <c r="GL14" s="778" t="str">
        <f t="shared" si="143"/>
        <v/>
      </c>
      <c r="GM14" s="778" t="str">
        <f t="shared" si="144"/>
        <v/>
      </c>
      <c r="GN14" s="778" t="str">
        <f t="shared" si="145"/>
        <v/>
      </c>
      <c r="GO14" s="779" t="str">
        <f t="shared" si="146"/>
        <v/>
      </c>
      <c r="GP14" s="779" t="str">
        <f t="shared" si="147"/>
        <v/>
      </c>
      <c r="GQ14" s="779" t="str">
        <f t="shared" si="148"/>
        <v/>
      </c>
      <c r="GR14" s="779" t="str">
        <f t="shared" si="149"/>
        <v/>
      </c>
      <c r="GS14" s="779" t="str">
        <f t="shared" si="150"/>
        <v/>
      </c>
      <c r="GT14" s="758" t="str">
        <f t="shared" si="151"/>
        <v/>
      </c>
      <c r="GU14" s="758" t="str">
        <f t="shared" si="152"/>
        <v/>
      </c>
      <c r="GV14" s="758" t="str">
        <f t="shared" si="153"/>
        <v/>
      </c>
      <c r="GW14" s="758" t="str">
        <f t="shared" si="154"/>
        <v/>
      </c>
      <c r="GX14" s="758" t="str">
        <f t="shared" si="155"/>
        <v/>
      </c>
      <c r="GY14" s="758" t="str">
        <f t="shared" si="156"/>
        <v/>
      </c>
      <c r="GZ14" s="758" t="str">
        <f t="shared" si="157"/>
        <v/>
      </c>
      <c r="HA14" s="758" t="str">
        <f t="shared" si="158"/>
        <v/>
      </c>
      <c r="HB14" s="758" t="str">
        <f t="shared" si="159"/>
        <v/>
      </c>
      <c r="HC14" s="758" t="str">
        <f t="shared" si="160"/>
        <v/>
      </c>
      <c r="HD14" s="758" t="str">
        <f t="shared" si="161"/>
        <v/>
      </c>
      <c r="HE14" s="758" t="str">
        <f t="shared" si="162"/>
        <v/>
      </c>
      <c r="HF14" s="758" t="str">
        <f t="shared" si="163"/>
        <v/>
      </c>
      <c r="HG14" s="758" t="str">
        <f t="shared" si="164"/>
        <v/>
      </c>
      <c r="HH14" s="758" t="str">
        <f t="shared" si="165"/>
        <v/>
      </c>
      <c r="HI14" s="758" t="str">
        <f t="shared" si="166"/>
        <v/>
      </c>
      <c r="HJ14" s="758" t="str">
        <f t="shared" si="167"/>
        <v/>
      </c>
      <c r="HK14" s="758" t="str">
        <f t="shared" si="168"/>
        <v/>
      </c>
      <c r="HL14" s="758" t="str">
        <f t="shared" si="169"/>
        <v/>
      </c>
      <c r="HM14" s="758" t="str">
        <f t="shared" si="170"/>
        <v/>
      </c>
    </row>
    <row r="15" spans="1:255" ht="13.35" customHeight="1">
      <c r="A15" s="148" t="str">
        <f t="shared" si="171"/>
        <v/>
      </c>
      <c r="B15" s="1515" t="s">
        <v>3724</v>
      </c>
      <c r="C15" s="1516">
        <v>2</v>
      </c>
      <c r="D15" s="1517">
        <v>1</v>
      </c>
      <c r="E15" s="1518">
        <v>3</v>
      </c>
      <c r="F15" s="1518">
        <v>988.09</v>
      </c>
      <c r="G15" s="1518">
        <v>0</v>
      </c>
      <c r="H15" s="1518">
        <v>825</v>
      </c>
      <c r="I15" s="1518">
        <v>0</v>
      </c>
      <c r="J15" s="1519"/>
      <c r="K15" s="225">
        <f t="shared" si="172"/>
        <v>825</v>
      </c>
      <c r="L15" s="225">
        <f t="shared" si="0"/>
        <v>2475</v>
      </c>
      <c r="M15" s="1520" t="s">
        <v>61</v>
      </c>
      <c r="N15" s="1520" t="s">
        <v>67</v>
      </c>
      <c r="O15" s="1520" t="s">
        <v>936</v>
      </c>
      <c r="P15" s="674">
        <f t="shared" ref="P15:P47" si="203">IF(H15="","",H15*12/0.3)</f>
        <v>33000</v>
      </c>
      <c r="Q15" s="675">
        <f>IF(H15="","",P15/($P$6*VLOOKUP(C15,'DCA Underwriting Assumptions'!$J$84:$K$89,2,FALSE)))</f>
        <v>0.52910052910052907</v>
      </c>
      <c r="R15" s="821"/>
      <c r="S15" s="675"/>
      <c r="T15" s="1455"/>
      <c r="U15" s="1456"/>
      <c r="V15" s="758" t="str">
        <f t="shared" si="1"/>
        <v/>
      </c>
      <c r="W15" s="758" t="str">
        <f t="shared" si="2"/>
        <v/>
      </c>
      <c r="X15" s="758" t="str">
        <f t="shared" si="3"/>
        <v/>
      </c>
      <c r="Y15" s="758" t="str">
        <f t="shared" si="4"/>
        <v/>
      </c>
      <c r="Z15" s="758" t="str">
        <f t="shared" si="5"/>
        <v/>
      </c>
      <c r="AA15" s="758" t="str">
        <f t="shared" si="6"/>
        <v/>
      </c>
      <c r="AB15" s="758" t="str">
        <f t="shared" si="7"/>
        <v/>
      </c>
      <c r="AC15" s="758" t="str">
        <f t="shared" si="8"/>
        <v/>
      </c>
      <c r="AD15" s="758" t="str">
        <f t="shared" si="9"/>
        <v/>
      </c>
      <c r="AE15" s="758" t="str">
        <f t="shared" si="10"/>
        <v/>
      </c>
      <c r="AF15" s="758" t="str">
        <f t="shared" si="11"/>
        <v/>
      </c>
      <c r="AG15" s="758" t="str">
        <f t="shared" si="12"/>
        <v/>
      </c>
      <c r="AH15" s="758" t="str">
        <f t="shared" si="13"/>
        <v/>
      </c>
      <c r="AI15" s="758" t="str">
        <f t="shared" si="14"/>
        <v/>
      </c>
      <c r="AJ15" s="758" t="str">
        <f t="shared" si="15"/>
        <v/>
      </c>
      <c r="AK15" s="758" t="str">
        <f t="shared" si="16"/>
        <v/>
      </c>
      <c r="AL15" s="758" t="str">
        <f t="shared" si="17"/>
        <v/>
      </c>
      <c r="AM15" s="758">
        <f t="shared" si="18"/>
        <v>3</v>
      </c>
      <c r="AN15" s="758" t="str">
        <f t="shared" si="19"/>
        <v/>
      </c>
      <c r="AO15" s="758" t="str">
        <f t="shared" si="20"/>
        <v/>
      </c>
      <c r="AP15" s="758" t="str">
        <f t="shared" si="173"/>
        <v/>
      </c>
      <c r="AQ15" s="758" t="str">
        <f t="shared" si="174"/>
        <v/>
      </c>
      <c r="AR15" s="758" t="str">
        <f t="shared" si="175"/>
        <v/>
      </c>
      <c r="AS15" s="758" t="str">
        <f t="shared" si="176"/>
        <v/>
      </c>
      <c r="AT15" s="758" t="str">
        <f t="shared" si="177"/>
        <v/>
      </c>
      <c r="AU15" s="758" t="str">
        <f t="shared" si="178"/>
        <v/>
      </c>
      <c r="AV15" s="758" t="str">
        <f t="shared" si="179"/>
        <v/>
      </c>
      <c r="AW15" s="758" t="str">
        <f t="shared" si="180"/>
        <v/>
      </c>
      <c r="AX15" s="758" t="str">
        <f t="shared" si="181"/>
        <v/>
      </c>
      <c r="AY15" s="758" t="str">
        <f t="shared" si="182"/>
        <v/>
      </c>
      <c r="AZ15" s="758" t="str">
        <f t="shared" si="183"/>
        <v/>
      </c>
      <c r="BA15" s="758" t="str">
        <f t="shared" si="184"/>
        <v/>
      </c>
      <c r="BB15" s="758" t="str">
        <f t="shared" si="185"/>
        <v/>
      </c>
      <c r="BC15" s="758" t="str">
        <f t="shared" si="186"/>
        <v/>
      </c>
      <c r="BD15" s="758" t="str">
        <f t="shared" si="187"/>
        <v/>
      </c>
      <c r="BE15" s="758" t="str">
        <f t="shared" si="188"/>
        <v/>
      </c>
      <c r="BF15" s="758" t="str">
        <f t="shared" si="189"/>
        <v/>
      </c>
      <c r="BG15" s="758" t="str">
        <f t="shared" si="190"/>
        <v/>
      </c>
      <c r="BH15" s="758" t="str">
        <f t="shared" si="191"/>
        <v/>
      </c>
      <c r="BI15" s="758" t="str">
        <f t="shared" si="192"/>
        <v/>
      </c>
      <c r="BJ15" s="758" t="str">
        <f t="shared" si="193"/>
        <v/>
      </c>
      <c r="BK15" s="758" t="str">
        <f t="shared" si="194"/>
        <v/>
      </c>
      <c r="BL15" s="758" t="str">
        <f t="shared" si="195"/>
        <v/>
      </c>
      <c r="BM15" s="758" t="str">
        <f t="shared" si="196"/>
        <v/>
      </c>
      <c r="BN15" s="758" t="str">
        <f t="shared" si="197"/>
        <v/>
      </c>
      <c r="BO15" s="758" t="str">
        <f t="shared" si="198"/>
        <v/>
      </c>
      <c r="BP15" s="758" t="str">
        <f t="shared" si="199"/>
        <v/>
      </c>
      <c r="BQ15" s="758" t="str">
        <f t="shared" si="200"/>
        <v/>
      </c>
      <c r="BR15" s="758" t="str">
        <f t="shared" si="201"/>
        <v/>
      </c>
      <c r="BS15" s="758" t="str">
        <f t="shared" si="202"/>
        <v/>
      </c>
      <c r="BT15" s="758" t="str">
        <f t="shared" si="21"/>
        <v/>
      </c>
      <c r="BU15" s="758" t="str">
        <f t="shared" si="22"/>
        <v/>
      </c>
      <c r="BV15" s="758" t="str">
        <f t="shared" si="23"/>
        <v/>
      </c>
      <c r="BW15" s="758" t="str">
        <f t="shared" si="24"/>
        <v/>
      </c>
      <c r="BX15" s="758" t="str">
        <f t="shared" si="25"/>
        <v/>
      </c>
      <c r="BY15" s="758" t="str">
        <f t="shared" si="26"/>
        <v/>
      </c>
      <c r="BZ15" s="758" t="str">
        <f t="shared" si="27"/>
        <v/>
      </c>
      <c r="CA15" s="758" t="str">
        <f t="shared" si="28"/>
        <v/>
      </c>
      <c r="CB15" s="758" t="str">
        <f t="shared" si="29"/>
        <v/>
      </c>
      <c r="CC15" s="758" t="str">
        <f t="shared" si="30"/>
        <v/>
      </c>
      <c r="CD15" s="758" t="str">
        <f t="shared" si="31"/>
        <v/>
      </c>
      <c r="CE15" s="758" t="str">
        <f t="shared" si="32"/>
        <v/>
      </c>
      <c r="CF15" s="758" t="str">
        <f t="shared" si="33"/>
        <v/>
      </c>
      <c r="CG15" s="758" t="str">
        <f t="shared" si="34"/>
        <v/>
      </c>
      <c r="CH15" s="758" t="str">
        <f t="shared" si="35"/>
        <v/>
      </c>
      <c r="CI15" s="758" t="str">
        <f t="shared" si="36"/>
        <v/>
      </c>
      <c r="CJ15" s="758" t="str">
        <f t="shared" si="37"/>
        <v/>
      </c>
      <c r="CK15" s="758" t="str">
        <f t="shared" si="38"/>
        <v/>
      </c>
      <c r="CL15" s="758" t="str">
        <f t="shared" si="39"/>
        <v/>
      </c>
      <c r="CM15" s="758" t="str">
        <f t="shared" si="40"/>
        <v/>
      </c>
      <c r="CN15" s="758" t="str">
        <f t="shared" si="41"/>
        <v/>
      </c>
      <c r="CO15" s="758" t="str">
        <f t="shared" si="42"/>
        <v/>
      </c>
      <c r="CP15" s="758">
        <f t="shared" si="43"/>
        <v>2964.27</v>
      </c>
      <c r="CQ15" s="758" t="str">
        <f t="shared" si="44"/>
        <v/>
      </c>
      <c r="CR15" s="758" t="str">
        <f t="shared" si="45"/>
        <v/>
      </c>
      <c r="CS15" s="758" t="str">
        <f t="shared" si="46"/>
        <v/>
      </c>
      <c r="CT15" s="758" t="str">
        <f t="shared" si="47"/>
        <v/>
      </c>
      <c r="CU15" s="758" t="str">
        <f t="shared" si="48"/>
        <v/>
      </c>
      <c r="CV15" s="758" t="str">
        <f t="shared" si="49"/>
        <v/>
      </c>
      <c r="CW15" s="758" t="str">
        <f t="shared" si="50"/>
        <v/>
      </c>
      <c r="CX15" s="758" t="str">
        <f t="shared" si="51"/>
        <v/>
      </c>
      <c r="CY15" s="758" t="str">
        <f t="shared" si="52"/>
        <v/>
      </c>
      <c r="CZ15" s="758" t="str">
        <f t="shared" si="53"/>
        <v/>
      </c>
      <c r="DA15" s="758" t="str">
        <f t="shared" si="54"/>
        <v/>
      </c>
      <c r="DB15" s="758" t="str">
        <f t="shared" si="55"/>
        <v/>
      </c>
      <c r="DC15" s="758" t="str">
        <f t="shared" si="56"/>
        <v/>
      </c>
      <c r="DD15" s="758" t="str">
        <f t="shared" si="57"/>
        <v/>
      </c>
      <c r="DE15" s="758" t="str">
        <f t="shared" si="58"/>
        <v/>
      </c>
      <c r="DF15" s="758" t="str">
        <f t="shared" si="59"/>
        <v/>
      </c>
      <c r="DG15" s="758" t="str">
        <f t="shared" si="60"/>
        <v/>
      </c>
      <c r="DH15" s="758" t="str">
        <f t="shared" si="61"/>
        <v/>
      </c>
      <c r="DI15" s="758" t="str">
        <f t="shared" si="62"/>
        <v/>
      </c>
      <c r="DJ15" s="758">
        <f t="shared" si="63"/>
        <v>3</v>
      </c>
      <c r="DK15" s="758" t="str">
        <f t="shared" si="64"/>
        <v/>
      </c>
      <c r="DL15" s="758" t="str">
        <f t="shared" si="65"/>
        <v/>
      </c>
      <c r="DM15" s="758" t="str">
        <f t="shared" si="66"/>
        <v/>
      </c>
      <c r="DN15" s="758" t="str">
        <f t="shared" si="67"/>
        <v/>
      </c>
      <c r="DO15" s="758" t="str">
        <f t="shared" si="68"/>
        <v/>
      </c>
      <c r="DP15" s="758" t="str">
        <f t="shared" si="69"/>
        <v/>
      </c>
      <c r="DQ15" s="758" t="str">
        <f t="shared" si="70"/>
        <v/>
      </c>
      <c r="DR15" s="758" t="str">
        <f t="shared" si="71"/>
        <v/>
      </c>
      <c r="DS15" s="758" t="str">
        <f t="shared" si="72"/>
        <v/>
      </c>
      <c r="DT15" s="758" t="str">
        <f t="shared" si="73"/>
        <v/>
      </c>
      <c r="DU15" s="758" t="str">
        <f t="shared" si="74"/>
        <v/>
      </c>
      <c r="DV15" s="758" t="str">
        <f t="shared" si="75"/>
        <v/>
      </c>
      <c r="DW15" s="758" t="str">
        <f t="shared" si="76"/>
        <v/>
      </c>
      <c r="DX15" s="758" t="str">
        <f t="shared" si="77"/>
        <v/>
      </c>
      <c r="DY15" s="758" t="str">
        <f t="shared" si="78"/>
        <v/>
      </c>
      <c r="DZ15" s="758" t="str">
        <f t="shared" si="79"/>
        <v/>
      </c>
      <c r="EA15" s="758" t="str">
        <f t="shared" si="80"/>
        <v/>
      </c>
      <c r="EB15" s="758" t="str">
        <f t="shared" si="81"/>
        <v/>
      </c>
      <c r="EC15" s="758" t="str">
        <f t="shared" si="82"/>
        <v/>
      </c>
      <c r="ED15" s="758" t="str">
        <f t="shared" si="83"/>
        <v/>
      </c>
      <c r="EE15" s="758" t="str">
        <f t="shared" si="84"/>
        <v/>
      </c>
      <c r="EF15" s="758" t="str">
        <f t="shared" si="85"/>
        <v/>
      </c>
      <c r="EG15" s="758" t="str">
        <f t="shared" si="86"/>
        <v/>
      </c>
      <c r="EH15" s="758" t="str">
        <f t="shared" si="87"/>
        <v/>
      </c>
      <c r="EI15" s="758" t="str">
        <f t="shared" si="88"/>
        <v/>
      </c>
      <c r="EJ15" s="758" t="str">
        <f t="shared" si="89"/>
        <v/>
      </c>
      <c r="EK15" s="758" t="str">
        <f t="shared" si="90"/>
        <v/>
      </c>
      <c r="EL15" s="758" t="str">
        <f t="shared" si="91"/>
        <v/>
      </c>
      <c r="EM15" s="758" t="str">
        <f t="shared" si="92"/>
        <v/>
      </c>
      <c r="EN15" s="758" t="str">
        <f t="shared" si="93"/>
        <v/>
      </c>
      <c r="EO15" s="758" t="str">
        <f t="shared" si="94"/>
        <v/>
      </c>
      <c r="EP15" s="758" t="str">
        <f t="shared" si="95"/>
        <v/>
      </c>
      <c r="EQ15" s="758" t="str">
        <f t="shared" si="96"/>
        <v/>
      </c>
      <c r="ER15" s="758" t="str">
        <f t="shared" si="97"/>
        <v/>
      </c>
      <c r="ES15" s="758" t="str">
        <f t="shared" si="98"/>
        <v/>
      </c>
      <c r="ET15" s="758" t="str">
        <f t="shared" si="99"/>
        <v/>
      </c>
      <c r="EU15" s="758" t="str">
        <f t="shared" si="100"/>
        <v/>
      </c>
      <c r="EV15" s="778" t="str">
        <f t="shared" si="101"/>
        <v/>
      </c>
      <c r="EW15" s="778" t="str">
        <f t="shared" si="102"/>
        <v/>
      </c>
      <c r="EX15" s="778">
        <f t="shared" si="103"/>
        <v>3</v>
      </c>
      <c r="EY15" s="778" t="str">
        <f t="shared" si="104"/>
        <v/>
      </c>
      <c r="EZ15" s="778" t="str">
        <f t="shared" si="105"/>
        <v/>
      </c>
      <c r="FA15" s="778" t="str">
        <f t="shared" si="106"/>
        <v/>
      </c>
      <c r="FB15" s="778" t="str">
        <f t="shared" si="107"/>
        <v/>
      </c>
      <c r="FC15" s="778" t="str">
        <f t="shared" si="108"/>
        <v/>
      </c>
      <c r="FD15" s="778" t="str">
        <f t="shared" si="109"/>
        <v/>
      </c>
      <c r="FE15" s="778" t="str">
        <f t="shared" si="110"/>
        <v/>
      </c>
      <c r="FF15" s="778" t="str">
        <f t="shared" si="111"/>
        <v/>
      </c>
      <c r="FG15" s="778" t="str">
        <f t="shared" si="112"/>
        <v/>
      </c>
      <c r="FH15" s="778" t="str">
        <f t="shared" si="113"/>
        <v/>
      </c>
      <c r="FI15" s="778" t="str">
        <f t="shared" si="114"/>
        <v/>
      </c>
      <c r="FJ15" s="778" t="str">
        <f t="shared" si="115"/>
        <v/>
      </c>
      <c r="FK15" s="778" t="str">
        <f t="shared" si="116"/>
        <v/>
      </c>
      <c r="FL15" s="778" t="str">
        <f t="shared" si="117"/>
        <v/>
      </c>
      <c r="FM15" s="778" t="str">
        <f t="shared" si="118"/>
        <v/>
      </c>
      <c r="FN15" s="778" t="str">
        <f t="shared" si="119"/>
        <v/>
      </c>
      <c r="FO15" s="778" t="str">
        <f t="shared" si="120"/>
        <v/>
      </c>
      <c r="FP15" s="778" t="str">
        <f t="shared" si="121"/>
        <v/>
      </c>
      <c r="FQ15" s="778" t="str">
        <f t="shared" si="122"/>
        <v/>
      </c>
      <c r="FR15" s="778" t="str">
        <f t="shared" si="123"/>
        <v/>
      </c>
      <c r="FS15" s="778" t="str">
        <f t="shared" si="124"/>
        <v/>
      </c>
      <c r="FT15" s="778" t="str">
        <f t="shared" si="125"/>
        <v/>
      </c>
      <c r="FU15" s="778" t="str">
        <f t="shared" si="126"/>
        <v/>
      </c>
      <c r="FV15" s="778" t="str">
        <f t="shared" si="127"/>
        <v/>
      </c>
      <c r="FW15" s="778" t="str">
        <f t="shared" si="128"/>
        <v/>
      </c>
      <c r="FX15" s="778" t="str">
        <f t="shared" si="129"/>
        <v/>
      </c>
      <c r="FY15" s="778" t="str">
        <f t="shared" si="130"/>
        <v/>
      </c>
      <c r="FZ15" s="778" t="str">
        <f t="shared" si="131"/>
        <v/>
      </c>
      <c r="GA15" s="778" t="str">
        <f t="shared" si="132"/>
        <v/>
      </c>
      <c r="GB15" s="778" t="str">
        <f t="shared" si="133"/>
        <v/>
      </c>
      <c r="GC15" s="778" t="str">
        <f t="shared" si="134"/>
        <v/>
      </c>
      <c r="GD15" s="778" t="str">
        <f t="shared" si="135"/>
        <v/>
      </c>
      <c r="GE15" s="778" t="str">
        <f t="shared" si="136"/>
        <v/>
      </c>
      <c r="GF15" s="778" t="str">
        <f t="shared" si="137"/>
        <v/>
      </c>
      <c r="GG15" s="778" t="str">
        <f t="shared" si="138"/>
        <v/>
      </c>
      <c r="GH15" s="778" t="str">
        <f t="shared" si="139"/>
        <v/>
      </c>
      <c r="GI15" s="778" t="str">
        <f t="shared" si="140"/>
        <v/>
      </c>
      <c r="GJ15" s="778" t="str">
        <f t="shared" si="141"/>
        <v/>
      </c>
      <c r="GK15" s="778" t="str">
        <f t="shared" si="142"/>
        <v/>
      </c>
      <c r="GL15" s="778">
        <f t="shared" si="143"/>
        <v>3</v>
      </c>
      <c r="GM15" s="778" t="str">
        <f t="shared" si="144"/>
        <v/>
      </c>
      <c r="GN15" s="778" t="str">
        <f t="shared" si="145"/>
        <v/>
      </c>
      <c r="GO15" s="779" t="str">
        <f t="shared" si="146"/>
        <v/>
      </c>
      <c r="GP15" s="779" t="str">
        <f t="shared" si="147"/>
        <v/>
      </c>
      <c r="GQ15" s="779" t="str">
        <f t="shared" si="148"/>
        <v/>
      </c>
      <c r="GR15" s="779" t="str">
        <f t="shared" si="149"/>
        <v/>
      </c>
      <c r="GS15" s="779" t="str">
        <f t="shared" si="150"/>
        <v/>
      </c>
      <c r="GT15" s="758" t="str">
        <f t="shared" si="151"/>
        <v/>
      </c>
      <c r="GU15" s="758" t="str">
        <f t="shared" si="152"/>
        <v/>
      </c>
      <c r="GV15" s="758" t="str">
        <f t="shared" si="153"/>
        <v/>
      </c>
      <c r="GW15" s="758" t="str">
        <f t="shared" si="154"/>
        <v/>
      </c>
      <c r="GX15" s="758" t="str">
        <f t="shared" si="155"/>
        <v/>
      </c>
      <c r="GY15" s="758" t="str">
        <f t="shared" si="156"/>
        <v/>
      </c>
      <c r="GZ15" s="758" t="str">
        <f t="shared" si="157"/>
        <v/>
      </c>
      <c r="HA15" s="758" t="str">
        <f t="shared" si="158"/>
        <v/>
      </c>
      <c r="HB15" s="758" t="str">
        <f t="shared" si="159"/>
        <v/>
      </c>
      <c r="HC15" s="758" t="str">
        <f t="shared" si="160"/>
        <v/>
      </c>
      <c r="HD15" s="758" t="str">
        <f t="shared" si="161"/>
        <v/>
      </c>
      <c r="HE15" s="758" t="str">
        <f t="shared" si="162"/>
        <v/>
      </c>
      <c r="HF15" s="758" t="str">
        <f t="shared" si="163"/>
        <v/>
      </c>
      <c r="HG15" s="758" t="str">
        <f t="shared" si="164"/>
        <v/>
      </c>
      <c r="HH15" s="758" t="str">
        <f t="shared" si="165"/>
        <v/>
      </c>
      <c r="HI15" s="758" t="str">
        <f t="shared" si="166"/>
        <v/>
      </c>
      <c r="HJ15" s="758" t="str">
        <f t="shared" si="167"/>
        <v/>
      </c>
      <c r="HK15" s="758" t="str">
        <f t="shared" si="168"/>
        <v/>
      </c>
      <c r="HL15" s="758" t="str">
        <f t="shared" si="169"/>
        <v/>
      </c>
      <c r="HM15" s="758" t="str">
        <f t="shared" si="170"/>
        <v/>
      </c>
    </row>
    <row r="16" spans="1:255" ht="13.35" customHeight="1">
      <c r="A16" s="148" t="str">
        <f t="shared" si="171"/>
        <v/>
      </c>
      <c r="B16" s="1515" t="s">
        <v>1533</v>
      </c>
      <c r="C16" s="1516"/>
      <c r="D16" s="1517"/>
      <c r="E16" s="1518"/>
      <c r="F16" s="1518"/>
      <c r="G16" s="1518"/>
      <c r="H16" s="1518"/>
      <c r="I16" s="1518"/>
      <c r="J16" s="1519"/>
      <c r="K16" s="225">
        <f t="shared" si="172"/>
        <v>0</v>
      </c>
      <c r="L16" s="225">
        <f t="shared" si="0"/>
        <v>0</v>
      </c>
      <c r="M16" s="1520"/>
      <c r="N16" s="1520"/>
      <c r="O16" s="1520"/>
      <c r="P16" s="674" t="str">
        <f t="shared" si="203"/>
        <v/>
      </c>
      <c r="Q16" s="675" t="str">
        <f>IF(H16="","",P16/($P$6*VLOOKUP(C16,'DCA Underwriting Assumptions'!$J$84:$K$89,2,FALSE)))</f>
        <v/>
      </c>
      <c r="R16" s="821"/>
      <c r="S16" s="675"/>
      <c r="T16" s="1455"/>
      <c r="U16" s="1456"/>
      <c r="V16" s="758" t="str">
        <f t="shared" si="1"/>
        <v/>
      </c>
      <c r="W16" s="758" t="str">
        <f t="shared" si="2"/>
        <v/>
      </c>
      <c r="X16" s="758" t="str">
        <f t="shared" si="3"/>
        <v/>
      </c>
      <c r="Y16" s="758" t="str">
        <f t="shared" si="4"/>
        <v/>
      </c>
      <c r="Z16" s="758" t="str">
        <f t="shared" si="5"/>
        <v/>
      </c>
      <c r="AA16" s="758" t="str">
        <f t="shared" si="6"/>
        <v/>
      </c>
      <c r="AB16" s="758" t="str">
        <f t="shared" si="7"/>
        <v/>
      </c>
      <c r="AC16" s="758" t="str">
        <f t="shared" si="8"/>
        <v/>
      </c>
      <c r="AD16" s="758" t="str">
        <f t="shared" si="9"/>
        <v/>
      </c>
      <c r="AE16" s="758" t="str">
        <f t="shared" si="10"/>
        <v/>
      </c>
      <c r="AF16" s="758" t="str">
        <f t="shared" si="11"/>
        <v/>
      </c>
      <c r="AG16" s="758" t="str">
        <f t="shared" si="12"/>
        <v/>
      </c>
      <c r="AH16" s="758" t="str">
        <f t="shared" si="13"/>
        <v/>
      </c>
      <c r="AI16" s="758" t="str">
        <f t="shared" si="14"/>
        <v/>
      </c>
      <c r="AJ16" s="758" t="str">
        <f t="shared" si="15"/>
        <v/>
      </c>
      <c r="AK16" s="758" t="str">
        <f t="shared" si="16"/>
        <v/>
      </c>
      <c r="AL16" s="758" t="str">
        <f t="shared" si="17"/>
        <v/>
      </c>
      <c r="AM16" s="758" t="str">
        <f t="shared" si="18"/>
        <v/>
      </c>
      <c r="AN16" s="758" t="str">
        <f t="shared" si="19"/>
        <v/>
      </c>
      <c r="AO16" s="758" t="str">
        <f t="shared" si="20"/>
        <v/>
      </c>
      <c r="AP16" s="758" t="str">
        <f t="shared" si="173"/>
        <v/>
      </c>
      <c r="AQ16" s="758" t="str">
        <f t="shared" si="174"/>
        <v/>
      </c>
      <c r="AR16" s="758" t="str">
        <f t="shared" si="175"/>
        <v/>
      </c>
      <c r="AS16" s="758" t="str">
        <f t="shared" si="176"/>
        <v/>
      </c>
      <c r="AT16" s="758" t="str">
        <f t="shared" si="177"/>
        <v/>
      </c>
      <c r="AU16" s="758" t="str">
        <f t="shared" si="178"/>
        <v/>
      </c>
      <c r="AV16" s="758" t="str">
        <f t="shared" si="179"/>
        <v/>
      </c>
      <c r="AW16" s="758" t="str">
        <f t="shared" si="180"/>
        <v/>
      </c>
      <c r="AX16" s="758" t="str">
        <f t="shared" si="181"/>
        <v/>
      </c>
      <c r="AY16" s="758" t="str">
        <f t="shared" si="182"/>
        <v/>
      </c>
      <c r="AZ16" s="758" t="str">
        <f t="shared" si="183"/>
        <v/>
      </c>
      <c r="BA16" s="758" t="str">
        <f t="shared" si="184"/>
        <v/>
      </c>
      <c r="BB16" s="758" t="str">
        <f t="shared" si="185"/>
        <v/>
      </c>
      <c r="BC16" s="758" t="str">
        <f t="shared" si="186"/>
        <v/>
      </c>
      <c r="BD16" s="758" t="str">
        <f t="shared" si="187"/>
        <v/>
      </c>
      <c r="BE16" s="758" t="str">
        <f t="shared" si="188"/>
        <v/>
      </c>
      <c r="BF16" s="758" t="str">
        <f t="shared" si="189"/>
        <v/>
      </c>
      <c r="BG16" s="758" t="str">
        <f t="shared" si="190"/>
        <v/>
      </c>
      <c r="BH16" s="758" t="str">
        <f t="shared" si="191"/>
        <v/>
      </c>
      <c r="BI16" s="758" t="str">
        <f t="shared" si="192"/>
        <v/>
      </c>
      <c r="BJ16" s="758" t="str">
        <f t="shared" si="193"/>
        <v/>
      </c>
      <c r="BK16" s="758" t="str">
        <f t="shared" si="194"/>
        <v/>
      </c>
      <c r="BL16" s="758" t="str">
        <f t="shared" si="195"/>
        <v/>
      </c>
      <c r="BM16" s="758" t="str">
        <f t="shared" si="196"/>
        <v/>
      </c>
      <c r="BN16" s="758" t="str">
        <f t="shared" si="197"/>
        <v/>
      </c>
      <c r="BO16" s="758" t="str">
        <f t="shared" si="198"/>
        <v/>
      </c>
      <c r="BP16" s="758" t="str">
        <f t="shared" si="199"/>
        <v/>
      </c>
      <c r="BQ16" s="758" t="str">
        <f t="shared" si="200"/>
        <v/>
      </c>
      <c r="BR16" s="758" t="str">
        <f t="shared" si="201"/>
        <v/>
      </c>
      <c r="BS16" s="758" t="str">
        <f t="shared" si="202"/>
        <v/>
      </c>
      <c r="BT16" s="758" t="str">
        <f t="shared" si="21"/>
        <v/>
      </c>
      <c r="BU16" s="758" t="str">
        <f t="shared" si="22"/>
        <v/>
      </c>
      <c r="BV16" s="758" t="str">
        <f t="shared" si="23"/>
        <v/>
      </c>
      <c r="BW16" s="758" t="str">
        <f t="shared" si="24"/>
        <v/>
      </c>
      <c r="BX16" s="758" t="str">
        <f t="shared" si="25"/>
        <v/>
      </c>
      <c r="BY16" s="758" t="str">
        <f t="shared" si="26"/>
        <v/>
      </c>
      <c r="BZ16" s="758" t="str">
        <f t="shared" si="27"/>
        <v/>
      </c>
      <c r="CA16" s="758" t="str">
        <f t="shared" si="28"/>
        <v/>
      </c>
      <c r="CB16" s="758" t="str">
        <f t="shared" si="29"/>
        <v/>
      </c>
      <c r="CC16" s="758" t="str">
        <f t="shared" si="30"/>
        <v/>
      </c>
      <c r="CD16" s="758" t="str">
        <f t="shared" si="31"/>
        <v/>
      </c>
      <c r="CE16" s="758" t="str">
        <f t="shared" si="32"/>
        <v/>
      </c>
      <c r="CF16" s="758" t="str">
        <f t="shared" si="33"/>
        <v/>
      </c>
      <c r="CG16" s="758" t="str">
        <f t="shared" si="34"/>
        <v/>
      </c>
      <c r="CH16" s="758" t="str">
        <f t="shared" si="35"/>
        <v/>
      </c>
      <c r="CI16" s="758" t="str">
        <f t="shared" si="36"/>
        <v/>
      </c>
      <c r="CJ16" s="758" t="str">
        <f t="shared" si="37"/>
        <v/>
      </c>
      <c r="CK16" s="758" t="str">
        <f t="shared" si="38"/>
        <v/>
      </c>
      <c r="CL16" s="758" t="str">
        <f t="shared" si="39"/>
        <v/>
      </c>
      <c r="CM16" s="758" t="str">
        <f t="shared" si="40"/>
        <v/>
      </c>
      <c r="CN16" s="758" t="str">
        <f t="shared" si="41"/>
        <v/>
      </c>
      <c r="CO16" s="758" t="str">
        <f t="shared" si="42"/>
        <v/>
      </c>
      <c r="CP16" s="758" t="str">
        <f t="shared" si="43"/>
        <v/>
      </c>
      <c r="CQ16" s="758" t="str">
        <f t="shared" si="44"/>
        <v/>
      </c>
      <c r="CR16" s="758" t="str">
        <f t="shared" si="45"/>
        <v/>
      </c>
      <c r="CS16" s="758" t="str">
        <f t="shared" si="46"/>
        <v/>
      </c>
      <c r="CT16" s="758" t="str">
        <f t="shared" si="47"/>
        <v/>
      </c>
      <c r="CU16" s="758" t="str">
        <f t="shared" si="48"/>
        <v/>
      </c>
      <c r="CV16" s="758" t="str">
        <f t="shared" si="49"/>
        <v/>
      </c>
      <c r="CW16" s="758" t="str">
        <f t="shared" si="50"/>
        <v/>
      </c>
      <c r="CX16" s="758" t="str">
        <f t="shared" si="51"/>
        <v/>
      </c>
      <c r="CY16" s="758" t="str">
        <f t="shared" si="52"/>
        <v/>
      </c>
      <c r="CZ16" s="758" t="str">
        <f t="shared" si="53"/>
        <v/>
      </c>
      <c r="DA16" s="758" t="str">
        <f t="shared" si="54"/>
        <v/>
      </c>
      <c r="DB16" s="758" t="str">
        <f t="shared" si="55"/>
        <v/>
      </c>
      <c r="DC16" s="758" t="str">
        <f t="shared" si="56"/>
        <v/>
      </c>
      <c r="DD16" s="758" t="str">
        <f t="shared" si="57"/>
        <v/>
      </c>
      <c r="DE16" s="758" t="str">
        <f t="shared" si="58"/>
        <v/>
      </c>
      <c r="DF16" s="758" t="str">
        <f t="shared" si="59"/>
        <v/>
      </c>
      <c r="DG16" s="758" t="str">
        <f t="shared" si="60"/>
        <v/>
      </c>
      <c r="DH16" s="758" t="str">
        <f t="shared" si="61"/>
        <v/>
      </c>
      <c r="DI16" s="758" t="str">
        <f t="shared" si="62"/>
        <v/>
      </c>
      <c r="DJ16" s="758" t="str">
        <f t="shared" si="63"/>
        <v/>
      </c>
      <c r="DK16" s="758" t="str">
        <f t="shared" si="64"/>
        <v/>
      </c>
      <c r="DL16" s="758" t="str">
        <f t="shared" si="65"/>
        <v/>
      </c>
      <c r="DM16" s="758" t="str">
        <f t="shared" si="66"/>
        <v/>
      </c>
      <c r="DN16" s="758" t="str">
        <f t="shared" si="67"/>
        <v/>
      </c>
      <c r="DO16" s="758" t="str">
        <f t="shared" si="68"/>
        <v/>
      </c>
      <c r="DP16" s="758" t="str">
        <f t="shared" si="69"/>
        <v/>
      </c>
      <c r="DQ16" s="758" t="str">
        <f t="shared" si="70"/>
        <v/>
      </c>
      <c r="DR16" s="758" t="str">
        <f t="shared" si="71"/>
        <v/>
      </c>
      <c r="DS16" s="758" t="str">
        <f t="shared" si="72"/>
        <v/>
      </c>
      <c r="DT16" s="758" t="str">
        <f t="shared" si="73"/>
        <v/>
      </c>
      <c r="DU16" s="758" t="str">
        <f t="shared" si="74"/>
        <v/>
      </c>
      <c r="DV16" s="758" t="str">
        <f t="shared" si="75"/>
        <v/>
      </c>
      <c r="DW16" s="758" t="str">
        <f t="shared" si="76"/>
        <v/>
      </c>
      <c r="DX16" s="758" t="str">
        <f t="shared" si="77"/>
        <v/>
      </c>
      <c r="DY16" s="758" t="str">
        <f t="shared" si="78"/>
        <v/>
      </c>
      <c r="DZ16" s="758" t="str">
        <f t="shared" si="79"/>
        <v/>
      </c>
      <c r="EA16" s="758" t="str">
        <f t="shared" si="80"/>
        <v/>
      </c>
      <c r="EB16" s="758" t="str">
        <f t="shared" si="81"/>
        <v/>
      </c>
      <c r="EC16" s="758" t="str">
        <f t="shared" si="82"/>
        <v/>
      </c>
      <c r="ED16" s="758" t="str">
        <f t="shared" si="83"/>
        <v/>
      </c>
      <c r="EE16" s="758" t="str">
        <f t="shared" si="84"/>
        <v/>
      </c>
      <c r="EF16" s="758" t="str">
        <f t="shared" si="85"/>
        <v/>
      </c>
      <c r="EG16" s="758" t="str">
        <f t="shared" si="86"/>
        <v/>
      </c>
      <c r="EH16" s="758" t="str">
        <f t="shared" si="87"/>
        <v/>
      </c>
      <c r="EI16" s="758" t="str">
        <f t="shared" si="88"/>
        <v/>
      </c>
      <c r="EJ16" s="758" t="str">
        <f t="shared" si="89"/>
        <v/>
      </c>
      <c r="EK16" s="758" t="str">
        <f t="shared" si="90"/>
        <v/>
      </c>
      <c r="EL16" s="758" t="str">
        <f t="shared" si="91"/>
        <v/>
      </c>
      <c r="EM16" s="758" t="str">
        <f t="shared" si="92"/>
        <v/>
      </c>
      <c r="EN16" s="758" t="str">
        <f t="shared" si="93"/>
        <v/>
      </c>
      <c r="EO16" s="758" t="str">
        <f t="shared" si="94"/>
        <v/>
      </c>
      <c r="EP16" s="758" t="str">
        <f t="shared" si="95"/>
        <v/>
      </c>
      <c r="EQ16" s="758" t="str">
        <f t="shared" si="96"/>
        <v/>
      </c>
      <c r="ER16" s="758" t="str">
        <f t="shared" si="97"/>
        <v/>
      </c>
      <c r="ES16" s="758" t="str">
        <f t="shared" si="98"/>
        <v/>
      </c>
      <c r="ET16" s="758" t="str">
        <f t="shared" si="99"/>
        <v/>
      </c>
      <c r="EU16" s="758" t="str">
        <f t="shared" si="100"/>
        <v/>
      </c>
      <c r="EV16" s="778" t="str">
        <f t="shared" si="101"/>
        <v/>
      </c>
      <c r="EW16" s="778" t="str">
        <f t="shared" si="102"/>
        <v/>
      </c>
      <c r="EX16" s="778" t="str">
        <f t="shared" si="103"/>
        <v/>
      </c>
      <c r="EY16" s="778" t="str">
        <f t="shared" si="104"/>
        <v/>
      </c>
      <c r="EZ16" s="778" t="str">
        <f t="shared" si="105"/>
        <v/>
      </c>
      <c r="FA16" s="778" t="str">
        <f t="shared" si="106"/>
        <v/>
      </c>
      <c r="FB16" s="778" t="str">
        <f t="shared" si="107"/>
        <v/>
      </c>
      <c r="FC16" s="778" t="str">
        <f t="shared" si="108"/>
        <v/>
      </c>
      <c r="FD16" s="778" t="str">
        <f t="shared" si="109"/>
        <v/>
      </c>
      <c r="FE16" s="778" t="str">
        <f t="shared" si="110"/>
        <v/>
      </c>
      <c r="FF16" s="778" t="str">
        <f t="shared" si="111"/>
        <v/>
      </c>
      <c r="FG16" s="778" t="str">
        <f t="shared" si="112"/>
        <v/>
      </c>
      <c r="FH16" s="778" t="str">
        <f t="shared" si="113"/>
        <v/>
      </c>
      <c r="FI16" s="778" t="str">
        <f t="shared" si="114"/>
        <v/>
      </c>
      <c r="FJ16" s="778" t="str">
        <f t="shared" si="115"/>
        <v/>
      </c>
      <c r="FK16" s="778" t="str">
        <f t="shared" si="116"/>
        <v/>
      </c>
      <c r="FL16" s="778" t="str">
        <f t="shared" si="117"/>
        <v/>
      </c>
      <c r="FM16" s="778" t="str">
        <f t="shared" si="118"/>
        <v/>
      </c>
      <c r="FN16" s="778" t="str">
        <f t="shared" si="119"/>
        <v/>
      </c>
      <c r="FO16" s="778" t="str">
        <f t="shared" si="120"/>
        <v/>
      </c>
      <c r="FP16" s="778" t="str">
        <f t="shared" si="121"/>
        <v/>
      </c>
      <c r="FQ16" s="778" t="str">
        <f t="shared" si="122"/>
        <v/>
      </c>
      <c r="FR16" s="778" t="str">
        <f t="shared" si="123"/>
        <v/>
      </c>
      <c r="FS16" s="778" t="str">
        <f t="shared" si="124"/>
        <v/>
      </c>
      <c r="FT16" s="778" t="str">
        <f t="shared" si="125"/>
        <v/>
      </c>
      <c r="FU16" s="778" t="str">
        <f t="shared" si="126"/>
        <v/>
      </c>
      <c r="FV16" s="778" t="str">
        <f t="shared" si="127"/>
        <v/>
      </c>
      <c r="FW16" s="778" t="str">
        <f t="shared" si="128"/>
        <v/>
      </c>
      <c r="FX16" s="778" t="str">
        <f t="shared" si="129"/>
        <v/>
      </c>
      <c r="FY16" s="778" t="str">
        <f t="shared" si="130"/>
        <v/>
      </c>
      <c r="FZ16" s="778" t="str">
        <f t="shared" si="131"/>
        <v/>
      </c>
      <c r="GA16" s="778" t="str">
        <f t="shared" si="132"/>
        <v/>
      </c>
      <c r="GB16" s="778" t="str">
        <f t="shared" si="133"/>
        <v/>
      </c>
      <c r="GC16" s="778" t="str">
        <f t="shared" si="134"/>
        <v/>
      </c>
      <c r="GD16" s="778" t="str">
        <f t="shared" si="135"/>
        <v/>
      </c>
      <c r="GE16" s="778" t="str">
        <f t="shared" si="136"/>
        <v/>
      </c>
      <c r="GF16" s="778" t="str">
        <f t="shared" si="137"/>
        <v/>
      </c>
      <c r="GG16" s="778" t="str">
        <f t="shared" si="138"/>
        <v/>
      </c>
      <c r="GH16" s="778" t="str">
        <f t="shared" si="139"/>
        <v/>
      </c>
      <c r="GI16" s="778" t="str">
        <f t="shared" si="140"/>
        <v/>
      </c>
      <c r="GJ16" s="778" t="str">
        <f t="shared" si="141"/>
        <v/>
      </c>
      <c r="GK16" s="778" t="str">
        <f t="shared" si="142"/>
        <v/>
      </c>
      <c r="GL16" s="778" t="str">
        <f t="shared" si="143"/>
        <v/>
      </c>
      <c r="GM16" s="778" t="str">
        <f t="shared" si="144"/>
        <v/>
      </c>
      <c r="GN16" s="778" t="str">
        <f t="shared" si="145"/>
        <v/>
      </c>
      <c r="GO16" s="779" t="str">
        <f t="shared" si="146"/>
        <v/>
      </c>
      <c r="GP16" s="779" t="str">
        <f t="shared" si="147"/>
        <v/>
      </c>
      <c r="GQ16" s="779" t="str">
        <f t="shared" si="148"/>
        <v/>
      </c>
      <c r="GR16" s="779" t="str">
        <f t="shared" si="149"/>
        <v/>
      </c>
      <c r="GS16" s="779" t="str">
        <f t="shared" si="150"/>
        <v/>
      </c>
      <c r="GT16" s="758" t="str">
        <f t="shared" si="151"/>
        <v/>
      </c>
      <c r="GU16" s="758" t="str">
        <f t="shared" si="152"/>
        <v/>
      </c>
      <c r="GV16" s="758" t="str">
        <f t="shared" si="153"/>
        <v/>
      </c>
      <c r="GW16" s="758" t="str">
        <f t="shared" si="154"/>
        <v/>
      </c>
      <c r="GX16" s="758" t="str">
        <f t="shared" si="155"/>
        <v/>
      </c>
      <c r="GY16" s="758" t="str">
        <f t="shared" si="156"/>
        <v/>
      </c>
      <c r="GZ16" s="758" t="str">
        <f t="shared" si="157"/>
        <v/>
      </c>
      <c r="HA16" s="758" t="str">
        <f t="shared" si="158"/>
        <v/>
      </c>
      <c r="HB16" s="758" t="str">
        <f t="shared" si="159"/>
        <v/>
      </c>
      <c r="HC16" s="758" t="str">
        <f t="shared" si="160"/>
        <v/>
      </c>
      <c r="HD16" s="758" t="str">
        <f t="shared" si="161"/>
        <v/>
      </c>
      <c r="HE16" s="758" t="str">
        <f t="shared" si="162"/>
        <v/>
      </c>
      <c r="HF16" s="758" t="str">
        <f t="shared" si="163"/>
        <v/>
      </c>
      <c r="HG16" s="758" t="str">
        <f t="shared" si="164"/>
        <v/>
      </c>
      <c r="HH16" s="758" t="str">
        <f t="shared" si="165"/>
        <v/>
      </c>
      <c r="HI16" s="758" t="str">
        <f t="shared" si="166"/>
        <v/>
      </c>
      <c r="HJ16" s="758" t="str">
        <f t="shared" si="167"/>
        <v/>
      </c>
      <c r="HK16" s="758" t="str">
        <f t="shared" si="168"/>
        <v/>
      </c>
      <c r="HL16" s="758" t="str">
        <f t="shared" si="169"/>
        <v/>
      </c>
      <c r="HM16" s="758" t="str">
        <f t="shared" si="170"/>
        <v/>
      </c>
    </row>
    <row r="17" spans="1:221" ht="13.35" customHeight="1">
      <c r="A17" s="148" t="str">
        <f t="shared" si="171"/>
        <v/>
      </c>
      <c r="B17" s="1515" t="s">
        <v>1533</v>
      </c>
      <c r="C17" s="1516"/>
      <c r="D17" s="1517"/>
      <c r="E17" s="1518"/>
      <c r="F17" s="1518"/>
      <c r="G17" s="1518"/>
      <c r="H17" s="1518"/>
      <c r="I17" s="1518"/>
      <c r="J17" s="1519"/>
      <c r="K17" s="225">
        <f t="shared" si="172"/>
        <v>0</v>
      </c>
      <c r="L17" s="225">
        <f t="shared" si="0"/>
        <v>0</v>
      </c>
      <c r="M17" s="1520"/>
      <c r="N17" s="1520"/>
      <c r="O17" s="1520"/>
      <c r="P17" s="674" t="str">
        <f t="shared" si="203"/>
        <v/>
      </c>
      <c r="Q17" s="675" t="str">
        <f>IF(H17="","",P17/($P$6*VLOOKUP(C17,'DCA Underwriting Assumptions'!$J$84:$K$89,2,FALSE)))</f>
        <v/>
      </c>
      <c r="R17" s="821"/>
      <c r="S17" s="675"/>
      <c r="T17" s="1455"/>
      <c r="U17" s="1456"/>
      <c r="V17" s="758" t="str">
        <f t="shared" si="1"/>
        <v/>
      </c>
      <c r="W17" s="758" t="str">
        <f t="shared" si="2"/>
        <v/>
      </c>
      <c r="X17" s="758" t="str">
        <f t="shared" si="3"/>
        <v/>
      </c>
      <c r="Y17" s="758" t="str">
        <f t="shared" si="4"/>
        <v/>
      </c>
      <c r="Z17" s="758" t="str">
        <f t="shared" si="5"/>
        <v/>
      </c>
      <c r="AA17" s="758" t="str">
        <f t="shared" si="6"/>
        <v/>
      </c>
      <c r="AB17" s="758" t="str">
        <f t="shared" si="7"/>
        <v/>
      </c>
      <c r="AC17" s="758" t="str">
        <f t="shared" si="8"/>
        <v/>
      </c>
      <c r="AD17" s="758" t="str">
        <f t="shared" si="9"/>
        <v/>
      </c>
      <c r="AE17" s="758" t="str">
        <f t="shared" si="10"/>
        <v/>
      </c>
      <c r="AF17" s="758" t="str">
        <f t="shared" si="11"/>
        <v/>
      </c>
      <c r="AG17" s="758" t="str">
        <f t="shared" si="12"/>
        <v/>
      </c>
      <c r="AH17" s="758" t="str">
        <f t="shared" si="13"/>
        <v/>
      </c>
      <c r="AI17" s="758" t="str">
        <f t="shared" si="14"/>
        <v/>
      </c>
      <c r="AJ17" s="758" t="str">
        <f t="shared" si="15"/>
        <v/>
      </c>
      <c r="AK17" s="758" t="str">
        <f t="shared" si="16"/>
        <v/>
      </c>
      <c r="AL17" s="758" t="str">
        <f t="shared" si="17"/>
        <v/>
      </c>
      <c r="AM17" s="758" t="str">
        <f t="shared" si="18"/>
        <v/>
      </c>
      <c r="AN17" s="758" t="str">
        <f t="shared" si="19"/>
        <v/>
      </c>
      <c r="AO17" s="758" t="str">
        <f t="shared" si="20"/>
        <v/>
      </c>
      <c r="AP17" s="758" t="str">
        <f t="shared" si="173"/>
        <v/>
      </c>
      <c r="AQ17" s="758" t="str">
        <f t="shared" si="174"/>
        <v/>
      </c>
      <c r="AR17" s="758" t="str">
        <f t="shared" si="175"/>
        <v/>
      </c>
      <c r="AS17" s="758" t="str">
        <f t="shared" si="176"/>
        <v/>
      </c>
      <c r="AT17" s="758" t="str">
        <f t="shared" si="177"/>
        <v/>
      </c>
      <c r="AU17" s="758" t="str">
        <f t="shared" si="178"/>
        <v/>
      </c>
      <c r="AV17" s="758" t="str">
        <f t="shared" si="179"/>
        <v/>
      </c>
      <c r="AW17" s="758" t="str">
        <f t="shared" si="180"/>
        <v/>
      </c>
      <c r="AX17" s="758" t="str">
        <f t="shared" si="181"/>
        <v/>
      </c>
      <c r="AY17" s="758" t="str">
        <f t="shared" si="182"/>
        <v/>
      </c>
      <c r="AZ17" s="758" t="str">
        <f t="shared" si="183"/>
        <v/>
      </c>
      <c r="BA17" s="758" t="str">
        <f t="shared" si="184"/>
        <v/>
      </c>
      <c r="BB17" s="758" t="str">
        <f t="shared" si="185"/>
        <v/>
      </c>
      <c r="BC17" s="758" t="str">
        <f t="shared" si="186"/>
        <v/>
      </c>
      <c r="BD17" s="758" t="str">
        <f t="shared" si="187"/>
        <v/>
      </c>
      <c r="BE17" s="758" t="str">
        <f t="shared" si="188"/>
        <v/>
      </c>
      <c r="BF17" s="758" t="str">
        <f t="shared" si="189"/>
        <v/>
      </c>
      <c r="BG17" s="758" t="str">
        <f t="shared" si="190"/>
        <v/>
      </c>
      <c r="BH17" s="758" t="str">
        <f t="shared" si="191"/>
        <v/>
      </c>
      <c r="BI17" s="758" t="str">
        <f t="shared" si="192"/>
        <v/>
      </c>
      <c r="BJ17" s="758" t="str">
        <f t="shared" si="193"/>
        <v/>
      </c>
      <c r="BK17" s="758" t="str">
        <f t="shared" si="194"/>
        <v/>
      </c>
      <c r="BL17" s="758" t="str">
        <f t="shared" si="195"/>
        <v/>
      </c>
      <c r="BM17" s="758" t="str">
        <f t="shared" si="196"/>
        <v/>
      </c>
      <c r="BN17" s="758" t="str">
        <f t="shared" si="197"/>
        <v/>
      </c>
      <c r="BO17" s="758" t="str">
        <f t="shared" si="198"/>
        <v/>
      </c>
      <c r="BP17" s="758" t="str">
        <f t="shared" si="199"/>
        <v/>
      </c>
      <c r="BQ17" s="758" t="str">
        <f t="shared" si="200"/>
        <v/>
      </c>
      <c r="BR17" s="758" t="str">
        <f t="shared" si="201"/>
        <v/>
      </c>
      <c r="BS17" s="758" t="str">
        <f t="shared" si="202"/>
        <v/>
      </c>
      <c r="BT17" s="758" t="str">
        <f t="shared" si="21"/>
        <v/>
      </c>
      <c r="BU17" s="758" t="str">
        <f t="shared" si="22"/>
        <v/>
      </c>
      <c r="BV17" s="758" t="str">
        <f t="shared" si="23"/>
        <v/>
      </c>
      <c r="BW17" s="758" t="str">
        <f t="shared" si="24"/>
        <v/>
      </c>
      <c r="BX17" s="758" t="str">
        <f t="shared" si="25"/>
        <v/>
      </c>
      <c r="BY17" s="758" t="str">
        <f t="shared" si="26"/>
        <v/>
      </c>
      <c r="BZ17" s="758" t="str">
        <f t="shared" si="27"/>
        <v/>
      </c>
      <c r="CA17" s="758" t="str">
        <f t="shared" si="28"/>
        <v/>
      </c>
      <c r="CB17" s="758" t="str">
        <f t="shared" si="29"/>
        <v/>
      </c>
      <c r="CC17" s="758" t="str">
        <f t="shared" si="30"/>
        <v/>
      </c>
      <c r="CD17" s="758" t="str">
        <f t="shared" si="31"/>
        <v/>
      </c>
      <c r="CE17" s="758" t="str">
        <f t="shared" si="32"/>
        <v/>
      </c>
      <c r="CF17" s="758" t="str">
        <f t="shared" si="33"/>
        <v/>
      </c>
      <c r="CG17" s="758" t="str">
        <f t="shared" si="34"/>
        <v/>
      </c>
      <c r="CH17" s="758" t="str">
        <f t="shared" si="35"/>
        <v/>
      </c>
      <c r="CI17" s="758" t="str">
        <f t="shared" si="36"/>
        <v/>
      </c>
      <c r="CJ17" s="758" t="str">
        <f t="shared" si="37"/>
        <v/>
      </c>
      <c r="CK17" s="758" t="str">
        <f t="shared" si="38"/>
        <v/>
      </c>
      <c r="CL17" s="758" t="str">
        <f t="shared" si="39"/>
        <v/>
      </c>
      <c r="CM17" s="758" t="str">
        <f t="shared" si="40"/>
        <v/>
      </c>
      <c r="CN17" s="758" t="str">
        <f t="shared" si="41"/>
        <v/>
      </c>
      <c r="CO17" s="758" t="str">
        <f t="shared" si="42"/>
        <v/>
      </c>
      <c r="CP17" s="758" t="str">
        <f t="shared" si="43"/>
        <v/>
      </c>
      <c r="CQ17" s="758" t="str">
        <f t="shared" si="44"/>
        <v/>
      </c>
      <c r="CR17" s="758" t="str">
        <f t="shared" si="45"/>
        <v/>
      </c>
      <c r="CS17" s="758" t="str">
        <f t="shared" si="46"/>
        <v/>
      </c>
      <c r="CT17" s="758" t="str">
        <f t="shared" si="47"/>
        <v/>
      </c>
      <c r="CU17" s="758" t="str">
        <f t="shared" si="48"/>
        <v/>
      </c>
      <c r="CV17" s="758" t="str">
        <f t="shared" si="49"/>
        <v/>
      </c>
      <c r="CW17" s="758" t="str">
        <f t="shared" si="50"/>
        <v/>
      </c>
      <c r="CX17" s="758" t="str">
        <f t="shared" si="51"/>
        <v/>
      </c>
      <c r="CY17" s="758" t="str">
        <f t="shared" si="52"/>
        <v/>
      </c>
      <c r="CZ17" s="758" t="str">
        <f t="shared" si="53"/>
        <v/>
      </c>
      <c r="DA17" s="758" t="str">
        <f t="shared" si="54"/>
        <v/>
      </c>
      <c r="DB17" s="758" t="str">
        <f t="shared" si="55"/>
        <v/>
      </c>
      <c r="DC17" s="758" t="str">
        <f t="shared" si="56"/>
        <v/>
      </c>
      <c r="DD17" s="758" t="str">
        <f t="shared" si="57"/>
        <v/>
      </c>
      <c r="DE17" s="758" t="str">
        <f t="shared" si="58"/>
        <v/>
      </c>
      <c r="DF17" s="758" t="str">
        <f t="shared" si="59"/>
        <v/>
      </c>
      <c r="DG17" s="758" t="str">
        <f t="shared" si="60"/>
        <v/>
      </c>
      <c r="DH17" s="758" t="str">
        <f t="shared" si="61"/>
        <v/>
      </c>
      <c r="DI17" s="758" t="str">
        <f t="shared" si="62"/>
        <v/>
      </c>
      <c r="DJ17" s="758" t="str">
        <f t="shared" si="63"/>
        <v/>
      </c>
      <c r="DK17" s="758" t="str">
        <f t="shared" si="64"/>
        <v/>
      </c>
      <c r="DL17" s="758" t="str">
        <f t="shared" si="65"/>
        <v/>
      </c>
      <c r="DM17" s="758" t="str">
        <f t="shared" si="66"/>
        <v/>
      </c>
      <c r="DN17" s="758" t="str">
        <f t="shared" si="67"/>
        <v/>
      </c>
      <c r="DO17" s="758" t="str">
        <f t="shared" si="68"/>
        <v/>
      </c>
      <c r="DP17" s="758" t="str">
        <f t="shared" si="69"/>
        <v/>
      </c>
      <c r="DQ17" s="758" t="str">
        <f t="shared" si="70"/>
        <v/>
      </c>
      <c r="DR17" s="758" t="str">
        <f t="shared" si="71"/>
        <v/>
      </c>
      <c r="DS17" s="758" t="str">
        <f t="shared" si="72"/>
        <v/>
      </c>
      <c r="DT17" s="758" t="str">
        <f t="shared" si="73"/>
        <v/>
      </c>
      <c r="DU17" s="758" t="str">
        <f t="shared" si="74"/>
        <v/>
      </c>
      <c r="DV17" s="758" t="str">
        <f t="shared" si="75"/>
        <v/>
      </c>
      <c r="DW17" s="758" t="str">
        <f t="shared" si="76"/>
        <v/>
      </c>
      <c r="DX17" s="758" t="str">
        <f t="shared" si="77"/>
        <v/>
      </c>
      <c r="DY17" s="758" t="str">
        <f t="shared" si="78"/>
        <v/>
      </c>
      <c r="DZ17" s="758" t="str">
        <f t="shared" si="79"/>
        <v/>
      </c>
      <c r="EA17" s="758" t="str">
        <f t="shared" si="80"/>
        <v/>
      </c>
      <c r="EB17" s="758" t="str">
        <f t="shared" si="81"/>
        <v/>
      </c>
      <c r="EC17" s="758" t="str">
        <f t="shared" si="82"/>
        <v/>
      </c>
      <c r="ED17" s="758" t="str">
        <f t="shared" si="83"/>
        <v/>
      </c>
      <c r="EE17" s="758" t="str">
        <f t="shared" si="84"/>
        <v/>
      </c>
      <c r="EF17" s="758" t="str">
        <f t="shared" si="85"/>
        <v/>
      </c>
      <c r="EG17" s="758" t="str">
        <f t="shared" si="86"/>
        <v/>
      </c>
      <c r="EH17" s="758" t="str">
        <f t="shared" si="87"/>
        <v/>
      </c>
      <c r="EI17" s="758" t="str">
        <f t="shared" si="88"/>
        <v/>
      </c>
      <c r="EJ17" s="758" t="str">
        <f t="shared" si="89"/>
        <v/>
      </c>
      <c r="EK17" s="758" t="str">
        <f t="shared" si="90"/>
        <v/>
      </c>
      <c r="EL17" s="758" t="str">
        <f t="shared" si="91"/>
        <v/>
      </c>
      <c r="EM17" s="758" t="str">
        <f t="shared" si="92"/>
        <v/>
      </c>
      <c r="EN17" s="758" t="str">
        <f t="shared" si="93"/>
        <v/>
      </c>
      <c r="EO17" s="758" t="str">
        <f t="shared" si="94"/>
        <v/>
      </c>
      <c r="EP17" s="758" t="str">
        <f t="shared" si="95"/>
        <v/>
      </c>
      <c r="EQ17" s="758" t="str">
        <f t="shared" si="96"/>
        <v/>
      </c>
      <c r="ER17" s="758" t="str">
        <f t="shared" si="97"/>
        <v/>
      </c>
      <c r="ES17" s="758" t="str">
        <f t="shared" si="98"/>
        <v/>
      </c>
      <c r="ET17" s="758" t="str">
        <f t="shared" si="99"/>
        <v/>
      </c>
      <c r="EU17" s="758" t="str">
        <f t="shared" si="100"/>
        <v/>
      </c>
      <c r="EV17" s="778" t="str">
        <f t="shared" si="101"/>
        <v/>
      </c>
      <c r="EW17" s="778" t="str">
        <f t="shared" si="102"/>
        <v/>
      </c>
      <c r="EX17" s="778" t="str">
        <f t="shared" si="103"/>
        <v/>
      </c>
      <c r="EY17" s="778" t="str">
        <f t="shared" si="104"/>
        <v/>
      </c>
      <c r="EZ17" s="778" t="str">
        <f t="shared" si="105"/>
        <v/>
      </c>
      <c r="FA17" s="778" t="str">
        <f t="shared" si="106"/>
        <v/>
      </c>
      <c r="FB17" s="778" t="str">
        <f t="shared" si="107"/>
        <v/>
      </c>
      <c r="FC17" s="778" t="str">
        <f t="shared" si="108"/>
        <v/>
      </c>
      <c r="FD17" s="778" t="str">
        <f t="shared" si="109"/>
        <v/>
      </c>
      <c r="FE17" s="778" t="str">
        <f t="shared" si="110"/>
        <v/>
      </c>
      <c r="FF17" s="778" t="str">
        <f t="shared" si="111"/>
        <v/>
      </c>
      <c r="FG17" s="778" t="str">
        <f t="shared" si="112"/>
        <v/>
      </c>
      <c r="FH17" s="778" t="str">
        <f t="shared" si="113"/>
        <v/>
      </c>
      <c r="FI17" s="778" t="str">
        <f t="shared" si="114"/>
        <v/>
      </c>
      <c r="FJ17" s="778" t="str">
        <f t="shared" si="115"/>
        <v/>
      </c>
      <c r="FK17" s="778" t="str">
        <f t="shared" si="116"/>
        <v/>
      </c>
      <c r="FL17" s="778" t="str">
        <f t="shared" si="117"/>
        <v/>
      </c>
      <c r="FM17" s="778" t="str">
        <f t="shared" si="118"/>
        <v/>
      </c>
      <c r="FN17" s="778" t="str">
        <f t="shared" si="119"/>
        <v/>
      </c>
      <c r="FO17" s="778" t="str">
        <f t="shared" si="120"/>
        <v/>
      </c>
      <c r="FP17" s="778" t="str">
        <f t="shared" si="121"/>
        <v/>
      </c>
      <c r="FQ17" s="778" t="str">
        <f t="shared" si="122"/>
        <v/>
      </c>
      <c r="FR17" s="778" t="str">
        <f t="shared" si="123"/>
        <v/>
      </c>
      <c r="FS17" s="778" t="str">
        <f t="shared" si="124"/>
        <v/>
      </c>
      <c r="FT17" s="778" t="str">
        <f t="shared" si="125"/>
        <v/>
      </c>
      <c r="FU17" s="778" t="str">
        <f t="shared" si="126"/>
        <v/>
      </c>
      <c r="FV17" s="778" t="str">
        <f t="shared" si="127"/>
        <v/>
      </c>
      <c r="FW17" s="778" t="str">
        <f t="shared" si="128"/>
        <v/>
      </c>
      <c r="FX17" s="778" t="str">
        <f t="shared" si="129"/>
        <v/>
      </c>
      <c r="FY17" s="778" t="str">
        <f t="shared" si="130"/>
        <v/>
      </c>
      <c r="FZ17" s="778" t="str">
        <f t="shared" si="131"/>
        <v/>
      </c>
      <c r="GA17" s="778" t="str">
        <f t="shared" si="132"/>
        <v/>
      </c>
      <c r="GB17" s="778" t="str">
        <f t="shared" si="133"/>
        <v/>
      </c>
      <c r="GC17" s="778" t="str">
        <f t="shared" si="134"/>
        <v/>
      </c>
      <c r="GD17" s="778" t="str">
        <f t="shared" si="135"/>
        <v/>
      </c>
      <c r="GE17" s="778" t="str">
        <f t="shared" si="136"/>
        <v/>
      </c>
      <c r="GF17" s="778" t="str">
        <f t="shared" si="137"/>
        <v/>
      </c>
      <c r="GG17" s="778" t="str">
        <f t="shared" si="138"/>
        <v/>
      </c>
      <c r="GH17" s="778" t="str">
        <f t="shared" si="139"/>
        <v/>
      </c>
      <c r="GI17" s="778" t="str">
        <f t="shared" si="140"/>
        <v/>
      </c>
      <c r="GJ17" s="778" t="str">
        <f t="shared" si="141"/>
        <v/>
      </c>
      <c r="GK17" s="778" t="str">
        <f t="shared" si="142"/>
        <v/>
      </c>
      <c r="GL17" s="778" t="str">
        <f t="shared" si="143"/>
        <v/>
      </c>
      <c r="GM17" s="778" t="str">
        <f t="shared" si="144"/>
        <v/>
      </c>
      <c r="GN17" s="778" t="str">
        <f t="shared" si="145"/>
        <v/>
      </c>
      <c r="GO17" s="779" t="str">
        <f t="shared" si="146"/>
        <v/>
      </c>
      <c r="GP17" s="779" t="str">
        <f t="shared" si="147"/>
        <v/>
      </c>
      <c r="GQ17" s="779" t="str">
        <f t="shared" si="148"/>
        <v/>
      </c>
      <c r="GR17" s="779" t="str">
        <f t="shared" si="149"/>
        <v/>
      </c>
      <c r="GS17" s="779" t="str">
        <f t="shared" si="150"/>
        <v/>
      </c>
      <c r="GT17" s="758" t="str">
        <f t="shared" si="151"/>
        <v/>
      </c>
      <c r="GU17" s="758" t="str">
        <f t="shared" si="152"/>
        <v/>
      </c>
      <c r="GV17" s="758" t="str">
        <f t="shared" si="153"/>
        <v/>
      </c>
      <c r="GW17" s="758" t="str">
        <f t="shared" si="154"/>
        <v/>
      </c>
      <c r="GX17" s="758" t="str">
        <f t="shared" si="155"/>
        <v/>
      </c>
      <c r="GY17" s="758" t="str">
        <f t="shared" si="156"/>
        <v/>
      </c>
      <c r="GZ17" s="758" t="str">
        <f t="shared" si="157"/>
        <v/>
      </c>
      <c r="HA17" s="758" t="str">
        <f t="shared" si="158"/>
        <v/>
      </c>
      <c r="HB17" s="758" t="str">
        <f t="shared" si="159"/>
        <v/>
      </c>
      <c r="HC17" s="758" t="str">
        <f t="shared" si="160"/>
        <v/>
      </c>
      <c r="HD17" s="758" t="str">
        <f t="shared" si="161"/>
        <v/>
      </c>
      <c r="HE17" s="758" t="str">
        <f t="shared" si="162"/>
        <v/>
      </c>
      <c r="HF17" s="758" t="str">
        <f t="shared" si="163"/>
        <v/>
      </c>
      <c r="HG17" s="758" t="str">
        <f t="shared" si="164"/>
        <v/>
      </c>
      <c r="HH17" s="758" t="str">
        <f t="shared" si="165"/>
        <v/>
      </c>
      <c r="HI17" s="758" t="str">
        <f t="shared" si="166"/>
        <v/>
      </c>
      <c r="HJ17" s="758" t="str">
        <f t="shared" si="167"/>
        <v/>
      </c>
      <c r="HK17" s="758" t="str">
        <f t="shared" si="168"/>
        <v/>
      </c>
      <c r="HL17" s="758" t="str">
        <f t="shared" si="169"/>
        <v/>
      </c>
      <c r="HM17" s="758" t="str">
        <f t="shared" si="170"/>
        <v/>
      </c>
    </row>
    <row r="18" spans="1:221" ht="13.35" customHeight="1">
      <c r="A18" s="148" t="str">
        <f t="shared" si="171"/>
        <v/>
      </c>
      <c r="B18" s="1515" t="s">
        <v>1533</v>
      </c>
      <c r="C18" s="1516"/>
      <c r="D18" s="1517"/>
      <c r="E18" s="1518"/>
      <c r="F18" s="1518"/>
      <c r="G18" s="1518"/>
      <c r="H18" s="1518"/>
      <c r="I18" s="1518"/>
      <c r="J18" s="1519"/>
      <c r="K18" s="225">
        <f t="shared" si="172"/>
        <v>0</v>
      </c>
      <c r="L18" s="225">
        <f t="shared" si="0"/>
        <v>0</v>
      </c>
      <c r="M18" s="1520"/>
      <c r="N18" s="1520"/>
      <c r="O18" s="1520"/>
      <c r="P18" s="674" t="str">
        <f t="shared" si="203"/>
        <v/>
      </c>
      <c r="Q18" s="675" t="str">
        <f>IF(H18="","",P18/($P$6*VLOOKUP(C18,'DCA Underwriting Assumptions'!$J$84:$K$89,2,FALSE)))</f>
        <v/>
      </c>
      <c r="R18" s="821"/>
      <c r="S18" s="675"/>
      <c r="T18" s="1455"/>
      <c r="U18" s="1456"/>
      <c r="V18" s="758" t="str">
        <f t="shared" si="1"/>
        <v/>
      </c>
      <c r="W18" s="758" t="str">
        <f t="shared" si="2"/>
        <v/>
      </c>
      <c r="X18" s="758" t="str">
        <f t="shared" si="3"/>
        <v/>
      </c>
      <c r="Y18" s="758" t="str">
        <f t="shared" si="4"/>
        <v/>
      </c>
      <c r="Z18" s="758" t="str">
        <f t="shared" si="5"/>
        <v/>
      </c>
      <c r="AA18" s="758" t="str">
        <f t="shared" si="6"/>
        <v/>
      </c>
      <c r="AB18" s="758" t="str">
        <f t="shared" si="7"/>
        <v/>
      </c>
      <c r="AC18" s="758" t="str">
        <f t="shared" si="8"/>
        <v/>
      </c>
      <c r="AD18" s="758" t="str">
        <f t="shared" si="9"/>
        <v/>
      </c>
      <c r="AE18" s="758" t="str">
        <f t="shared" si="10"/>
        <v/>
      </c>
      <c r="AF18" s="758" t="str">
        <f t="shared" si="11"/>
        <v/>
      </c>
      <c r="AG18" s="758" t="str">
        <f t="shared" si="12"/>
        <v/>
      </c>
      <c r="AH18" s="758" t="str">
        <f t="shared" si="13"/>
        <v/>
      </c>
      <c r="AI18" s="758" t="str">
        <f t="shared" si="14"/>
        <v/>
      </c>
      <c r="AJ18" s="758" t="str">
        <f t="shared" si="15"/>
        <v/>
      </c>
      <c r="AK18" s="758" t="str">
        <f t="shared" si="16"/>
        <v/>
      </c>
      <c r="AL18" s="758" t="str">
        <f t="shared" si="17"/>
        <v/>
      </c>
      <c r="AM18" s="758" t="str">
        <f t="shared" si="18"/>
        <v/>
      </c>
      <c r="AN18" s="758" t="str">
        <f t="shared" si="19"/>
        <v/>
      </c>
      <c r="AO18" s="758" t="str">
        <f t="shared" si="20"/>
        <v/>
      </c>
      <c r="AP18" s="758" t="str">
        <f t="shared" si="173"/>
        <v/>
      </c>
      <c r="AQ18" s="758" t="str">
        <f t="shared" si="174"/>
        <v/>
      </c>
      <c r="AR18" s="758" t="str">
        <f t="shared" si="175"/>
        <v/>
      </c>
      <c r="AS18" s="758" t="str">
        <f t="shared" si="176"/>
        <v/>
      </c>
      <c r="AT18" s="758" t="str">
        <f t="shared" si="177"/>
        <v/>
      </c>
      <c r="AU18" s="758" t="str">
        <f t="shared" si="178"/>
        <v/>
      </c>
      <c r="AV18" s="758" t="str">
        <f t="shared" si="179"/>
        <v/>
      </c>
      <c r="AW18" s="758" t="str">
        <f t="shared" si="180"/>
        <v/>
      </c>
      <c r="AX18" s="758" t="str">
        <f t="shared" si="181"/>
        <v/>
      </c>
      <c r="AY18" s="758" t="str">
        <f t="shared" si="182"/>
        <v/>
      </c>
      <c r="AZ18" s="758" t="str">
        <f t="shared" si="183"/>
        <v/>
      </c>
      <c r="BA18" s="758" t="str">
        <f t="shared" si="184"/>
        <v/>
      </c>
      <c r="BB18" s="758" t="str">
        <f t="shared" si="185"/>
        <v/>
      </c>
      <c r="BC18" s="758" t="str">
        <f t="shared" si="186"/>
        <v/>
      </c>
      <c r="BD18" s="758" t="str">
        <f t="shared" si="187"/>
        <v/>
      </c>
      <c r="BE18" s="758" t="str">
        <f t="shared" si="188"/>
        <v/>
      </c>
      <c r="BF18" s="758" t="str">
        <f t="shared" si="189"/>
        <v/>
      </c>
      <c r="BG18" s="758" t="str">
        <f t="shared" si="190"/>
        <v/>
      </c>
      <c r="BH18" s="758" t="str">
        <f t="shared" si="191"/>
        <v/>
      </c>
      <c r="BI18" s="758" t="str">
        <f t="shared" si="192"/>
        <v/>
      </c>
      <c r="BJ18" s="758" t="str">
        <f t="shared" si="193"/>
        <v/>
      </c>
      <c r="BK18" s="758" t="str">
        <f t="shared" si="194"/>
        <v/>
      </c>
      <c r="BL18" s="758" t="str">
        <f t="shared" si="195"/>
        <v/>
      </c>
      <c r="BM18" s="758" t="str">
        <f t="shared" si="196"/>
        <v/>
      </c>
      <c r="BN18" s="758" t="str">
        <f t="shared" si="197"/>
        <v/>
      </c>
      <c r="BO18" s="758" t="str">
        <f t="shared" si="198"/>
        <v/>
      </c>
      <c r="BP18" s="758" t="str">
        <f t="shared" si="199"/>
        <v/>
      </c>
      <c r="BQ18" s="758" t="str">
        <f t="shared" si="200"/>
        <v/>
      </c>
      <c r="BR18" s="758" t="str">
        <f t="shared" si="201"/>
        <v/>
      </c>
      <c r="BS18" s="758" t="str">
        <f t="shared" si="202"/>
        <v/>
      </c>
      <c r="BT18" s="758" t="str">
        <f t="shared" si="21"/>
        <v/>
      </c>
      <c r="BU18" s="758" t="str">
        <f t="shared" si="22"/>
        <v/>
      </c>
      <c r="BV18" s="758" t="str">
        <f t="shared" si="23"/>
        <v/>
      </c>
      <c r="BW18" s="758" t="str">
        <f t="shared" si="24"/>
        <v/>
      </c>
      <c r="BX18" s="758" t="str">
        <f t="shared" si="25"/>
        <v/>
      </c>
      <c r="BY18" s="758" t="str">
        <f t="shared" si="26"/>
        <v/>
      </c>
      <c r="BZ18" s="758" t="str">
        <f t="shared" si="27"/>
        <v/>
      </c>
      <c r="CA18" s="758" t="str">
        <f t="shared" si="28"/>
        <v/>
      </c>
      <c r="CB18" s="758" t="str">
        <f t="shared" si="29"/>
        <v/>
      </c>
      <c r="CC18" s="758" t="str">
        <f t="shared" si="30"/>
        <v/>
      </c>
      <c r="CD18" s="758" t="str">
        <f t="shared" si="31"/>
        <v/>
      </c>
      <c r="CE18" s="758" t="str">
        <f t="shared" si="32"/>
        <v/>
      </c>
      <c r="CF18" s="758" t="str">
        <f t="shared" si="33"/>
        <v/>
      </c>
      <c r="CG18" s="758" t="str">
        <f t="shared" si="34"/>
        <v/>
      </c>
      <c r="CH18" s="758" t="str">
        <f t="shared" si="35"/>
        <v/>
      </c>
      <c r="CI18" s="758" t="str">
        <f t="shared" si="36"/>
        <v/>
      </c>
      <c r="CJ18" s="758" t="str">
        <f t="shared" si="37"/>
        <v/>
      </c>
      <c r="CK18" s="758" t="str">
        <f t="shared" si="38"/>
        <v/>
      </c>
      <c r="CL18" s="758" t="str">
        <f t="shared" si="39"/>
        <v/>
      </c>
      <c r="CM18" s="758" t="str">
        <f t="shared" si="40"/>
        <v/>
      </c>
      <c r="CN18" s="758" t="str">
        <f t="shared" si="41"/>
        <v/>
      </c>
      <c r="CO18" s="758" t="str">
        <f t="shared" si="42"/>
        <v/>
      </c>
      <c r="CP18" s="758" t="str">
        <f t="shared" si="43"/>
        <v/>
      </c>
      <c r="CQ18" s="758" t="str">
        <f t="shared" si="44"/>
        <v/>
      </c>
      <c r="CR18" s="758" t="str">
        <f t="shared" si="45"/>
        <v/>
      </c>
      <c r="CS18" s="758" t="str">
        <f t="shared" si="46"/>
        <v/>
      </c>
      <c r="CT18" s="758" t="str">
        <f t="shared" si="47"/>
        <v/>
      </c>
      <c r="CU18" s="758" t="str">
        <f t="shared" si="48"/>
        <v/>
      </c>
      <c r="CV18" s="758" t="str">
        <f t="shared" si="49"/>
        <v/>
      </c>
      <c r="CW18" s="758" t="str">
        <f t="shared" si="50"/>
        <v/>
      </c>
      <c r="CX18" s="758" t="str">
        <f t="shared" si="51"/>
        <v/>
      </c>
      <c r="CY18" s="758" t="str">
        <f t="shared" si="52"/>
        <v/>
      </c>
      <c r="CZ18" s="758" t="str">
        <f t="shared" si="53"/>
        <v/>
      </c>
      <c r="DA18" s="758" t="str">
        <f t="shared" si="54"/>
        <v/>
      </c>
      <c r="DB18" s="758" t="str">
        <f t="shared" si="55"/>
        <v/>
      </c>
      <c r="DC18" s="758" t="str">
        <f t="shared" si="56"/>
        <v/>
      </c>
      <c r="DD18" s="758" t="str">
        <f t="shared" si="57"/>
        <v/>
      </c>
      <c r="DE18" s="758" t="str">
        <f t="shared" si="58"/>
        <v/>
      </c>
      <c r="DF18" s="758" t="str">
        <f t="shared" si="59"/>
        <v/>
      </c>
      <c r="DG18" s="758" t="str">
        <f t="shared" si="60"/>
        <v/>
      </c>
      <c r="DH18" s="758" t="str">
        <f t="shared" si="61"/>
        <v/>
      </c>
      <c r="DI18" s="758" t="str">
        <f t="shared" si="62"/>
        <v/>
      </c>
      <c r="DJ18" s="758" t="str">
        <f t="shared" si="63"/>
        <v/>
      </c>
      <c r="DK18" s="758" t="str">
        <f t="shared" si="64"/>
        <v/>
      </c>
      <c r="DL18" s="758" t="str">
        <f t="shared" si="65"/>
        <v/>
      </c>
      <c r="DM18" s="758" t="str">
        <f t="shared" si="66"/>
        <v/>
      </c>
      <c r="DN18" s="758" t="str">
        <f t="shared" si="67"/>
        <v/>
      </c>
      <c r="DO18" s="758" t="str">
        <f t="shared" si="68"/>
        <v/>
      </c>
      <c r="DP18" s="758" t="str">
        <f t="shared" si="69"/>
        <v/>
      </c>
      <c r="DQ18" s="758" t="str">
        <f t="shared" si="70"/>
        <v/>
      </c>
      <c r="DR18" s="758" t="str">
        <f t="shared" si="71"/>
        <v/>
      </c>
      <c r="DS18" s="758" t="str">
        <f t="shared" si="72"/>
        <v/>
      </c>
      <c r="DT18" s="758" t="str">
        <f t="shared" si="73"/>
        <v/>
      </c>
      <c r="DU18" s="758" t="str">
        <f t="shared" si="74"/>
        <v/>
      </c>
      <c r="DV18" s="758" t="str">
        <f t="shared" si="75"/>
        <v/>
      </c>
      <c r="DW18" s="758" t="str">
        <f t="shared" si="76"/>
        <v/>
      </c>
      <c r="DX18" s="758" t="str">
        <f t="shared" si="77"/>
        <v/>
      </c>
      <c r="DY18" s="758" t="str">
        <f t="shared" si="78"/>
        <v/>
      </c>
      <c r="DZ18" s="758" t="str">
        <f t="shared" si="79"/>
        <v/>
      </c>
      <c r="EA18" s="758" t="str">
        <f t="shared" si="80"/>
        <v/>
      </c>
      <c r="EB18" s="758" t="str">
        <f t="shared" si="81"/>
        <v/>
      </c>
      <c r="EC18" s="758" t="str">
        <f t="shared" si="82"/>
        <v/>
      </c>
      <c r="ED18" s="758" t="str">
        <f t="shared" si="83"/>
        <v/>
      </c>
      <c r="EE18" s="758" t="str">
        <f t="shared" si="84"/>
        <v/>
      </c>
      <c r="EF18" s="758" t="str">
        <f t="shared" si="85"/>
        <v/>
      </c>
      <c r="EG18" s="758" t="str">
        <f t="shared" si="86"/>
        <v/>
      </c>
      <c r="EH18" s="758" t="str">
        <f t="shared" si="87"/>
        <v/>
      </c>
      <c r="EI18" s="758" t="str">
        <f t="shared" si="88"/>
        <v/>
      </c>
      <c r="EJ18" s="758" t="str">
        <f t="shared" si="89"/>
        <v/>
      </c>
      <c r="EK18" s="758" t="str">
        <f t="shared" si="90"/>
        <v/>
      </c>
      <c r="EL18" s="758" t="str">
        <f t="shared" si="91"/>
        <v/>
      </c>
      <c r="EM18" s="758" t="str">
        <f t="shared" si="92"/>
        <v/>
      </c>
      <c r="EN18" s="758" t="str">
        <f t="shared" si="93"/>
        <v/>
      </c>
      <c r="EO18" s="758" t="str">
        <f t="shared" si="94"/>
        <v/>
      </c>
      <c r="EP18" s="758" t="str">
        <f t="shared" si="95"/>
        <v/>
      </c>
      <c r="EQ18" s="758" t="str">
        <f t="shared" si="96"/>
        <v/>
      </c>
      <c r="ER18" s="758" t="str">
        <f t="shared" si="97"/>
        <v/>
      </c>
      <c r="ES18" s="758" t="str">
        <f t="shared" si="98"/>
        <v/>
      </c>
      <c r="ET18" s="758" t="str">
        <f t="shared" si="99"/>
        <v/>
      </c>
      <c r="EU18" s="758" t="str">
        <f t="shared" si="100"/>
        <v/>
      </c>
      <c r="EV18" s="778" t="str">
        <f t="shared" si="101"/>
        <v/>
      </c>
      <c r="EW18" s="778" t="str">
        <f t="shared" si="102"/>
        <v/>
      </c>
      <c r="EX18" s="778" t="str">
        <f t="shared" si="103"/>
        <v/>
      </c>
      <c r="EY18" s="778" t="str">
        <f t="shared" si="104"/>
        <v/>
      </c>
      <c r="EZ18" s="778" t="str">
        <f t="shared" si="105"/>
        <v/>
      </c>
      <c r="FA18" s="778" t="str">
        <f t="shared" si="106"/>
        <v/>
      </c>
      <c r="FB18" s="778" t="str">
        <f t="shared" si="107"/>
        <v/>
      </c>
      <c r="FC18" s="778" t="str">
        <f t="shared" si="108"/>
        <v/>
      </c>
      <c r="FD18" s="778" t="str">
        <f t="shared" si="109"/>
        <v/>
      </c>
      <c r="FE18" s="778" t="str">
        <f t="shared" si="110"/>
        <v/>
      </c>
      <c r="FF18" s="778" t="str">
        <f t="shared" si="111"/>
        <v/>
      </c>
      <c r="FG18" s="778" t="str">
        <f t="shared" si="112"/>
        <v/>
      </c>
      <c r="FH18" s="778" t="str">
        <f t="shared" si="113"/>
        <v/>
      </c>
      <c r="FI18" s="778" t="str">
        <f t="shared" si="114"/>
        <v/>
      </c>
      <c r="FJ18" s="778" t="str">
        <f t="shared" si="115"/>
        <v/>
      </c>
      <c r="FK18" s="778" t="str">
        <f t="shared" si="116"/>
        <v/>
      </c>
      <c r="FL18" s="778" t="str">
        <f t="shared" si="117"/>
        <v/>
      </c>
      <c r="FM18" s="778" t="str">
        <f t="shared" si="118"/>
        <v/>
      </c>
      <c r="FN18" s="778" t="str">
        <f t="shared" si="119"/>
        <v/>
      </c>
      <c r="FO18" s="778" t="str">
        <f t="shared" si="120"/>
        <v/>
      </c>
      <c r="FP18" s="778" t="str">
        <f t="shared" si="121"/>
        <v/>
      </c>
      <c r="FQ18" s="778" t="str">
        <f t="shared" si="122"/>
        <v/>
      </c>
      <c r="FR18" s="778" t="str">
        <f t="shared" si="123"/>
        <v/>
      </c>
      <c r="FS18" s="778" t="str">
        <f t="shared" si="124"/>
        <v/>
      </c>
      <c r="FT18" s="778" t="str">
        <f t="shared" si="125"/>
        <v/>
      </c>
      <c r="FU18" s="778" t="str">
        <f t="shared" si="126"/>
        <v/>
      </c>
      <c r="FV18" s="778" t="str">
        <f t="shared" si="127"/>
        <v/>
      </c>
      <c r="FW18" s="778" t="str">
        <f t="shared" si="128"/>
        <v/>
      </c>
      <c r="FX18" s="778" t="str">
        <f t="shared" si="129"/>
        <v/>
      </c>
      <c r="FY18" s="778" t="str">
        <f t="shared" si="130"/>
        <v/>
      </c>
      <c r="FZ18" s="778" t="str">
        <f t="shared" si="131"/>
        <v/>
      </c>
      <c r="GA18" s="778" t="str">
        <f t="shared" si="132"/>
        <v/>
      </c>
      <c r="GB18" s="778" t="str">
        <f t="shared" si="133"/>
        <v/>
      </c>
      <c r="GC18" s="778" t="str">
        <f t="shared" si="134"/>
        <v/>
      </c>
      <c r="GD18" s="778" t="str">
        <f t="shared" si="135"/>
        <v/>
      </c>
      <c r="GE18" s="778" t="str">
        <f t="shared" si="136"/>
        <v/>
      </c>
      <c r="GF18" s="778" t="str">
        <f t="shared" si="137"/>
        <v/>
      </c>
      <c r="GG18" s="778" t="str">
        <f t="shared" si="138"/>
        <v/>
      </c>
      <c r="GH18" s="778" t="str">
        <f t="shared" si="139"/>
        <v/>
      </c>
      <c r="GI18" s="778" t="str">
        <f t="shared" si="140"/>
        <v/>
      </c>
      <c r="GJ18" s="778" t="str">
        <f t="shared" si="141"/>
        <v/>
      </c>
      <c r="GK18" s="778" t="str">
        <f t="shared" si="142"/>
        <v/>
      </c>
      <c r="GL18" s="778" t="str">
        <f t="shared" si="143"/>
        <v/>
      </c>
      <c r="GM18" s="778" t="str">
        <f t="shared" si="144"/>
        <v/>
      </c>
      <c r="GN18" s="778" t="str">
        <f t="shared" si="145"/>
        <v/>
      </c>
      <c r="GO18" s="779" t="str">
        <f t="shared" si="146"/>
        <v/>
      </c>
      <c r="GP18" s="779" t="str">
        <f t="shared" si="147"/>
        <v/>
      </c>
      <c r="GQ18" s="779" t="str">
        <f t="shared" si="148"/>
        <v/>
      </c>
      <c r="GR18" s="779" t="str">
        <f t="shared" si="149"/>
        <v/>
      </c>
      <c r="GS18" s="779" t="str">
        <f t="shared" si="150"/>
        <v/>
      </c>
      <c r="GT18" s="758" t="str">
        <f t="shared" si="151"/>
        <v/>
      </c>
      <c r="GU18" s="758" t="str">
        <f t="shared" si="152"/>
        <v/>
      </c>
      <c r="GV18" s="758" t="str">
        <f t="shared" si="153"/>
        <v/>
      </c>
      <c r="GW18" s="758" t="str">
        <f t="shared" si="154"/>
        <v/>
      </c>
      <c r="GX18" s="758" t="str">
        <f t="shared" si="155"/>
        <v/>
      </c>
      <c r="GY18" s="758" t="str">
        <f t="shared" si="156"/>
        <v/>
      </c>
      <c r="GZ18" s="758" t="str">
        <f t="shared" si="157"/>
        <v/>
      </c>
      <c r="HA18" s="758" t="str">
        <f t="shared" si="158"/>
        <v/>
      </c>
      <c r="HB18" s="758" t="str">
        <f t="shared" si="159"/>
        <v/>
      </c>
      <c r="HC18" s="758" t="str">
        <f t="shared" si="160"/>
        <v/>
      </c>
      <c r="HD18" s="758" t="str">
        <f t="shared" si="161"/>
        <v/>
      </c>
      <c r="HE18" s="758" t="str">
        <f t="shared" si="162"/>
        <v/>
      </c>
      <c r="HF18" s="758" t="str">
        <f t="shared" si="163"/>
        <v/>
      </c>
      <c r="HG18" s="758" t="str">
        <f t="shared" si="164"/>
        <v/>
      </c>
      <c r="HH18" s="758" t="str">
        <f t="shared" si="165"/>
        <v/>
      </c>
      <c r="HI18" s="758" t="str">
        <f t="shared" si="166"/>
        <v/>
      </c>
      <c r="HJ18" s="758" t="str">
        <f t="shared" si="167"/>
        <v/>
      </c>
      <c r="HK18" s="758" t="str">
        <f t="shared" si="168"/>
        <v/>
      </c>
      <c r="HL18" s="758" t="str">
        <f t="shared" si="169"/>
        <v/>
      </c>
      <c r="HM18" s="758" t="str">
        <f t="shared" si="170"/>
        <v/>
      </c>
    </row>
    <row r="19" spans="1:221" ht="13.35" customHeight="1">
      <c r="A19" s="148" t="str">
        <f t="shared" si="171"/>
        <v/>
      </c>
      <c r="B19" s="1515" t="s">
        <v>1533</v>
      </c>
      <c r="C19" s="1516"/>
      <c r="D19" s="1517"/>
      <c r="E19" s="1518"/>
      <c r="F19" s="1518"/>
      <c r="G19" s="1518"/>
      <c r="H19" s="1518"/>
      <c r="I19" s="1518"/>
      <c r="J19" s="1519"/>
      <c r="K19" s="225">
        <f t="shared" si="172"/>
        <v>0</v>
      </c>
      <c r="L19" s="225">
        <f t="shared" si="0"/>
        <v>0</v>
      </c>
      <c r="M19" s="1520"/>
      <c r="N19" s="1520"/>
      <c r="O19" s="1520"/>
      <c r="P19" s="674" t="str">
        <f t="shared" si="203"/>
        <v/>
      </c>
      <c r="Q19" s="675" t="str">
        <f>IF(H19="","",P19/($P$6*VLOOKUP(C19,'DCA Underwriting Assumptions'!$J$84:$K$89,2,FALSE)))</f>
        <v/>
      </c>
      <c r="R19" s="821"/>
      <c r="S19" s="675"/>
      <c r="T19" s="1455"/>
      <c r="U19" s="1456"/>
      <c r="V19" s="758" t="str">
        <f t="shared" si="1"/>
        <v/>
      </c>
      <c r="W19" s="758" t="str">
        <f t="shared" si="2"/>
        <v/>
      </c>
      <c r="X19" s="758" t="str">
        <f t="shared" si="3"/>
        <v/>
      </c>
      <c r="Y19" s="758" t="str">
        <f t="shared" si="4"/>
        <v/>
      </c>
      <c r="Z19" s="758" t="str">
        <f t="shared" si="5"/>
        <v/>
      </c>
      <c r="AA19" s="758" t="str">
        <f t="shared" si="6"/>
        <v/>
      </c>
      <c r="AB19" s="758" t="str">
        <f t="shared" si="7"/>
        <v/>
      </c>
      <c r="AC19" s="758" t="str">
        <f t="shared" si="8"/>
        <v/>
      </c>
      <c r="AD19" s="758" t="str">
        <f t="shared" si="9"/>
        <v/>
      </c>
      <c r="AE19" s="758" t="str">
        <f t="shared" si="10"/>
        <v/>
      </c>
      <c r="AF19" s="758" t="str">
        <f t="shared" si="11"/>
        <v/>
      </c>
      <c r="AG19" s="758" t="str">
        <f t="shared" si="12"/>
        <v/>
      </c>
      <c r="AH19" s="758" t="str">
        <f t="shared" si="13"/>
        <v/>
      </c>
      <c r="AI19" s="758" t="str">
        <f t="shared" si="14"/>
        <v/>
      </c>
      <c r="AJ19" s="758" t="str">
        <f t="shared" si="15"/>
        <v/>
      </c>
      <c r="AK19" s="758" t="str">
        <f t="shared" si="16"/>
        <v/>
      </c>
      <c r="AL19" s="758" t="str">
        <f t="shared" si="17"/>
        <v/>
      </c>
      <c r="AM19" s="758" t="str">
        <f t="shared" si="18"/>
        <v/>
      </c>
      <c r="AN19" s="758" t="str">
        <f t="shared" si="19"/>
        <v/>
      </c>
      <c r="AO19" s="758" t="str">
        <f t="shared" si="20"/>
        <v/>
      </c>
      <c r="AP19" s="758" t="str">
        <f t="shared" si="173"/>
        <v/>
      </c>
      <c r="AQ19" s="758" t="str">
        <f t="shared" si="174"/>
        <v/>
      </c>
      <c r="AR19" s="758" t="str">
        <f t="shared" si="175"/>
        <v/>
      </c>
      <c r="AS19" s="758" t="str">
        <f t="shared" si="176"/>
        <v/>
      </c>
      <c r="AT19" s="758" t="str">
        <f t="shared" si="177"/>
        <v/>
      </c>
      <c r="AU19" s="758" t="str">
        <f t="shared" si="178"/>
        <v/>
      </c>
      <c r="AV19" s="758" t="str">
        <f t="shared" si="179"/>
        <v/>
      </c>
      <c r="AW19" s="758" t="str">
        <f t="shared" si="180"/>
        <v/>
      </c>
      <c r="AX19" s="758" t="str">
        <f t="shared" si="181"/>
        <v/>
      </c>
      <c r="AY19" s="758" t="str">
        <f t="shared" si="182"/>
        <v/>
      </c>
      <c r="AZ19" s="758" t="str">
        <f t="shared" si="183"/>
        <v/>
      </c>
      <c r="BA19" s="758" t="str">
        <f t="shared" si="184"/>
        <v/>
      </c>
      <c r="BB19" s="758" t="str">
        <f t="shared" si="185"/>
        <v/>
      </c>
      <c r="BC19" s="758" t="str">
        <f t="shared" si="186"/>
        <v/>
      </c>
      <c r="BD19" s="758" t="str">
        <f t="shared" si="187"/>
        <v/>
      </c>
      <c r="BE19" s="758" t="str">
        <f t="shared" si="188"/>
        <v/>
      </c>
      <c r="BF19" s="758" t="str">
        <f t="shared" si="189"/>
        <v/>
      </c>
      <c r="BG19" s="758" t="str">
        <f t="shared" si="190"/>
        <v/>
      </c>
      <c r="BH19" s="758" t="str">
        <f t="shared" si="191"/>
        <v/>
      </c>
      <c r="BI19" s="758" t="str">
        <f t="shared" si="192"/>
        <v/>
      </c>
      <c r="BJ19" s="758" t="str">
        <f t="shared" si="193"/>
        <v/>
      </c>
      <c r="BK19" s="758" t="str">
        <f t="shared" si="194"/>
        <v/>
      </c>
      <c r="BL19" s="758" t="str">
        <f t="shared" si="195"/>
        <v/>
      </c>
      <c r="BM19" s="758" t="str">
        <f t="shared" si="196"/>
        <v/>
      </c>
      <c r="BN19" s="758" t="str">
        <f t="shared" si="197"/>
        <v/>
      </c>
      <c r="BO19" s="758" t="str">
        <f t="shared" si="198"/>
        <v/>
      </c>
      <c r="BP19" s="758" t="str">
        <f t="shared" si="199"/>
        <v/>
      </c>
      <c r="BQ19" s="758" t="str">
        <f t="shared" si="200"/>
        <v/>
      </c>
      <c r="BR19" s="758" t="str">
        <f t="shared" si="201"/>
        <v/>
      </c>
      <c r="BS19" s="758" t="str">
        <f t="shared" si="202"/>
        <v/>
      </c>
      <c r="BT19" s="758" t="str">
        <f t="shared" si="21"/>
        <v/>
      </c>
      <c r="BU19" s="758" t="str">
        <f t="shared" si="22"/>
        <v/>
      </c>
      <c r="BV19" s="758" t="str">
        <f t="shared" si="23"/>
        <v/>
      </c>
      <c r="BW19" s="758" t="str">
        <f t="shared" si="24"/>
        <v/>
      </c>
      <c r="BX19" s="758" t="str">
        <f t="shared" si="25"/>
        <v/>
      </c>
      <c r="BY19" s="758" t="str">
        <f t="shared" si="26"/>
        <v/>
      </c>
      <c r="BZ19" s="758" t="str">
        <f t="shared" si="27"/>
        <v/>
      </c>
      <c r="CA19" s="758" t="str">
        <f t="shared" si="28"/>
        <v/>
      </c>
      <c r="CB19" s="758" t="str">
        <f t="shared" si="29"/>
        <v/>
      </c>
      <c r="CC19" s="758" t="str">
        <f t="shared" si="30"/>
        <v/>
      </c>
      <c r="CD19" s="758" t="str">
        <f t="shared" si="31"/>
        <v/>
      </c>
      <c r="CE19" s="758" t="str">
        <f t="shared" si="32"/>
        <v/>
      </c>
      <c r="CF19" s="758" t="str">
        <f t="shared" si="33"/>
        <v/>
      </c>
      <c r="CG19" s="758" t="str">
        <f t="shared" si="34"/>
        <v/>
      </c>
      <c r="CH19" s="758" t="str">
        <f t="shared" si="35"/>
        <v/>
      </c>
      <c r="CI19" s="758" t="str">
        <f t="shared" si="36"/>
        <v/>
      </c>
      <c r="CJ19" s="758" t="str">
        <f t="shared" si="37"/>
        <v/>
      </c>
      <c r="CK19" s="758" t="str">
        <f t="shared" si="38"/>
        <v/>
      </c>
      <c r="CL19" s="758" t="str">
        <f t="shared" si="39"/>
        <v/>
      </c>
      <c r="CM19" s="758" t="str">
        <f t="shared" si="40"/>
        <v/>
      </c>
      <c r="CN19" s="758" t="str">
        <f t="shared" si="41"/>
        <v/>
      </c>
      <c r="CO19" s="758" t="str">
        <f t="shared" si="42"/>
        <v/>
      </c>
      <c r="CP19" s="758" t="str">
        <f t="shared" si="43"/>
        <v/>
      </c>
      <c r="CQ19" s="758" t="str">
        <f t="shared" si="44"/>
        <v/>
      </c>
      <c r="CR19" s="758" t="str">
        <f t="shared" si="45"/>
        <v/>
      </c>
      <c r="CS19" s="758" t="str">
        <f t="shared" si="46"/>
        <v/>
      </c>
      <c r="CT19" s="758" t="str">
        <f t="shared" si="47"/>
        <v/>
      </c>
      <c r="CU19" s="758" t="str">
        <f t="shared" si="48"/>
        <v/>
      </c>
      <c r="CV19" s="758" t="str">
        <f t="shared" si="49"/>
        <v/>
      </c>
      <c r="CW19" s="758" t="str">
        <f t="shared" si="50"/>
        <v/>
      </c>
      <c r="CX19" s="758" t="str">
        <f t="shared" si="51"/>
        <v/>
      </c>
      <c r="CY19" s="758" t="str">
        <f t="shared" si="52"/>
        <v/>
      </c>
      <c r="CZ19" s="758" t="str">
        <f t="shared" si="53"/>
        <v/>
      </c>
      <c r="DA19" s="758" t="str">
        <f t="shared" si="54"/>
        <v/>
      </c>
      <c r="DB19" s="758" t="str">
        <f t="shared" si="55"/>
        <v/>
      </c>
      <c r="DC19" s="758" t="str">
        <f t="shared" si="56"/>
        <v/>
      </c>
      <c r="DD19" s="758" t="str">
        <f t="shared" si="57"/>
        <v/>
      </c>
      <c r="DE19" s="758" t="str">
        <f t="shared" si="58"/>
        <v/>
      </c>
      <c r="DF19" s="758" t="str">
        <f t="shared" si="59"/>
        <v/>
      </c>
      <c r="DG19" s="758" t="str">
        <f t="shared" si="60"/>
        <v/>
      </c>
      <c r="DH19" s="758" t="str">
        <f t="shared" si="61"/>
        <v/>
      </c>
      <c r="DI19" s="758" t="str">
        <f t="shared" si="62"/>
        <v/>
      </c>
      <c r="DJ19" s="758" t="str">
        <f t="shared" si="63"/>
        <v/>
      </c>
      <c r="DK19" s="758" t="str">
        <f t="shared" si="64"/>
        <v/>
      </c>
      <c r="DL19" s="758" t="str">
        <f t="shared" si="65"/>
        <v/>
      </c>
      <c r="DM19" s="758" t="str">
        <f t="shared" si="66"/>
        <v/>
      </c>
      <c r="DN19" s="758" t="str">
        <f t="shared" si="67"/>
        <v/>
      </c>
      <c r="DO19" s="758" t="str">
        <f t="shared" si="68"/>
        <v/>
      </c>
      <c r="DP19" s="758" t="str">
        <f t="shared" si="69"/>
        <v/>
      </c>
      <c r="DQ19" s="758" t="str">
        <f t="shared" si="70"/>
        <v/>
      </c>
      <c r="DR19" s="758" t="str">
        <f t="shared" si="71"/>
        <v/>
      </c>
      <c r="DS19" s="758" t="str">
        <f t="shared" si="72"/>
        <v/>
      </c>
      <c r="DT19" s="758" t="str">
        <f t="shared" si="73"/>
        <v/>
      </c>
      <c r="DU19" s="758" t="str">
        <f t="shared" si="74"/>
        <v/>
      </c>
      <c r="DV19" s="758" t="str">
        <f t="shared" si="75"/>
        <v/>
      </c>
      <c r="DW19" s="758" t="str">
        <f t="shared" si="76"/>
        <v/>
      </c>
      <c r="DX19" s="758" t="str">
        <f t="shared" si="77"/>
        <v/>
      </c>
      <c r="DY19" s="758" t="str">
        <f t="shared" si="78"/>
        <v/>
      </c>
      <c r="DZ19" s="758" t="str">
        <f t="shared" si="79"/>
        <v/>
      </c>
      <c r="EA19" s="758" t="str">
        <f t="shared" si="80"/>
        <v/>
      </c>
      <c r="EB19" s="758" t="str">
        <f t="shared" si="81"/>
        <v/>
      </c>
      <c r="EC19" s="758" t="str">
        <f t="shared" si="82"/>
        <v/>
      </c>
      <c r="ED19" s="758" t="str">
        <f t="shared" si="83"/>
        <v/>
      </c>
      <c r="EE19" s="758" t="str">
        <f t="shared" si="84"/>
        <v/>
      </c>
      <c r="EF19" s="758" t="str">
        <f t="shared" si="85"/>
        <v/>
      </c>
      <c r="EG19" s="758" t="str">
        <f t="shared" si="86"/>
        <v/>
      </c>
      <c r="EH19" s="758" t="str">
        <f t="shared" si="87"/>
        <v/>
      </c>
      <c r="EI19" s="758" t="str">
        <f t="shared" si="88"/>
        <v/>
      </c>
      <c r="EJ19" s="758" t="str">
        <f t="shared" si="89"/>
        <v/>
      </c>
      <c r="EK19" s="758" t="str">
        <f t="shared" si="90"/>
        <v/>
      </c>
      <c r="EL19" s="758" t="str">
        <f t="shared" si="91"/>
        <v/>
      </c>
      <c r="EM19" s="758" t="str">
        <f t="shared" si="92"/>
        <v/>
      </c>
      <c r="EN19" s="758" t="str">
        <f t="shared" si="93"/>
        <v/>
      </c>
      <c r="EO19" s="758" t="str">
        <f t="shared" si="94"/>
        <v/>
      </c>
      <c r="EP19" s="758" t="str">
        <f t="shared" si="95"/>
        <v/>
      </c>
      <c r="EQ19" s="758" t="str">
        <f t="shared" si="96"/>
        <v/>
      </c>
      <c r="ER19" s="758" t="str">
        <f t="shared" si="97"/>
        <v/>
      </c>
      <c r="ES19" s="758" t="str">
        <f t="shared" si="98"/>
        <v/>
      </c>
      <c r="ET19" s="758" t="str">
        <f t="shared" si="99"/>
        <v/>
      </c>
      <c r="EU19" s="758" t="str">
        <f t="shared" si="100"/>
        <v/>
      </c>
      <c r="EV19" s="778" t="str">
        <f t="shared" si="101"/>
        <v/>
      </c>
      <c r="EW19" s="778" t="str">
        <f t="shared" si="102"/>
        <v/>
      </c>
      <c r="EX19" s="778" t="str">
        <f t="shared" si="103"/>
        <v/>
      </c>
      <c r="EY19" s="778" t="str">
        <f t="shared" si="104"/>
        <v/>
      </c>
      <c r="EZ19" s="778" t="str">
        <f t="shared" si="105"/>
        <v/>
      </c>
      <c r="FA19" s="778" t="str">
        <f t="shared" si="106"/>
        <v/>
      </c>
      <c r="FB19" s="778" t="str">
        <f t="shared" si="107"/>
        <v/>
      </c>
      <c r="FC19" s="778" t="str">
        <f t="shared" si="108"/>
        <v/>
      </c>
      <c r="FD19" s="778" t="str">
        <f t="shared" si="109"/>
        <v/>
      </c>
      <c r="FE19" s="778" t="str">
        <f t="shared" si="110"/>
        <v/>
      </c>
      <c r="FF19" s="778" t="str">
        <f t="shared" si="111"/>
        <v/>
      </c>
      <c r="FG19" s="778" t="str">
        <f t="shared" si="112"/>
        <v/>
      </c>
      <c r="FH19" s="778" t="str">
        <f t="shared" si="113"/>
        <v/>
      </c>
      <c r="FI19" s="778" t="str">
        <f t="shared" si="114"/>
        <v/>
      </c>
      <c r="FJ19" s="778" t="str">
        <f t="shared" si="115"/>
        <v/>
      </c>
      <c r="FK19" s="778" t="str">
        <f t="shared" si="116"/>
        <v/>
      </c>
      <c r="FL19" s="778" t="str">
        <f t="shared" si="117"/>
        <v/>
      </c>
      <c r="FM19" s="778" t="str">
        <f t="shared" si="118"/>
        <v/>
      </c>
      <c r="FN19" s="778" t="str">
        <f t="shared" si="119"/>
        <v/>
      </c>
      <c r="FO19" s="778" t="str">
        <f t="shared" si="120"/>
        <v/>
      </c>
      <c r="FP19" s="778" t="str">
        <f t="shared" si="121"/>
        <v/>
      </c>
      <c r="FQ19" s="778" t="str">
        <f t="shared" si="122"/>
        <v/>
      </c>
      <c r="FR19" s="778" t="str">
        <f t="shared" si="123"/>
        <v/>
      </c>
      <c r="FS19" s="778" t="str">
        <f t="shared" si="124"/>
        <v/>
      </c>
      <c r="FT19" s="778" t="str">
        <f t="shared" si="125"/>
        <v/>
      </c>
      <c r="FU19" s="778" t="str">
        <f t="shared" si="126"/>
        <v/>
      </c>
      <c r="FV19" s="778" t="str">
        <f t="shared" si="127"/>
        <v/>
      </c>
      <c r="FW19" s="778" t="str">
        <f t="shared" si="128"/>
        <v/>
      </c>
      <c r="FX19" s="778" t="str">
        <f t="shared" si="129"/>
        <v/>
      </c>
      <c r="FY19" s="778" t="str">
        <f t="shared" si="130"/>
        <v/>
      </c>
      <c r="FZ19" s="778" t="str">
        <f t="shared" si="131"/>
        <v/>
      </c>
      <c r="GA19" s="778" t="str">
        <f t="shared" si="132"/>
        <v/>
      </c>
      <c r="GB19" s="778" t="str">
        <f t="shared" si="133"/>
        <v/>
      </c>
      <c r="GC19" s="778" t="str">
        <f t="shared" si="134"/>
        <v/>
      </c>
      <c r="GD19" s="778" t="str">
        <f t="shared" si="135"/>
        <v/>
      </c>
      <c r="GE19" s="778" t="str">
        <f t="shared" si="136"/>
        <v/>
      </c>
      <c r="GF19" s="778" t="str">
        <f t="shared" si="137"/>
        <v/>
      </c>
      <c r="GG19" s="778" t="str">
        <f t="shared" si="138"/>
        <v/>
      </c>
      <c r="GH19" s="778" t="str">
        <f t="shared" si="139"/>
        <v/>
      </c>
      <c r="GI19" s="778" t="str">
        <f t="shared" si="140"/>
        <v/>
      </c>
      <c r="GJ19" s="778" t="str">
        <f t="shared" si="141"/>
        <v/>
      </c>
      <c r="GK19" s="778" t="str">
        <f t="shared" si="142"/>
        <v/>
      </c>
      <c r="GL19" s="778" t="str">
        <f t="shared" si="143"/>
        <v/>
      </c>
      <c r="GM19" s="778" t="str">
        <f t="shared" si="144"/>
        <v/>
      </c>
      <c r="GN19" s="778" t="str">
        <f t="shared" si="145"/>
        <v/>
      </c>
      <c r="GO19" s="779" t="str">
        <f t="shared" si="146"/>
        <v/>
      </c>
      <c r="GP19" s="779" t="str">
        <f t="shared" si="147"/>
        <v/>
      </c>
      <c r="GQ19" s="779" t="str">
        <f t="shared" si="148"/>
        <v/>
      </c>
      <c r="GR19" s="779" t="str">
        <f t="shared" si="149"/>
        <v/>
      </c>
      <c r="GS19" s="779" t="str">
        <f t="shared" si="150"/>
        <v/>
      </c>
      <c r="GT19" s="758" t="str">
        <f t="shared" si="151"/>
        <v/>
      </c>
      <c r="GU19" s="758" t="str">
        <f t="shared" si="152"/>
        <v/>
      </c>
      <c r="GV19" s="758" t="str">
        <f t="shared" si="153"/>
        <v/>
      </c>
      <c r="GW19" s="758" t="str">
        <f t="shared" si="154"/>
        <v/>
      </c>
      <c r="GX19" s="758" t="str">
        <f t="shared" si="155"/>
        <v/>
      </c>
      <c r="GY19" s="758" t="str">
        <f t="shared" si="156"/>
        <v/>
      </c>
      <c r="GZ19" s="758" t="str">
        <f t="shared" si="157"/>
        <v/>
      </c>
      <c r="HA19" s="758" t="str">
        <f t="shared" si="158"/>
        <v/>
      </c>
      <c r="HB19" s="758" t="str">
        <f t="shared" si="159"/>
        <v/>
      </c>
      <c r="HC19" s="758" t="str">
        <f t="shared" si="160"/>
        <v/>
      </c>
      <c r="HD19" s="758" t="str">
        <f t="shared" si="161"/>
        <v/>
      </c>
      <c r="HE19" s="758" t="str">
        <f t="shared" si="162"/>
        <v/>
      </c>
      <c r="HF19" s="758" t="str">
        <f t="shared" si="163"/>
        <v/>
      </c>
      <c r="HG19" s="758" t="str">
        <f t="shared" si="164"/>
        <v/>
      </c>
      <c r="HH19" s="758" t="str">
        <f t="shared" si="165"/>
        <v/>
      </c>
      <c r="HI19" s="758" t="str">
        <f t="shared" si="166"/>
        <v/>
      </c>
      <c r="HJ19" s="758" t="str">
        <f t="shared" si="167"/>
        <v/>
      </c>
      <c r="HK19" s="758" t="str">
        <f t="shared" si="168"/>
        <v/>
      </c>
      <c r="HL19" s="758" t="str">
        <f t="shared" si="169"/>
        <v/>
      </c>
      <c r="HM19" s="758" t="str">
        <f t="shared" si="170"/>
        <v/>
      </c>
    </row>
    <row r="20" spans="1:221" ht="13.35" customHeight="1">
      <c r="A20" s="148" t="str">
        <f t="shared" si="171"/>
        <v/>
      </c>
      <c r="B20" s="1515" t="s">
        <v>1533</v>
      </c>
      <c r="C20" s="1516"/>
      <c r="D20" s="1517"/>
      <c r="E20" s="1518"/>
      <c r="F20" s="1518"/>
      <c r="G20" s="1518"/>
      <c r="H20" s="1518"/>
      <c r="I20" s="1518"/>
      <c r="J20" s="1519"/>
      <c r="K20" s="225">
        <f t="shared" si="172"/>
        <v>0</v>
      </c>
      <c r="L20" s="225">
        <f t="shared" si="0"/>
        <v>0</v>
      </c>
      <c r="M20" s="1520"/>
      <c r="N20" s="1520"/>
      <c r="O20" s="1520"/>
      <c r="P20" s="674" t="str">
        <f t="shared" si="203"/>
        <v/>
      </c>
      <c r="Q20" s="675" t="str">
        <f>IF(H20="","",P20/($P$6*VLOOKUP(C20,'DCA Underwriting Assumptions'!$J$84:$K$89,2,FALSE)))</f>
        <v/>
      </c>
      <c r="R20" s="821"/>
      <c r="S20" s="675"/>
      <c r="T20" s="1455"/>
      <c r="U20" s="1456"/>
      <c r="V20" s="758" t="str">
        <f t="shared" si="1"/>
        <v/>
      </c>
      <c r="W20" s="758" t="str">
        <f t="shared" si="2"/>
        <v/>
      </c>
      <c r="X20" s="758" t="str">
        <f t="shared" si="3"/>
        <v/>
      </c>
      <c r="Y20" s="758" t="str">
        <f t="shared" si="4"/>
        <v/>
      </c>
      <c r="Z20" s="758" t="str">
        <f t="shared" si="5"/>
        <v/>
      </c>
      <c r="AA20" s="758" t="str">
        <f t="shared" si="6"/>
        <v/>
      </c>
      <c r="AB20" s="758" t="str">
        <f t="shared" si="7"/>
        <v/>
      </c>
      <c r="AC20" s="758" t="str">
        <f t="shared" si="8"/>
        <v/>
      </c>
      <c r="AD20" s="758" t="str">
        <f t="shared" si="9"/>
        <v/>
      </c>
      <c r="AE20" s="758" t="str">
        <f t="shared" si="10"/>
        <v/>
      </c>
      <c r="AF20" s="758" t="str">
        <f t="shared" si="11"/>
        <v/>
      </c>
      <c r="AG20" s="758" t="str">
        <f t="shared" si="12"/>
        <v/>
      </c>
      <c r="AH20" s="758" t="str">
        <f t="shared" si="13"/>
        <v/>
      </c>
      <c r="AI20" s="758" t="str">
        <f t="shared" si="14"/>
        <v/>
      </c>
      <c r="AJ20" s="758" t="str">
        <f t="shared" si="15"/>
        <v/>
      </c>
      <c r="AK20" s="758" t="str">
        <f t="shared" si="16"/>
        <v/>
      </c>
      <c r="AL20" s="758" t="str">
        <f t="shared" si="17"/>
        <v/>
      </c>
      <c r="AM20" s="758" t="str">
        <f t="shared" si="18"/>
        <v/>
      </c>
      <c r="AN20" s="758" t="str">
        <f t="shared" si="19"/>
        <v/>
      </c>
      <c r="AO20" s="758" t="str">
        <f t="shared" si="20"/>
        <v/>
      </c>
      <c r="AP20" s="758" t="str">
        <f t="shared" si="173"/>
        <v/>
      </c>
      <c r="AQ20" s="758" t="str">
        <f t="shared" si="174"/>
        <v/>
      </c>
      <c r="AR20" s="758" t="str">
        <f t="shared" si="175"/>
        <v/>
      </c>
      <c r="AS20" s="758" t="str">
        <f t="shared" si="176"/>
        <v/>
      </c>
      <c r="AT20" s="758" t="str">
        <f t="shared" si="177"/>
        <v/>
      </c>
      <c r="AU20" s="758" t="str">
        <f t="shared" si="178"/>
        <v/>
      </c>
      <c r="AV20" s="758" t="str">
        <f t="shared" si="179"/>
        <v/>
      </c>
      <c r="AW20" s="758" t="str">
        <f t="shared" si="180"/>
        <v/>
      </c>
      <c r="AX20" s="758" t="str">
        <f t="shared" si="181"/>
        <v/>
      </c>
      <c r="AY20" s="758" t="str">
        <f t="shared" si="182"/>
        <v/>
      </c>
      <c r="AZ20" s="758" t="str">
        <f t="shared" si="183"/>
        <v/>
      </c>
      <c r="BA20" s="758" t="str">
        <f t="shared" si="184"/>
        <v/>
      </c>
      <c r="BB20" s="758" t="str">
        <f t="shared" si="185"/>
        <v/>
      </c>
      <c r="BC20" s="758" t="str">
        <f t="shared" si="186"/>
        <v/>
      </c>
      <c r="BD20" s="758" t="str">
        <f t="shared" si="187"/>
        <v/>
      </c>
      <c r="BE20" s="758" t="str">
        <f t="shared" si="188"/>
        <v/>
      </c>
      <c r="BF20" s="758" t="str">
        <f t="shared" si="189"/>
        <v/>
      </c>
      <c r="BG20" s="758" t="str">
        <f t="shared" si="190"/>
        <v/>
      </c>
      <c r="BH20" s="758" t="str">
        <f t="shared" si="191"/>
        <v/>
      </c>
      <c r="BI20" s="758" t="str">
        <f t="shared" si="192"/>
        <v/>
      </c>
      <c r="BJ20" s="758" t="str">
        <f t="shared" si="193"/>
        <v/>
      </c>
      <c r="BK20" s="758" t="str">
        <f t="shared" si="194"/>
        <v/>
      </c>
      <c r="BL20" s="758" t="str">
        <f t="shared" si="195"/>
        <v/>
      </c>
      <c r="BM20" s="758" t="str">
        <f t="shared" si="196"/>
        <v/>
      </c>
      <c r="BN20" s="758" t="str">
        <f t="shared" si="197"/>
        <v/>
      </c>
      <c r="BO20" s="758" t="str">
        <f t="shared" si="198"/>
        <v/>
      </c>
      <c r="BP20" s="758" t="str">
        <f t="shared" si="199"/>
        <v/>
      </c>
      <c r="BQ20" s="758" t="str">
        <f t="shared" si="200"/>
        <v/>
      </c>
      <c r="BR20" s="758" t="str">
        <f t="shared" si="201"/>
        <v/>
      </c>
      <c r="BS20" s="758" t="str">
        <f t="shared" si="202"/>
        <v/>
      </c>
      <c r="BT20" s="758" t="str">
        <f t="shared" si="21"/>
        <v/>
      </c>
      <c r="BU20" s="758" t="str">
        <f t="shared" si="22"/>
        <v/>
      </c>
      <c r="BV20" s="758" t="str">
        <f t="shared" si="23"/>
        <v/>
      </c>
      <c r="BW20" s="758" t="str">
        <f t="shared" si="24"/>
        <v/>
      </c>
      <c r="BX20" s="758" t="str">
        <f t="shared" si="25"/>
        <v/>
      </c>
      <c r="BY20" s="758" t="str">
        <f t="shared" si="26"/>
        <v/>
      </c>
      <c r="BZ20" s="758" t="str">
        <f t="shared" si="27"/>
        <v/>
      </c>
      <c r="CA20" s="758" t="str">
        <f t="shared" si="28"/>
        <v/>
      </c>
      <c r="CB20" s="758" t="str">
        <f t="shared" si="29"/>
        <v/>
      </c>
      <c r="CC20" s="758" t="str">
        <f t="shared" si="30"/>
        <v/>
      </c>
      <c r="CD20" s="758" t="str">
        <f t="shared" si="31"/>
        <v/>
      </c>
      <c r="CE20" s="758" t="str">
        <f t="shared" si="32"/>
        <v/>
      </c>
      <c r="CF20" s="758" t="str">
        <f t="shared" si="33"/>
        <v/>
      </c>
      <c r="CG20" s="758" t="str">
        <f t="shared" si="34"/>
        <v/>
      </c>
      <c r="CH20" s="758" t="str">
        <f t="shared" si="35"/>
        <v/>
      </c>
      <c r="CI20" s="758" t="str">
        <f t="shared" si="36"/>
        <v/>
      </c>
      <c r="CJ20" s="758" t="str">
        <f t="shared" si="37"/>
        <v/>
      </c>
      <c r="CK20" s="758" t="str">
        <f t="shared" si="38"/>
        <v/>
      </c>
      <c r="CL20" s="758" t="str">
        <f t="shared" si="39"/>
        <v/>
      </c>
      <c r="CM20" s="758" t="str">
        <f t="shared" si="40"/>
        <v/>
      </c>
      <c r="CN20" s="758" t="str">
        <f t="shared" si="41"/>
        <v/>
      </c>
      <c r="CO20" s="758" t="str">
        <f t="shared" si="42"/>
        <v/>
      </c>
      <c r="CP20" s="758" t="str">
        <f t="shared" si="43"/>
        <v/>
      </c>
      <c r="CQ20" s="758" t="str">
        <f t="shared" si="44"/>
        <v/>
      </c>
      <c r="CR20" s="758" t="str">
        <f t="shared" si="45"/>
        <v/>
      </c>
      <c r="CS20" s="758" t="str">
        <f t="shared" si="46"/>
        <v/>
      </c>
      <c r="CT20" s="758" t="str">
        <f t="shared" si="47"/>
        <v/>
      </c>
      <c r="CU20" s="758" t="str">
        <f t="shared" si="48"/>
        <v/>
      </c>
      <c r="CV20" s="758" t="str">
        <f t="shared" si="49"/>
        <v/>
      </c>
      <c r="CW20" s="758" t="str">
        <f t="shared" si="50"/>
        <v/>
      </c>
      <c r="CX20" s="758" t="str">
        <f t="shared" si="51"/>
        <v/>
      </c>
      <c r="CY20" s="758" t="str">
        <f t="shared" si="52"/>
        <v/>
      </c>
      <c r="CZ20" s="758" t="str">
        <f t="shared" si="53"/>
        <v/>
      </c>
      <c r="DA20" s="758" t="str">
        <f t="shared" si="54"/>
        <v/>
      </c>
      <c r="DB20" s="758" t="str">
        <f t="shared" si="55"/>
        <v/>
      </c>
      <c r="DC20" s="758" t="str">
        <f t="shared" si="56"/>
        <v/>
      </c>
      <c r="DD20" s="758" t="str">
        <f t="shared" si="57"/>
        <v/>
      </c>
      <c r="DE20" s="758" t="str">
        <f t="shared" si="58"/>
        <v/>
      </c>
      <c r="DF20" s="758" t="str">
        <f t="shared" si="59"/>
        <v/>
      </c>
      <c r="DG20" s="758" t="str">
        <f t="shared" si="60"/>
        <v/>
      </c>
      <c r="DH20" s="758" t="str">
        <f t="shared" si="61"/>
        <v/>
      </c>
      <c r="DI20" s="758" t="str">
        <f t="shared" si="62"/>
        <v/>
      </c>
      <c r="DJ20" s="758" t="str">
        <f t="shared" si="63"/>
        <v/>
      </c>
      <c r="DK20" s="758" t="str">
        <f t="shared" si="64"/>
        <v/>
      </c>
      <c r="DL20" s="758" t="str">
        <f t="shared" si="65"/>
        <v/>
      </c>
      <c r="DM20" s="758" t="str">
        <f t="shared" si="66"/>
        <v/>
      </c>
      <c r="DN20" s="758" t="str">
        <f t="shared" si="67"/>
        <v/>
      </c>
      <c r="DO20" s="758" t="str">
        <f t="shared" si="68"/>
        <v/>
      </c>
      <c r="DP20" s="758" t="str">
        <f t="shared" si="69"/>
        <v/>
      </c>
      <c r="DQ20" s="758" t="str">
        <f t="shared" si="70"/>
        <v/>
      </c>
      <c r="DR20" s="758" t="str">
        <f t="shared" si="71"/>
        <v/>
      </c>
      <c r="DS20" s="758" t="str">
        <f t="shared" si="72"/>
        <v/>
      </c>
      <c r="DT20" s="758" t="str">
        <f t="shared" si="73"/>
        <v/>
      </c>
      <c r="DU20" s="758" t="str">
        <f t="shared" si="74"/>
        <v/>
      </c>
      <c r="DV20" s="758" t="str">
        <f t="shared" si="75"/>
        <v/>
      </c>
      <c r="DW20" s="758" t="str">
        <f t="shared" si="76"/>
        <v/>
      </c>
      <c r="DX20" s="758" t="str">
        <f t="shared" si="77"/>
        <v/>
      </c>
      <c r="DY20" s="758" t="str">
        <f t="shared" si="78"/>
        <v/>
      </c>
      <c r="DZ20" s="758" t="str">
        <f t="shared" si="79"/>
        <v/>
      </c>
      <c r="EA20" s="758" t="str">
        <f t="shared" si="80"/>
        <v/>
      </c>
      <c r="EB20" s="758" t="str">
        <f t="shared" si="81"/>
        <v/>
      </c>
      <c r="EC20" s="758" t="str">
        <f t="shared" si="82"/>
        <v/>
      </c>
      <c r="ED20" s="758" t="str">
        <f t="shared" si="83"/>
        <v/>
      </c>
      <c r="EE20" s="758" t="str">
        <f t="shared" si="84"/>
        <v/>
      </c>
      <c r="EF20" s="758" t="str">
        <f t="shared" si="85"/>
        <v/>
      </c>
      <c r="EG20" s="758" t="str">
        <f t="shared" si="86"/>
        <v/>
      </c>
      <c r="EH20" s="758" t="str">
        <f t="shared" si="87"/>
        <v/>
      </c>
      <c r="EI20" s="758" t="str">
        <f t="shared" si="88"/>
        <v/>
      </c>
      <c r="EJ20" s="758" t="str">
        <f t="shared" si="89"/>
        <v/>
      </c>
      <c r="EK20" s="758" t="str">
        <f t="shared" si="90"/>
        <v/>
      </c>
      <c r="EL20" s="758" t="str">
        <f t="shared" si="91"/>
        <v/>
      </c>
      <c r="EM20" s="758" t="str">
        <f t="shared" si="92"/>
        <v/>
      </c>
      <c r="EN20" s="758" t="str">
        <f t="shared" si="93"/>
        <v/>
      </c>
      <c r="EO20" s="758" t="str">
        <f t="shared" si="94"/>
        <v/>
      </c>
      <c r="EP20" s="758" t="str">
        <f t="shared" si="95"/>
        <v/>
      </c>
      <c r="EQ20" s="758" t="str">
        <f t="shared" si="96"/>
        <v/>
      </c>
      <c r="ER20" s="758" t="str">
        <f t="shared" si="97"/>
        <v/>
      </c>
      <c r="ES20" s="758" t="str">
        <f t="shared" si="98"/>
        <v/>
      </c>
      <c r="ET20" s="758" t="str">
        <f t="shared" si="99"/>
        <v/>
      </c>
      <c r="EU20" s="758" t="str">
        <f t="shared" si="100"/>
        <v/>
      </c>
      <c r="EV20" s="778" t="str">
        <f t="shared" si="101"/>
        <v/>
      </c>
      <c r="EW20" s="778" t="str">
        <f t="shared" si="102"/>
        <v/>
      </c>
      <c r="EX20" s="778" t="str">
        <f t="shared" si="103"/>
        <v/>
      </c>
      <c r="EY20" s="778" t="str">
        <f t="shared" si="104"/>
        <v/>
      </c>
      <c r="EZ20" s="778" t="str">
        <f t="shared" si="105"/>
        <v/>
      </c>
      <c r="FA20" s="778" t="str">
        <f t="shared" si="106"/>
        <v/>
      </c>
      <c r="FB20" s="778" t="str">
        <f t="shared" si="107"/>
        <v/>
      </c>
      <c r="FC20" s="778" t="str">
        <f t="shared" si="108"/>
        <v/>
      </c>
      <c r="FD20" s="778" t="str">
        <f t="shared" si="109"/>
        <v/>
      </c>
      <c r="FE20" s="778" t="str">
        <f t="shared" si="110"/>
        <v/>
      </c>
      <c r="FF20" s="778" t="str">
        <f t="shared" si="111"/>
        <v/>
      </c>
      <c r="FG20" s="778" t="str">
        <f t="shared" si="112"/>
        <v/>
      </c>
      <c r="FH20" s="778" t="str">
        <f t="shared" si="113"/>
        <v/>
      </c>
      <c r="FI20" s="778" t="str">
        <f t="shared" si="114"/>
        <v/>
      </c>
      <c r="FJ20" s="778" t="str">
        <f t="shared" si="115"/>
        <v/>
      </c>
      <c r="FK20" s="778" t="str">
        <f t="shared" si="116"/>
        <v/>
      </c>
      <c r="FL20" s="778" t="str">
        <f t="shared" si="117"/>
        <v/>
      </c>
      <c r="FM20" s="778" t="str">
        <f t="shared" si="118"/>
        <v/>
      </c>
      <c r="FN20" s="778" t="str">
        <f t="shared" si="119"/>
        <v/>
      </c>
      <c r="FO20" s="778" t="str">
        <f t="shared" si="120"/>
        <v/>
      </c>
      <c r="FP20" s="778" t="str">
        <f t="shared" si="121"/>
        <v/>
      </c>
      <c r="FQ20" s="778" t="str">
        <f t="shared" si="122"/>
        <v/>
      </c>
      <c r="FR20" s="778" t="str">
        <f t="shared" si="123"/>
        <v/>
      </c>
      <c r="FS20" s="778" t="str">
        <f t="shared" si="124"/>
        <v/>
      </c>
      <c r="FT20" s="778" t="str">
        <f t="shared" si="125"/>
        <v/>
      </c>
      <c r="FU20" s="778" t="str">
        <f t="shared" si="126"/>
        <v/>
      </c>
      <c r="FV20" s="778" t="str">
        <f t="shared" si="127"/>
        <v/>
      </c>
      <c r="FW20" s="778" t="str">
        <f t="shared" si="128"/>
        <v/>
      </c>
      <c r="FX20" s="778" t="str">
        <f t="shared" si="129"/>
        <v/>
      </c>
      <c r="FY20" s="778" t="str">
        <f t="shared" si="130"/>
        <v/>
      </c>
      <c r="FZ20" s="778" t="str">
        <f t="shared" si="131"/>
        <v/>
      </c>
      <c r="GA20" s="778" t="str">
        <f t="shared" si="132"/>
        <v/>
      </c>
      <c r="GB20" s="778" t="str">
        <f t="shared" si="133"/>
        <v/>
      </c>
      <c r="GC20" s="778" t="str">
        <f t="shared" si="134"/>
        <v/>
      </c>
      <c r="GD20" s="778" t="str">
        <f t="shared" si="135"/>
        <v/>
      </c>
      <c r="GE20" s="778" t="str">
        <f t="shared" si="136"/>
        <v/>
      </c>
      <c r="GF20" s="778" t="str">
        <f t="shared" si="137"/>
        <v/>
      </c>
      <c r="GG20" s="778" t="str">
        <f t="shared" si="138"/>
        <v/>
      </c>
      <c r="GH20" s="778" t="str">
        <f t="shared" si="139"/>
        <v/>
      </c>
      <c r="GI20" s="778" t="str">
        <f t="shared" si="140"/>
        <v/>
      </c>
      <c r="GJ20" s="778" t="str">
        <f t="shared" si="141"/>
        <v/>
      </c>
      <c r="GK20" s="778" t="str">
        <f t="shared" si="142"/>
        <v/>
      </c>
      <c r="GL20" s="778" t="str">
        <f t="shared" si="143"/>
        <v/>
      </c>
      <c r="GM20" s="778" t="str">
        <f t="shared" si="144"/>
        <v/>
      </c>
      <c r="GN20" s="778" t="str">
        <f t="shared" si="145"/>
        <v/>
      </c>
      <c r="GO20" s="779" t="str">
        <f t="shared" si="146"/>
        <v/>
      </c>
      <c r="GP20" s="779" t="str">
        <f t="shared" si="147"/>
        <v/>
      </c>
      <c r="GQ20" s="779" t="str">
        <f t="shared" si="148"/>
        <v/>
      </c>
      <c r="GR20" s="779" t="str">
        <f t="shared" si="149"/>
        <v/>
      </c>
      <c r="GS20" s="779" t="str">
        <f t="shared" si="150"/>
        <v/>
      </c>
      <c r="GT20" s="758" t="str">
        <f t="shared" si="151"/>
        <v/>
      </c>
      <c r="GU20" s="758" t="str">
        <f t="shared" si="152"/>
        <v/>
      </c>
      <c r="GV20" s="758" t="str">
        <f t="shared" si="153"/>
        <v/>
      </c>
      <c r="GW20" s="758" t="str">
        <f t="shared" si="154"/>
        <v/>
      </c>
      <c r="GX20" s="758" t="str">
        <f t="shared" si="155"/>
        <v/>
      </c>
      <c r="GY20" s="758" t="str">
        <f t="shared" si="156"/>
        <v/>
      </c>
      <c r="GZ20" s="758" t="str">
        <f t="shared" si="157"/>
        <v/>
      </c>
      <c r="HA20" s="758" t="str">
        <f t="shared" si="158"/>
        <v/>
      </c>
      <c r="HB20" s="758" t="str">
        <f t="shared" si="159"/>
        <v/>
      </c>
      <c r="HC20" s="758" t="str">
        <f t="shared" si="160"/>
        <v/>
      </c>
      <c r="HD20" s="758" t="str">
        <f t="shared" si="161"/>
        <v/>
      </c>
      <c r="HE20" s="758" t="str">
        <f t="shared" si="162"/>
        <v/>
      </c>
      <c r="HF20" s="758" t="str">
        <f t="shared" si="163"/>
        <v/>
      </c>
      <c r="HG20" s="758" t="str">
        <f t="shared" si="164"/>
        <v/>
      </c>
      <c r="HH20" s="758" t="str">
        <f t="shared" si="165"/>
        <v/>
      </c>
      <c r="HI20" s="758" t="str">
        <f t="shared" si="166"/>
        <v/>
      </c>
      <c r="HJ20" s="758" t="str">
        <f t="shared" si="167"/>
        <v/>
      </c>
      <c r="HK20" s="758" t="str">
        <f t="shared" si="168"/>
        <v/>
      </c>
      <c r="HL20" s="758" t="str">
        <f t="shared" si="169"/>
        <v/>
      </c>
      <c r="HM20" s="758" t="str">
        <f t="shared" si="170"/>
        <v/>
      </c>
    </row>
    <row r="21" spans="1:221" ht="13.35" customHeight="1">
      <c r="A21" s="148" t="str">
        <f t="shared" si="171"/>
        <v/>
      </c>
      <c r="B21" s="1515" t="s">
        <v>1533</v>
      </c>
      <c r="C21" s="1516"/>
      <c r="D21" s="1517"/>
      <c r="E21" s="1518"/>
      <c r="F21" s="1518"/>
      <c r="G21" s="1518"/>
      <c r="H21" s="1518"/>
      <c r="I21" s="1518"/>
      <c r="J21" s="1519"/>
      <c r="K21" s="225">
        <f t="shared" si="172"/>
        <v>0</v>
      </c>
      <c r="L21" s="225">
        <f t="shared" si="0"/>
        <v>0</v>
      </c>
      <c r="M21" s="1520"/>
      <c r="N21" s="1520"/>
      <c r="O21" s="1520"/>
      <c r="P21" s="674" t="str">
        <f t="shared" si="203"/>
        <v/>
      </c>
      <c r="Q21" s="675" t="str">
        <f>IF(H21="","",P21/($P$6*VLOOKUP(C21,'DCA Underwriting Assumptions'!$J$84:$K$89,2,FALSE)))</f>
        <v/>
      </c>
      <c r="R21" s="821"/>
      <c r="S21" s="675"/>
      <c r="T21" s="1455"/>
      <c r="U21" s="1456"/>
      <c r="V21" s="758" t="str">
        <f t="shared" si="1"/>
        <v/>
      </c>
      <c r="W21" s="758" t="str">
        <f t="shared" si="2"/>
        <v/>
      </c>
      <c r="X21" s="758" t="str">
        <f t="shared" si="3"/>
        <v/>
      </c>
      <c r="Y21" s="758" t="str">
        <f t="shared" si="4"/>
        <v/>
      </c>
      <c r="Z21" s="758" t="str">
        <f t="shared" si="5"/>
        <v/>
      </c>
      <c r="AA21" s="758" t="str">
        <f t="shared" si="6"/>
        <v/>
      </c>
      <c r="AB21" s="758" t="str">
        <f t="shared" si="7"/>
        <v/>
      </c>
      <c r="AC21" s="758" t="str">
        <f t="shared" si="8"/>
        <v/>
      </c>
      <c r="AD21" s="758" t="str">
        <f t="shared" si="9"/>
        <v/>
      </c>
      <c r="AE21" s="758" t="str">
        <f t="shared" si="10"/>
        <v/>
      </c>
      <c r="AF21" s="758" t="str">
        <f t="shared" si="11"/>
        <v/>
      </c>
      <c r="AG21" s="758" t="str">
        <f t="shared" si="12"/>
        <v/>
      </c>
      <c r="AH21" s="758" t="str">
        <f t="shared" si="13"/>
        <v/>
      </c>
      <c r="AI21" s="758" t="str">
        <f t="shared" si="14"/>
        <v/>
      </c>
      <c r="AJ21" s="758" t="str">
        <f t="shared" si="15"/>
        <v/>
      </c>
      <c r="AK21" s="758" t="str">
        <f t="shared" si="16"/>
        <v/>
      </c>
      <c r="AL21" s="758" t="str">
        <f t="shared" si="17"/>
        <v/>
      </c>
      <c r="AM21" s="758" t="str">
        <f t="shared" si="18"/>
        <v/>
      </c>
      <c r="AN21" s="758" t="str">
        <f t="shared" si="19"/>
        <v/>
      </c>
      <c r="AO21" s="758" t="str">
        <f t="shared" si="20"/>
        <v/>
      </c>
      <c r="AP21" s="758" t="str">
        <f t="shared" si="173"/>
        <v/>
      </c>
      <c r="AQ21" s="758" t="str">
        <f t="shared" si="174"/>
        <v/>
      </c>
      <c r="AR21" s="758" t="str">
        <f t="shared" si="175"/>
        <v/>
      </c>
      <c r="AS21" s="758" t="str">
        <f t="shared" si="176"/>
        <v/>
      </c>
      <c r="AT21" s="758" t="str">
        <f t="shared" si="177"/>
        <v/>
      </c>
      <c r="AU21" s="758" t="str">
        <f t="shared" si="178"/>
        <v/>
      </c>
      <c r="AV21" s="758" t="str">
        <f t="shared" si="179"/>
        <v/>
      </c>
      <c r="AW21" s="758" t="str">
        <f t="shared" si="180"/>
        <v/>
      </c>
      <c r="AX21" s="758" t="str">
        <f t="shared" si="181"/>
        <v/>
      </c>
      <c r="AY21" s="758" t="str">
        <f t="shared" si="182"/>
        <v/>
      </c>
      <c r="AZ21" s="758" t="str">
        <f t="shared" si="183"/>
        <v/>
      </c>
      <c r="BA21" s="758" t="str">
        <f t="shared" si="184"/>
        <v/>
      </c>
      <c r="BB21" s="758" t="str">
        <f t="shared" si="185"/>
        <v/>
      </c>
      <c r="BC21" s="758" t="str">
        <f t="shared" si="186"/>
        <v/>
      </c>
      <c r="BD21" s="758" t="str">
        <f t="shared" si="187"/>
        <v/>
      </c>
      <c r="BE21" s="758" t="str">
        <f t="shared" si="188"/>
        <v/>
      </c>
      <c r="BF21" s="758" t="str">
        <f t="shared" si="189"/>
        <v/>
      </c>
      <c r="BG21" s="758" t="str">
        <f t="shared" si="190"/>
        <v/>
      </c>
      <c r="BH21" s="758" t="str">
        <f t="shared" si="191"/>
        <v/>
      </c>
      <c r="BI21" s="758" t="str">
        <f t="shared" si="192"/>
        <v/>
      </c>
      <c r="BJ21" s="758" t="str">
        <f t="shared" si="193"/>
        <v/>
      </c>
      <c r="BK21" s="758" t="str">
        <f t="shared" si="194"/>
        <v/>
      </c>
      <c r="BL21" s="758" t="str">
        <f t="shared" si="195"/>
        <v/>
      </c>
      <c r="BM21" s="758" t="str">
        <f t="shared" si="196"/>
        <v/>
      </c>
      <c r="BN21" s="758" t="str">
        <f t="shared" si="197"/>
        <v/>
      </c>
      <c r="BO21" s="758" t="str">
        <f t="shared" si="198"/>
        <v/>
      </c>
      <c r="BP21" s="758" t="str">
        <f t="shared" si="199"/>
        <v/>
      </c>
      <c r="BQ21" s="758" t="str">
        <f t="shared" si="200"/>
        <v/>
      </c>
      <c r="BR21" s="758" t="str">
        <f t="shared" si="201"/>
        <v/>
      </c>
      <c r="BS21" s="758" t="str">
        <f t="shared" si="202"/>
        <v/>
      </c>
      <c r="BT21" s="758" t="str">
        <f t="shared" si="21"/>
        <v/>
      </c>
      <c r="BU21" s="758" t="str">
        <f t="shared" si="22"/>
        <v/>
      </c>
      <c r="BV21" s="758" t="str">
        <f t="shared" si="23"/>
        <v/>
      </c>
      <c r="BW21" s="758" t="str">
        <f t="shared" si="24"/>
        <v/>
      </c>
      <c r="BX21" s="758" t="str">
        <f t="shared" si="25"/>
        <v/>
      </c>
      <c r="BY21" s="758" t="str">
        <f t="shared" si="26"/>
        <v/>
      </c>
      <c r="BZ21" s="758" t="str">
        <f t="shared" si="27"/>
        <v/>
      </c>
      <c r="CA21" s="758" t="str">
        <f t="shared" si="28"/>
        <v/>
      </c>
      <c r="CB21" s="758" t="str">
        <f t="shared" si="29"/>
        <v/>
      </c>
      <c r="CC21" s="758" t="str">
        <f t="shared" si="30"/>
        <v/>
      </c>
      <c r="CD21" s="758" t="str">
        <f t="shared" si="31"/>
        <v/>
      </c>
      <c r="CE21" s="758" t="str">
        <f t="shared" si="32"/>
        <v/>
      </c>
      <c r="CF21" s="758" t="str">
        <f t="shared" si="33"/>
        <v/>
      </c>
      <c r="CG21" s="758" t="str">
        <f t="shared" si="34"/>
        <v/>
      </c>
      <c r="CH21" s="758" t="str">
        <f t="shared" si="35"/>
        <v/>
      </c>
      <c r="CI21" s="758" t="str">
        <f t="shared" si="36"/>
        <v/>
      </c>
      <c r="CJ21" s="758" t="str">
        <f t="shared" si="37"/>
        <v/>
      </c>
      <c r="CK21" s="758" t="str">
        <f t="shared" si="38"/>
        <v/>
      </c>
      <c r="CL21" s="758" t="str">
        <f t="shared" si="39"/>
        <v/>
      </c>
      <c r="CM21" s="758" t="str">
        <f t="shared" si="40"/>
        <v/>
      </c>
      <c r="CN21" s="758" t="str">
        <f t="shared" si="41"/>
        <v/>
      </c>
      <c r="CO21" s="758" t="str">
        <f t="shared" si="42"/>
        <v/>
      </c>
      <c r="CP21" s="758" t="str">
        <f t="shared" si="43"/>
        <v/>
      </c>
      <c r="CQ21" s="758" t="str">
        <f t="shared" si="44"/>
        <v/>
      </c>
      <c r="CR21" s="758" t="str">
        <f t="shared" si="45"/>
        <v/>
      </c>
      <c r="CS21" s="758" t="str">
        <f t="shared" si="46"/>
        <v/>
      </c>
      <c r="CT21" s="758" t="str">
        <f t="shared" si="47"/>
        <v/>
      </c>
      <c r="CU21" s="758" t="str">
        <f t="shared" si="48"/>
        <v/>
      </c>
      <c r="CV21" s="758" t="str">
        <f t="shared" si="49"/>
        <v/>
      </c>
      <c r="CW21" s="758" t="str">
        <f t="shared" si="50"/>
        <v/>
      </c>
      <c r="CX21" s="758" t="str">
        <f t="shared" si="51"/>
        <v/>
      </c>
      <c r="CY21" s="758" t="str">
        <f t="shared" si="52"/>
        <v/>
      </c>
      <c r="CZ21" s="758" t="str">
        <f t="shared" si="53"/>
        <v/>
      </c>
      <c r="DA21" s="758" t="str">
        <f t="shared" si="54"/>
        <v/>
      </c>
      <c r="DB21" s="758" t="str">
        <f t="shared" si="55"/>
        <v/>
      </c>
      <c r="DC21" s="758" t="str">
        <f t="shared" si="56"/>
        <v/>
      </c>
      <c r="DD21" s="758" t="str">
        <f t="shared" si="57"/>
        <v/>
      </c>
      <c r="DE21" s="758" t="str">
        <f t="shared" si="58"/>
        <v/>
      </c>
      <c r="DF21" s="758" t="str">
        <f t="shared" si="59"/>
        <v/>
      </c>
      <c r="DG21" s="758" t="str">
        <f t="shared" si="60"/>
        <v/>
      </c>
      <c r="DH21" s="758" t="str">
        <f t="shared" si="61"/>
        <v/>
      </c>
      <c r="DI21" s="758" t="str">
        <f t="shared" si="62"/>
        <v/>
      </c>
      <c r="DJ21" s="758" t="str">
        <f t="shared" si="63"/>
        <v/>
      </c>
      <c r="DK21" s="758" t="str">
        <f t="shared" si="64"/>
        <v/>
      </c>
      <c r="DL21" s="758" t="str">
        <f t="shared" si="65"/>
        <v/>
      </c>
      <c r="DM21" s="758" t="str">
        <f t="shared" si="66"/>
        <v/>
      </c>
      <c r="DN21" s="758" t="str">
        <f t="shared" si="67"/>
        <v/>
      </c>
      <c r="DO21" s="758" t="str">
        <f t="shared" si="68"/>
        <v/>
      </c>
      <c r="DP21" s="758" t="str">
        <f t="shared" si="69"/>
        <v/>
      </c>
      <c r="DQ21" s="758" t="str">
        <f t="shared" si="70"/>
        <v/>
      </c>
      <c r="DR21" s="758" t="str">
        <f t="shared" si="71"/>
        <v/>
      </c>
      <c r="DS21" s="758" t="str">
        <f t="shared" si="72"/>
        <v/>
      </c>
      <c r="DT21" s="758" t="str">
        <f t="shared" si="73"/>
        <v/>
      </c>
      <c r="DU21" s="758" t="str">
        <f t="shared" si="74"/>
        <v/>
      </c>
      <c r="DV21" s="758" t="str">
        <f t="shared" si="75"/>
        <v/>
      </c>
      <c r="DW21" s="758" t="str">
        <f t="shared" si="76"/>
        <v/>
      </c>
      <c r="DX21" s="758" t="str">
        <f t="shared" si="77"/>
        <v/>
      </c>
      <c r="DY21" s="758" t="str">
        <f t="shared" si="78"/>
        <v/>
      </c>
      <c r="DZ21" s="758" t="str">
        <f t="shared" si="79"/>
        <v/>
      </c>
      <c r="EA21" s="758" t="str">
        <f t="shared" si="80"/>
        <v/>
      </c>
      <c r="EB21" s="758" t="str">
        <f t="shared" si="81"/>
        <v/>
      </c>
      <c r="EC21" s="758" t="str">
        <f t="shared" si="82"/>
        <v/>
      </c>
      <c r="ED21" s="758" t="str">
        <f t="shared" si="83"/>
        <v/>
      </c>
      <c r="EE21" s="758" t="str">
        <f t="shared" si="84"/>
        <v/>
      </c>
      <c r="EF21" s="758" t="str">
        <f t="shared" si="85"/>
        <v/>
      </c>
      <c r="EG21" s="758" t="str">
        <f t="shared" si="86"/>
        <v/>
      </c>
      <c r="EH21" s="758" t="str">
        <f t="shared" si="87"/>
        <v/>
      </c>
      <c r="EI21" s="758" t="str">
        <f t="shared" si="88"/>
        <v/>
      </c>
      <c r="EJ21" s="758" t="str">
        <f t="shared" si="89"/>
        <v/>
      </c>
      <c r="EK21" s="758" t="str">
        <f t="shared" si="90"/>
        <v/>
      </c>
      <c r="EL21" s="758" t="str">
        <f t="shared" si="91"/>
        <v/>
      </c>
      <c r="EM21" s="758" t="str">
        <f t="shared" si="92"/>
        <v/>
      </c>
      <c r="EN21" s="758" t="str">
        <f t="shared" si="93"/>
        <v/>
      </c>
      <c r="EO21" s="758" t="str">
        <f t="shared" si="94"/>
        <v/>
      </c>
      <c r="EP21" s="758" t="str">
        <f t="shared" si="95"/>
        <v/>
      </c>
      <c r="EQ21" s="758" t="str">
        <f t="shared" si="96"/>
        <v/>
      </c>
      <c r="ER21" s="758" t="str">
        <f t="shared" si="97"/>
        <v/>
      </c>
      <c r="ES21" s="758" t="str">
        <f t="shared" si="98"/>
        <v/>
      </c>
      <c r="ET21" s="758" t="str">
        <f t="shared" si="99"/>
        <v/>
      </c>
      <c r="EU21" s="758" t="str">
        <f t="shared" si="100"/>
        <v/>
      </c>
      <c r="EV21" s="778" t="str">
        <f t="shared" si="101"/>
        <v/>
      </c>
      <c r="EW21" s="778" t="str">
        <f t="shared" si="102"/>
        <v/>
      </c>
      <c r="EX21" s="778" t="str">
        <f t="shared" si="103"/>
        <v/>
      </c>
      <c r="EY21" s="778" t="str">
        <f t="shared" si="104"/>
        <v/>
      </c>
      <c r="EZ21" s="778" t="str">
        <f t="shared" si="105"/>
        <v/>
      </c>
      <c r="FA21" s="778" t="str">
        <f t="shared" si="106"/>
        <v/>
      </c>
      <c r="FB21" s="778" t="str">
        <f t="shared" si="107"/>
        <v/>
      </c>
      <c r="FC21" s="778" t="str">
        <f t="shared" si="108"/>
        <v/>
      </c>
      <c r="FD21" s="778" t="str">
        <f t="shared" si="109"/>
        <v/>
      </c>
      <c r="FE21" s="778" t="str">
        <f t="shared" si="110"/>
        <v/>
      </c>
      <c r="FF21" s="778" t="str">
        <f t="shared" si="111"/>
        <v/>
      </c>
      <c r="FG21" s="778" t="str">
        <f t="shared" si="112"/>
        <v/>
      </c>
      <c r="FH21" s="778" t="str">
        <f t="shared" si="113"/>
        <v/>
      </c>
      <c r="FI21" s="778" t="str">
        <f t="shared" si="114"/>
        <v/>
      </c>
      <c r="FJ21" s="778" t="str">
        <f t="shared" si="115"/>
        <v/>
      </c>
      <c r="FK21" s="778" t="str">
        <f t="shared" si="116"/>
        <v/>
      </c>
      <c r="FL21" s="778" t="str">
        <f t="shared" si="117"/>
        <v/>
      </c>
      <c r="FM21" s="778" t="str">
        <f t="shared" si="118"/>
        <v/>
      </c>
      <c r="FN21" s="778" t="str">
        <f t="shared" si="119"/>
        <v/>
      </c>
      <c r="FO21" s="778" t="str">
        <f t="shared" si="120"/>
        <v/>
      </c>
      <c r="FP21" s="778" t="str">
        <f t="shared" si="121"/>
        <v/>
      </c>
      <c r="FQ21" s="778" t="str">
        <f t="shared" si="122"/>
        <v/>
      </c>
      <c r="FR21" s="778" t="str">
        <f t="shared" si="123"/>
        <v/>
      </c>
      <c r="FS21" s="778" t="str">
        <f t="shared" si="124"/>
        <v/>
      </c>
      <c r="FT21" s="778" t="str">
        <f t="shared" si="125"/>
        <v/>
      </c>
      <c r="FU21" s="778" t="str">
        <f t="shared" si="126"/>
        <v/>
      </c>
      <c r="FV21" s="778" t="str">
        <f t="shared" si="127"/>
        <v/>
      </c>
      <c r="FW21" s="778" t="str">
        <f t="shared" si="128"/>
        <v/>
      </c>
      <c r="FX21" s="778" t="str">
        <f t="shared" si="129"/>
        <v/>
      </c>
      <c r="FY21" s="778" t="str">
        <f t="shared" si="130"/>
        <v/>
      </c>
      <c r="FZ21" s="778" t="str">
        <f t="shared" si="131"/>
        <v/>
      </c>
      <c r="GA21" s="778" t="str">
        <f t="shared" si="132"/>
        <v/>
      </c>
      <c r="GB21" s="778" t="str">
        <f t="shared" si="133"/>
        <v/>
      </c>
      <c r="GC21" s="778" t="str">
        <f t="shared" si="134"/>
        <v/>
      </c>
      <c r="GD21" s="778" t="str">
        <f t="shared" si="135"/>
        <v/>
      </c>
      <c r="GE21" s="778" t="str">
        <f t="shared" si="136"/>
        <v/>
      </c>
      <c r="GF21" s="778" t="str">
        <f t="shared" si="137"/>
        <v/>
      </c>
      <c r="GG21" s="778" t="str">
        <f t="shared" si="138"/>
        <v/>
      </c>
      <c r="GH21" s="778" t="str">
        <f t="shared" si="139"/>
        <v/>
      </c>
      <c r="GI21" s="778" t="str">
        <f t="shared" si="140"/>
        <v/>
      </c>
      <c r="GJ21" s="778" t="str">
        <f t="shared" si="141"/>
        <v/>
      </c>
      <c r="GK21" s="778" t="str">
        <f t="shared" si="142"/>
        <v/>
      </c>
      <c r="GL21" s="778" t="str">
        <f t="shared" si="143"/>
        <v/>
      </c>
      <c r="GM21" s="778" t="str">
        <f t="shared" si="144"/>
        <v/>
      </c>
      <c r="GN21" s="778" t="str">
        <f t="shared" si="145"/>
        <v/>
      </c>
      <c r="GO21" s="779" t="str">
        <f t="shared" si="146"/>
        <v/>
      </c>
      <c r="GP21" s="779" t="str">
        <f t="shared" si="147"/>
        <v/>
      </c>
      <c r="GQ21" s="779" t="str">
        <f t="shared" si="148"/>
        <v/>
      </c>
      <c r="GR21" s="779" t="str">
        <f t="shared" si="149"/>
        <v/>
      </c>
      <c r="GS21" s="779" t="str">
        <f t="shared" si="150"/>
        <v/>
      </c>
      <c r="GT21" s="758" t="str">
        <f t="shared" si="151"/>
        <v/>
      </c>
      <c r="GU21" s="758" t="str">
        <f t="shared" si="152"/>
        <v/>
      </c>
      <c r="GV21" s="758" t="str">
        <f t="shared" si="153"/>
        <v/>
      </c>
      <c r="GW21" s="758" t="str">
        <f t="shared" si="154"/>
        <v/>
      </c>
      <c r="GX21" s="758" t="str">
        <f t="shared" si="155"/>
        <v/>
      </c>
      <c r="GY21" s="758" t="str">
        <f t="shared" si="156"/>
        <v/>
      </c>
      <c r="GZ21" s="758" t="str">
        <f t="shared" si="157"/>
        <v/>
      </c>
      <c r="HA21" s="758" t="str">
        <f t="shared" si="158"/>
        <v/>
      </c>
      <c r="HB21" s="758" t="str">
        <f t="shared" si="159"/>
        <v/>
      </c>
      <c r="HC21" s="758" t="str">
        <f t="shared" si="160"/>
        <v/>
      </c>
      <c r="HD21" s="758" t="str">
        <f t="shared" si="161"/>
        <v/>
      </c>
      <c r="HE21" s="758" t="str">
        <f t="shared" si="162"/>
        <v/>
      </c>
      <c r="HF21" s="758" t="str">
        <f t="shared" si="163"/>
        <v/>
      </c>
      <c r="HG21" s="758" t="str">
        <f t="shared" si="164"/>
        <v/>
      </c>
      <c r="HH21" s="758" t="str">
        <f t="shared" si="165"/>
        <v/>
      </c>
      <c r="HI21" s="758" t="str">
        <f t="shared" si="166"/>
        <v/>
      </c>
      <c r="HJ21" s="758" t="str">
        <f t="shared" si="167"/>
        <v/>
      </c>
      <c r="HK21" s="758" t="str">
        <f t="shared" si="168"/>
        <v/>
      </c>
      <c r="HL21" s="758" t="str">
        <f t="shared" si="169"/>
        <v/>
      </c>
      <c r="HM21" s="758" t="str">
        <f t="shared" si="170"/>
        <v/>
      </c>
    </row>
    <row r="22" spans="1:221" ht="13.35" customHeight="1">
      <c r="A22" s="148" t="str">
        <f t="shared" si="171"/>
        <v/>
      </c>
      <c r="B22" s="1515" t="s">
        <v>1533</v>
      </c>
      <c r="C22" s="1516"/>
      <c r="D22" s="1517"/>
      <c r="E22" s="1518"/>
      <c r="F22" s="1518"/>
      <c r="G22" s="1518"/>
      <c r="H22" s="1518"/>
      <c r="I22" s="1518"/>
      <c r="J22" s="1519"/>
      <c r="K22" s="225">
        <f t="shared" si="172"/>
        <v>0</v>
      </c>
      <c r="L22" s="225">
        <f t="shared" si="0"/>
        <v>0</v>
      </c>
      <c r="M22" s="1520"/>
      <c r="N22" s="1520"/>
      <c r="O22" s="1520"/>
      <c r="P22" s="674" t="str">
        <f t="shared" si="203"/>
        <v/>
      </c>
      <c r="Q22" s="675" t="str">
        <f>IF(H22="","",P22/($P$6*VLOOKUP(C22,'DCA Underwriting Assumptions'!$J$84:$K$89,2,FALSE)))</f>
        <v/>
      </c>
      <c r="R22" s="821"/>
      <c r="S22" s="675"/>
      <c r="T22" s="1455"/>
      <c r="U22" s="1456"/>
      <c r="V22" s="758" t="str">
        <f t="shared" si="1"/>
        <v/>
      </c>
      <c r="W22" s="758" t="str">
        <f t="shared" si="2"/>
        <v/>
      </c>
      <c r="X22" s="758" t="str">
        <f t="shared" si="3"/>
        <v/>
      </c>
      <c r="Y22" s="758" t="str">
        <f t="shared" si="4"/>
        <v/>
      </c>
      <c r="Z22" s="758" t="str">
        <f t="shared" si="5"/>
        <v/>
      </c>
      <c r="AA22" s="758" t="str">
        <f t="shared" si="6"/>
        <v/>
      </c>
      <c r="AB22" s="758" t="str">
        <f t="shared" si="7"/>
        <v/>
      </c>
      <c r="AC22" s="758" t="str">
        <f t="shared" si="8"/>
        <v/>
      </c>
      <c r="AD22" s="758" t="str">
        <f t="shared" si="9"/>
        <v/>
      </c>
      <c r="AE22" s="758" t="str">
        <f t="shared" si="10"/>
        <v/>
      </c>
      <c r="AF22" s="758" t="str">
        <f t="shared" si="11"/>
        <v/>
      </c>
      <c r="AG22" s="758" t="str">
        <f t="shared" si="12"/>
        <v/>
      </c>
      <c r="AH22" s="758" t="str">
        <f t="shared" si="13"/>
        <v/>
      </c>
      <c r="AI22" s="758" t="str">
        <f t="shared" si="14"/>
        <v/>
      </c>
      <c r="AJ22" s="758" t="str">
        <f t="shared" si="15"/>
        <v/>
      </c>
      <c r="AK22" s="758" t="str">
        <f t="shared" si="16"/>
        <v/>
      </c>
      <c r="AL22" s="758" t="str">
        <f t="shared" si="17"/>
        <v/>
      </c>
      <c r="AM22" s="758" t="str">
        <f t="shared" si="18"/>
        <v/>
      </c>
      <c r="AN22" s="758" t="str">
        <f t="shared" si="19"/>
        <v/>
      </c>
      <c r="AO22" s="758" t="str">
        <f t="shared" si="20"/>
        <v/>
      </c>
      <c r="AP22" s="758" t="str">
        <f t="shared" si="173"/>
        <v/>
      </c>
      <c r="AQ22" s="758" t="str">
        <f t="shared" si="174"/>
        <v/>
      </c>
      <c r="AR22" s="758" t="str">
        <f t="shared" si="175"/>
        <v/>
      </c>
      <c r="AS22" s="758" t="str">
        <f t="shared" si="176"/>
        <v/>
      </c>
      <c r="AT22" s="758" t="str">
        <f t="shared" si="177"/>
        <v/>
      </c>
      <c r="AU22" s="758" t="str">
        <f t="shared" si="178"/>
        <v/>
      </c>
      <c r="AV22" s="758" t="str">
        <f t="shared" si="179"/>
        <v/>
      </c>
      <c r="AW22" s="758" t="str">
        <f t="shared" si="180"/>
        <v/>
      </c>
      <c r="AX22" s="758" t="str">
        <f t="shared" si="181"/>
        <v/>
      </c>
      <c r="AY22" s="758" t="str">
        <f t="shared" si="182"/>
        <v/>
      </c>
      <c r="AZ22" s="758" t="str">
        <f t="shared" si="183"/>
        <v/>
      </c>
      <c r="BA22" s="758" t="str">
        <f t="shared" si="184"/>
        <v/>
      </c>
      <c r="BB22" s="758" t="str">
        <f t="shared" si="185"/>
        <v/>
      </c>
      <c r="BC22" s="758" t="str">
        <f t="shared" si="186"/>
        <v/>
      </c>
      <c r="BD22" s="758" t="str">
        <f t="shared" si="187"/>
        <v/>
      </c>
      <c r="BE22" s="758" t="str">
        <f t="shared" si="188"/>
        <v/>
      </c>
      <c r="BF22" s="758" t="str">
        <f t="shared" si="189"/>
        <v/>
      </c>
      <c r="BG22" s="758" t="str">
        <f t="shared" si="190"/>
        <v/>
      </c>
      <c r="BH22" s="758" t="str">
        <f t="shared" si="191"/>
        <v/>
      </c>
      <c r="BI22" s="758" t="str">
        <f t="shared" si="192"/>
        <v/>
      </c>
      <c r="BJ22" s="758" t="str">
        <f t="shared" si="193"/>
        <v/>
      </c>
      <c r="BK22" s="758" t="str">
        <f t="shared" si="194"/>
        <v/>
      </c>
      <c r="BL22" s="758" t="str">
        <f t="shared" si="195"/>
        <v/>
      </c>
      <c r="BM22" s="758" t="str">
        <f t="shared" si="196"/>
        <v/>
      </c>
      <c r="BN22" s="758" t="str">
        <f t="shared" si="197"/>
        <v/>
      </c>
      <c r="BO22" s="758" t="str">
        <f t="shared" si="198"/>
        <v/>
      </c>
      <c r="BP22" s="758" t="str">
        <f t="shared" si="199"/>
        <v/>
      </c>
      <c r="BQ22" s="758" t="str">
        <f t="shared" si="200"/>
        <v/>
      </c>
      <c r="BR22" s="758" t="str">
        <f t="shared" si="201"/>
        <v/>
      </c>
      <c r="BS22" s="758" t="str">
        <f t="shared" si="202"/>
        <v/>
      </c>
      <c r="BT22" s="758" t="str">
        <f t="shared" si="21"/>
        <v/>
      </c>
      <c r="BU22" s="758" t="str">
        <f t="shared" si="22"/>
        <v/>
      </c>
      <c r="BV22" s="758" t="str">
        <f t="shared" si="23"/>
        <v/>
      </c>
      <c r="BW22" s="758" t="str">
        <f t="shared" si="24"/>
        <v/>
      </c>
      <c r="BX22" s="758" t="str">
        <f t="shared" si="25"/>
        <v/>
      </c>
      <c r="BY22" s="758" t="str">
        <f t="shared" si="26"/>
        <v/>
      </c>
      <c r="BZ22" s="758" t="str">
        <f t="shared" si="27"/>
        <v/>
      </c>
      <c r="CA22" s="758" t="str">
        <f t="shared" si="28"/>
        <v/>
      </c>
      <c r="CB22" s="758" t="str">
        <f t="shared" si="29"/>
        <v/>
      </c>
      <c r="CC22" s="758" t="str">
        <f t="shared" si="30"/>
        <v/>
      </c>
      <c r="CD22" s="758" t="str">
        <f t="shared" si="31"/>
        <v/>
      </c>
      <c r="CE22" s="758" t="str">
        <f t="shared" si="32"/>
        <v/>
      </c>
      <c r="CF22" s="758" t="str">
        <f t="shared" si="33"/>
        <v/>
      </c>
      <c r="CG22" s="758" t="str">
        <f t="shared" si="34"/>
        <v/>
      </c>
      <c r="CH22" s="758" t="str">
        <f t="shared" si="35"/>
        <v/>
      </c>
      <c r="CI22" s="758" t="str">
        <f t="shared" si="36"/>
        <v/>
      </c>
      <c r="CJ22" s="758" t="str">
        <f t="shared" si="37"/>
        <v/>
      </c>
      <c r="CK22" s="758" t="str">
        <f t="shared" si="38"/>
        <v/>
      </c>
      <c r="CL22" s="758" t="str">
        <f t="shared" si="39"/>
        <v/>
      </c>
      <c r="CM22" s="758" t="str">
        <f t="shared" si="40"/>
        <v/>
      </c>
      <c r="CN22" s="758" t="str">
        <f t="shared" si="41"/>
        <v/>
      </c>
      <c r="CO22" s="758" t="str">
        <f t="shared" si="42"/>
        <v/>
      </c>
      <c r="CP22" s="758" t="str">
        <f t="shared" si="43"/>
        <v/>
      </c>
      <c r="CQ22" s="758" t="str">
        <f t="shared" si="44"/>
        <v/>
      </c>
      <c r="CR22" s="758" t="str">
        <f t="shared" si="45"/>
        <v/>
      </c>
      <c r="CS22" s="758" t="str">
        <f t="shared" si="46"/>
        <v/>
      </c>
      <c r="CT22" s="758" t="str">
        <f t="shared" si="47"/>
        <v/>
      </c>
      <c r="CU22" s="758" t="str">
        <f t="shared" si="48"/>
        <v/>
      </c>
      <c r="CV22" s="758" t="str">
        <f t="shared" si="49"/>
        <v/>
      </c>
      <c r="CW22" s="758" t="str">
        <f t="shared" si="50"/>
        <v/>
      </c>
      <c r="CX22" s="758" t="str">
        <f t="shared" si="51"/>
        <v/>
      </c>
      <c r="CY22" s="758" t="str">
        <f t="shared" si="52"/>
        <v/>
      </c>
      <c r="CZ22" s="758" t="str">
        <f t="shared" si="53"/>
        <v/>
      </c>
      <c r="DA22" s="758" t="str">
        <f t="shared" si="54"/>
        <v/>
      </c>
      <c r="DB22" s="758" t="str">
        <f t="shared" si="55"/>
        <v/>
      </c>
      <c r="DC22" s="758" t="str">
        <f t="shared" si="56"/>
        <v/>
      </c>
      <c r="DD22" s="758" t="str">
        <f t="shared" si="57"/>
        <v/>
      </c>
      <c r="DE22" s="758" t="str">
        <f t="shared" si="58"/>
        <v/>
      </c>
      <c r="DF22" s="758" t="str">
        <f t="shared" si="59"/>
        <v/>
      </c>
      <c r="DG22" s="758" t="str">
        <f t="shared" si="60"/>
        <v/>
      </c>
      <c r="DH22" s="758" t="str">
        <f t="shared" si="61"/>
        <v/>
      </c>
      <c r="DI22" s="758" t="str">
        <f t="shared" si="62"/>
        <v/>
      </c>
      <c r="DJ22" s="758" t="str">
        <f t="shared" si="63"/>
        <v/>
      </c>
      <c r="DK22" s="758" t="str">
        <f t="shared" si="64"/>
        <v/>
      </c>
      <c r="DL22" s="758" t="str">
        <f t="shared" si="65"/>
        <v/>
      </c>
      <c r="DM22" s="758" t="str">
        <f t="shared" si="66"/>
        <v/>
      </c>
      <c r="DN22" s="758" t="str">
        <f t="shared" si="67"/>
        <v/>
      </c>
      <c r="DO22" s="758" t="str">
        <f t="shared" si="68"/>
        <v/>
      </c>
      <c r="DP22" s="758" t="str">
        <f t="shared" si="69"/>
        <v/>
      </c>
      <c r="DQ22" s="758" t="str">
        <f t="shared" si="70"/>
        <v/>
      </c>
      <c r="DR22" s="758" t="str">
        <f t="shared" si="71"/>
        <v/>
      </c>
      <c r="DS22" s="758" t="str">
        <f t="shared" si="72"/>
        <v/>
      </c>
      <c r="DT22" s="758" t="str">
        <f t="shared" si="73"/>
        <v/>
      </c>
      <c r="DU22" s="758" t="str">
        <f t="shared" si="74"/>
        <v/>
      </c>
      <c r="DV22" s="758" t="str">
        <f t="shared" si="75"/>
        <v/>
      </c>
      <c r="DW22" s="758" t="str">
        <f t="shared" si="76"/>
        <v/>
      </c>
      <c r="DX22" s="758" t="str">
        <f t="shared" si="77"/>
        <v/>
      </c>
      <c r="DY22" s="758" t="str">
        <f t="shared" si="78"/>
        <v/>
      </c>
      <c r="DZ22" s="758" t="str">
        <f t="shared" si="79"/>
        <v/>
      </c>
      <c r="EA22" s="758" t="str">
        <f t="shared" si="80"/>
        <v/>
      </c>
      <c r="EB22" s="758" t="str">
        <f t="shared" si="81"/>
        <v/>
      </c>
      <c r="EC22" s="758" t="str">
        <f t="shared" si="82"/>
        <v/>
      </c>
      <c r="ED22" s="758" t="str">
        <f t="shared" si="83"/>
        <v/>
      </c>
      <c r="EE22" s="758" t="str">
        <f t="shared" si="84"/>
        <v/>
      </c>
      <c r="EF22" s="758" t="str">
        <f t="shared" si="85"/>
        <v/>
      </c>
      <c r="EG22" s="758" t="str">
        <f t="shared" si="86"/>
        <v/>
      </c>
      <c r="EH22" s="758" t="str">
        <f t="shared" si="87"/>
        <v/>
      </c>
      <c r="EI22" s="758" t="str">
        <f t="shared" si="88"/>
        <v/>
      </c>
      <c r="EJ22" s="758" t="str">
        <f t="shared" si="89"/>
        <v/>
      </c>
      <c r="EK22" s="758" t="str">
        <f t="shared" si="90"/>
        <v/>
      </c>
      <c r="EL22" s="758" t="str">
        <f t="shared" si="91"/>
        <v/>
      </c>
      <c r="EM22" s="758" t="str">
        <f t="shared" si="92"/>
        <v/>
      </c>
      <c r="EN22" s="758" t="str">
        <f t="shared" si="93"/>
        <v/>
      </c>
      <c r="EO22" s="758" t="str">
        <f t="shared" si="94"/>
        <v/>
      </c>
      <c r="EP22" s="758" t="str">
        <f t="shared" si="95"/>
        <v/>
      </c>
      <c r="EQ22" s="758" t="str">
        <f t="shared" si="96"/>
        <v/>
      </c>
      <c r="ER22" s="758" t="str">
        <f t="shared" si="97"/>
        <v/>
      </c>
      <c r="ES22" s="758" t="str">
        <f t="shared" si="98"/>
        <v/>
      </c>
      <c r="ET22" s="758" t="str">
        <f t="shared" si="99"/>
        <v/>
      </c>
      <c r="EU22" s="758" t="str">
        <f t="shared" si="100"/>
        <v/>
      </c>
      <c r="EV22" s="778" t="str">
        <f t="shared" si="101"/>
        <v/>
      </c>
      <c r="EW22" s="778" t="str">
        <f t="shared" si="102"/>
        <v/>
      </c>
      <c r="EX22" s="778" t="str">
        <f t="shared" si="103"/>
        <v/>
      </c>
      <c r="EY22" s="778" t="str">
        <f t="shared" si="104"/>
        <v/>
      </c>
      <c r="EZ22" s="778" t="str">
        <f t="shared" si="105"/>
        <v/>
      </c>
      <c r="FA22" s="778" t="str">
        <f t="shared" si="106"/>
        <v/>
      </c>
      <c r="FB22" s="778" t="str">
        <f t="shared" si="107"/>
        <v/>
      </c>
      <c r="FC22" s="778" t="str">
        <f t="shared" si="108"/>
        <v/>
      </c>
      <c r="FD22" s="778" t="str">
        <f t="shared" si="109"/>
        <v/>
      </c>
      <c r="FE22" s="778" t="str">
        <f t="shared" si="110"/>
        <v/>
      </c>
      <c r="FF22" s="778" t="str">
        <f t="shared" si="111"/>
        <v/>
      </c>
      <c r="FG22" s="778" t="str">
        <f t="shared" si="112"/>
        <v/>
      </c>
      <c r="FH22" s="778" t="str">
        <f t="shared" si="113"/>
        <v/>
      </c>
      <c r="FI22" s="778" t="str">
        <f t="shared" si="114"/>
        <v/>
      </c>
      <c r="FJ22" s="778" t="str">
        <f t="shared" si="115"/>
        <v/>
      </c>
      <c r="FK22" s="778" t="str">
        <f t="shared" si="116"/>
        <v/>
      </c>
      <c r="FL22" s="778" t="str">
        <f t="shared" si="117"/>
        <v/>
      </c>
      <c r="FM22" s="778" t="str">
        <f t="shared" si="118"/>
        <v/>
      </c>
      <c r="FN22" s="778" t="str">
        <f t="shared" si="119"/>
        <v/>
      </c>
      <c r="FO22" s="778" t="str">
        <f t="shared" si="120"/>
        <v/>
      </c>
      <c r="FP22" s="778" t="str">
        <f t="shared" si="121"/>
        <v/>
      </c>
      <c r="FQ22" s="778" t="str">
        <f t="shared" si="122"/>
        <v/>
      </c>
      <c r="FR22" s="778" t="str">
        <f t="shared" si="123"/>
        <v/>
      </c>
      <c r="FS22" s="778" t="str">
        <f t="shared" si="124"/>
        <v/>
      </c>
      <c r="FT22" s="778" t="str">
        <f t="shared" si="125"/>
        <v/>
      </c>
      <c r="FU22" s="778" t="str">
        <f t="shared" si="126"/>
        <v/>
      </c>
      <c r="FV22" s="778" t="str">
        <f t="shared" si="127"/>
        <v/>
      </c>
      <c r="FW22" s="778" t="str">
        <f t="shared" si="128"/>
        <v/>
      </c>
      <c r="FX22" s="778" t="str">
        <f t="shared" si="129"/>
        <v/>
      </c>
      <c r="FY22" s="778" t="str">
        <f t="shared" si="130"/>
        <v/>
      </c>
      <c r="FZ22" s="778" t="str">
        <f t="shared" si="131"/>
        <v/>
      </c>
      <c r="GA22" s="778" t="str">
        <f t="shared" si="132"/>
        <v/>
      </c>
      <c r="GB22" s="778" t="str">
        <f t="shared" si="133"/>
        <v/>
      </c>
      <c r="GC22" s="778" t="str">
        <f t="shared" si="134"/>
        <v/>
      </c>
      <c r="GD22" s="778" t="str">
        <f t="shared" si="135"/>
        <v/>
      </c>
      <c r="GE22" s="778" t="str">
        <f t="shared" si="136"/>
        <v/>
      </c>
      <c r="GF22" s="778" t="str">
        <f t="shared" si="137"/>
        <v/>
      </c>
      <c r="GG22" s="778" t="str">
        <f t="shared" si="138"/>
        <v/>
      </c>
      <c r="GH22" s="778" t="str">
        <f t="shared" si="139"/>
        <v/>
      </c>
      <c r="GI22" s="778" t="str">
        <f t="shared" si="140"/>
        <v/>
      </c>
      <c r="GJ22" s="778" t="str">
        <f t="shared" si="141"/>
        <v/>
      </c>
      <c r="GK22" s="778" t="str">
        <f t="shared" si="142"/>
        <v/>
      </c>
      <c r="GL22" s="778" t="str">
        <f t="shared" si="143"/>
        <v/>
      </c>
      <c r="GM22" s="778" t="str">
        <f t="shared" si="144"/>
        <v/>
      </c>
      <c r="GN22" s="778" t="str">
        <f t="shared" si="145"/>
        <v/>
      </c>
      <c r="GO22" s="779" t="str">
        <f t="shared" si="146"/>
        <v/>
      </c>
      <c r="GP22" s="779" t="str">
        <f t="shared" si="147"/>
        <v/>
      </c>
      <c r="GQ22" s="779" t="str">
        <f t="shared" si="148"/>
        <v/>
      </c>
      <c r="GR22" s="779" t="str">
        <f t="shared" si="149"/>
        <v/>
      </c>
      <c r="GS22" s="779" t="str">
        <f t="shared" si="150"/>
        <v/>
      </c>
      <c r="GT22" s="758" t="str">
        <f t="shared" si="151"/>
        <v/>
      </c>
      <c r="GU22" s="758" t="str">
        <f t="shared" si="152"/>
        <v/>
      </c>
      <c r="GV22" s="758" t="str">
        <f t="shared" si="153"/>
        <v/>
      </c>
      <c r="GW22" s="758" t="str">
        <f t="shared" si="154"/>
        <v/>
      </c>
      <c r="GX22" s="758" t="str">
        <f t="shared" si="155"/>
        <v/>
      </c>
      <c r="GY22" s="758" t="str">
        <f t="shared" si="156"/>
        <v/>
      </c>
      <c r="GZ22" s="758" t="str">
        <f t="shared" si="157"/>
        <v/>
      </c>
      <c r="HA22" s="758" t="str">
        <f t="shared" si="158"/>
        <v/>
      </c>
      <c r="HB22" s="758" t="str">
        <f t="shared" si="159"/>
        <v/>
      </c>
      <c r="HC22" s="758" t="str">
        <f t="shared" si="160"/>
        <v/>
      </c>
      <c r="HD22" s="758" t="str">
        <f t="shared" si="161"/>
        <v/>
      </c>
      <c r="HE22" s="758" t="str">
        <f t="shared" si="162"/>
        <v/>
      </c>
      <c r="HF22" s="758" t="str">
        <f t="shared" si="163"/>
        <v/>
      </c>
      <c r="HG22" s="758" t="str">
        <f t="shared" si="164"/>
        <v/>
      </c>
      <c r="HH22" s="758" t="str">
        <f t="shared" si="165"/>
        <v/>
      </c>
      <c r="HI22" s="758" t="str">
        <f t="shared" si="166"/>
        <v/>
      </c>
      <c r="HJ22" s="758" t="str">
        <f t="shared" si="167"/>
        <v/>
      </c>
      <c r="HK22" s="758" t="str">
        <f t="shared" si="168"/>
        <v/>
      </c>
      <c r="HL22" s="758" t="str">
        <f t="shared" si="169"/>
        <v/>
      </c>
      <c r="HM22" s="758" t="str">
        <f t="shared" si="170"/>
        <v/>
      </c>
    </row>
    <row r="23" spans="1:221" ht="13.35" customHeight="1">
      <c r="A23" s="148" t="str">
        <f t="shared" si="171"/>
        <v/>
      </c>
      <c r="B23" s="1515" t="s">
        <v>1533</v>
      </c>
      <c r="C23" s="1516"/>
      <c r="D23" s="1517"/>
      <c r="E23" s="1518"/>
      <c r="F23" s="1518"/>
      <c r="G23" s="1518"/>
      <c r="H23" s="1518"/>
      <c r="I23" s="1518"/>
      <c r="J23" s="1519"/>
      <c r="K23" s="225">
        <f t="shared" si="172"/>
        <v>0</v>
      </c>
      <c r="L23" s="225">
        <f t="shared" si="0"/>
        <v>0</v>
      </c>
      <c r="M23" s="1520"/>
      <c r="N23" s="1520"/>
      <c r="O23" s="1520"/>
      <c r="P23" s="674" t="str">
        <f t="shared" si="203"/>
        <v/>
      </c>
      <c r="Q23" s="675" t="str">
        <f>IF(H23="","",P23/($P$6*VLOOKUP(C23,'DCA Underwriting Assumptions'!$J$84:$K$89,2,FALSE)))</f>
        <v/>
      </c>
      <c r="R23" s="821"/>
      <c r="S23" s="675"/>
      <c r="T23" s="1455"/>
      <c r="U23" s="1456"/>
      <c r="V23" s="758" t="str">
        <f t="shared" si="1"/>
        <v/>
      </c>
      <c r="W23" s="758" t="str">
        <f t="shared" si="2"/>
        <v/>
      </c>
      <c r="X23" s="758" t="str">
        <f t="shared" si="3"/>
        <v/>
      </c>
      <c r="Y23" s="758" t="str">
        <f t="shared" si="4"/>
        <v/>
      </c>
      <c r="Z23" s="758" t="str">
        <f t="shared" si="5"/>
        <v/>
      </c>
      <c r="AA23" s="758" t="str">
        <f t="shared" si="6"/>
        <v/>
      </c>
      <c r="AB23" s="758" t="str">
        <f t="shared" si="7"/>
        <v/>
      </c>
      <c r="AC23" s="758" t="str">
        <f t="shared" si="8"/>
        <v/>
      </c>
      <c r="AD23" s="758" t="str">
        <f t="shared" si="9"/>
        <v/>
      </c>
      <c r="AE23" s="758" t="str">
        <f t="shared" si="10"/>
        <v/>
      </c>
      <c r="AF23" s="758" t="str">
        <f t="shared" si="11"/>
        <v/>
      </c>
      <c r="AG23" s="758" t="str">
        <f t="shared" si="12"/>
        <v/>
      </c>
      <c r="AH23" s="758" t="str">
        <f t="shared" si="13"/>
        <v/>
      </c>
      <c r="AI23" s="758" t="str">
        <f t="shared" si="14"/>
        <v/>
      </c>
      <c r="AJ23" s="758" t="str">
        <f t="shared" si="15"/>
        <v/>
      </c>
      <c r="AK23" s="758" t="str">
        <f t="shared" si="16"/>
        <v/>
      </c>
      <c r="AL23" s="758" t="str">
        <f t="shared" si="17"/>
        <v/>
      </c>
      <c r="AM23" s="758" t="str">
        <f t="shared" si="18"/>
        <v/>
      </c>
      <c r="AN23" s="758" t="str">
        <f t="shared" si="19"/>
        <v/>
      </c>
      <c r="AO23" s="758" t="str">
        <f t="shared" si="20"/>
        <v/>
      </c>
      <c r="AP23" s="758" t="str">
        <f t="shared" si="173"/>
        <v/>
      </c>
      <c r="AQ23" s="758" t="str">
        <f t="shared" si="174"/>
        <v/>
      </c>
      <c r="AR23" s="758" t="str">
        <f t="shared" si="175"/>
        <v/>
      </c>
      <c r="AS23" s="758" t="str">
        <f t="shared" si="176"/>
        <v/>
      </c>
      <c r="AT23" s="758" t="str">
        <f t="shared" si="177"/>
        <v/>
      </c>
      <c r="AU23" s="758" t="str">
        <f t="shared" si="178"/>
        <v/>
      </c>
      <c r="AV23" s="758" t="str">
        <f t="shared" si="179"/>
        <v/>
      </c>
      <c r="AW23" s="758" t="str">
        <f t="shared" si="180"/>
        <v/>
      </c>
      <c r="AX23" s="758" t="str">
        <f t="shared" si="181"/>
        <v/>
      </c>
      <c r="AY23" s="758" t="str">
        <f t="shared" si="182"/>
        <v/>
      </c>
      <c r="AZ23" s="758" t="str">
        <f t="shared" si="183"/>
        <v/>
      </c>
      <c r="BA23" s="758" t="str">
        <f t="shared" si="184"/>
        <v/>
      </c>
      <c r="BB23" s="758" t="str">
        <f t="shared" si="185"/>
        <v/>
      </c>
      <c r="BC23" s="758" t="str">
        <f t="shared" si="186"/>
        <v/>
      </c>
      <c r="BD23" s="758" t="str">
        <f t="shared" si="187"/>
        <v/>
      </c>
      <c r="BE23" s="758" t="str">
        <f t="shared" si="188"/>
        <v/>
      </c>
      <c r="BF23" s="758" t="str">
        <f t="shared" si="189"/>
        <v/>
      </c>
      <c r="BG23" s="758" t="str">
        <f t="shared" si="190"/>
        <v/>
      </c>
      <c r="BH23" s="758" t="str">
        <f t="shared" si="191"/>
        <v/>
      </c>
      <c r="BI23" s="758" t="str">
        <f t="shared" si="192"/>
        <v/>
      </c>
      <c r="BJ23" s="758" t="str">
        <f t="shared" si="193"/>
        <v/>
      </c>
      <c r="BK23" s="758" t="str">
        <f t="shared" si="194"/>
        <v/>
      </c>
      <c r="BL23" s="758" t="str">
        <f t="shared" si="195"/>
        <v/>
      </c>
      <c r="BM23" s="758" t="str">
        <f t="shared" si="196"/>
        <v/>
      </c>
      <c r="BN23" s="758" t="str">
        <f t="shared" si="197"/>
        <v/>
      </c>
      <c r="BO23" s="758" t="str">
        <f t="shared" si="198"/>
        <v/>
      </c>
      <c r="BP23" s="758" t="str">
        <f t="shared" si="199"/>
        <v/>
      </c>
      <c r="BQ23" s="758" t="str">
        <f t="shared" si="200"/>
        <v/>
      </c>
      <c r="BR23" s="758" t="str">
        <f t="shared" si="201"/>
        <v/>
      </c>
      <c r="BS23" s="758" t="str">
        <f t="shared" si="202"/>
        <v/>
      </c>
      <c r="BT23" s="758" t="str">
        <f t="shared" si="21"/>
        <v/>
      </c>
      <c r="BU23" s="758" t="str">
        <f t="shared" si="22"/>
        <v/>
      </c>
      <c r="BV23" s="758" t="str">
        <f t="shared" si="23"/>
        <v/>
      </c>
      <c r="BW23" s="758" t="str">
        <f t="shared" si="24"/>
        <v/>
      </c>
      <c r="BX23" s="758" t="str">
        <f t="shared" si="25"/>
        <v/>
      </c>
      <c r="BY23" s="758" t="str">
        <f t="shared" si="26"/>
        <v/>
      </c>
      <c r="BZ23" s="758" t="str">
        <f t="shared" si="27"/>
        <v/>
      </c>
      <c r="CA23" s="758" t="str">
        <f t="shared" si="28"/>
        <v/>
      </c>
      <c r="CB23" s="758" t="str">
        <f t="shared" si="29"/>
        <v/>
      </c>
      <c r="CC23" s="758" t="str">
        <f t="shared" si="30"/>
        <v/>
      </c>
      <c r="CD23" s="758" t="str">
        <f t="shared" si="31"/>
        <v/>
      </c>
      <c r="CE23" s="758" t="str">
        <f t="shared" si="32"/>
        <v/>
      </c>
      <c r="CF23" s="758" t="str">
        <f t="shared" si="33"/>
        <v/>
      </c>
      <c r="CG23" s="758" t="str">
        <f t="shared" si="34"/>
        <v/>
      </c>
      <c r="CH23" s="758" t="str">
        <f t="shared" si="35"/>
        <v/>
      </c>
      <c r="CI23" s="758" t="str">
        <f t="shared" si="36"/>
        <v/>
      </c>
      <c r="CJ23" s="758" t="str">
        <f t="shared" si="37"/>
        <v/>
      </c>
      <c r="CK23" s="758" t="str">
        <f t="shared" si="38"/>
        <v/>
      </c>
      <c r="CL23" s="758" t="str">
        <f t="shared" si="39"/>
        <v/>
      </c>
      <c r="CM23" s="758" t="str">
        <f t="shared" si="40"/>
        <v/>
      </c>
      <c r="CN23" s="758" t="str">
        <f t="shared" si="41"/>
        <v/>
      </c>
      <c r="CO23" s="758" t="str">
        <f t="shared" si="42"/>
        <v/>
      </c>
      <c r="CP23" s="758" t="str">
        <f t="shared" si="43"/>
        <v/>
      </c>
      <c r="CQ23" s="758" t="str">
        <f t="shared" si="44"/>
        <v/>
      </c>
      <c r="CR23" s="758" t="str">
        <f t="shared" si="45"/>
        <v/>
      </c>
      <c r="CS23" s="758" t="str">
        <f t="shared" si="46"/>
        <v/>
      </c>
      <c r="CT23" s="758" t="str">
        <f t="shared" si="47"/>
        <v/>
      </c>
      <c r="CU23" s="758" t="str">
        <f t="shared" si="48"/>
        <v/>
      </c>
      <c r="CV23" s="758" t="str">
        <f t="shared" si="49"/>
        <v/>
      </c>
      <c r="CW23" s="758" t="str">
        <f t="shared" si="50"/>
        <v/>
      </c>
      <c r="CX23" s="758" t="str">
        <f t="shared" si="51"/>
        <v/>
      </c>
      <c r="CY23" s="758" t="str">
        <f t="shared" si="52"/>
        <v/>
      </c>
      <c r="CZ23" s="758" t="str">
        <f t="shared" si="53"/>
        <v/>
      </c>
      <c r="DA23" s="758" t="str">
        <f t="shared" si="54"/>
        <v/>
      </c>
      <c r="DB23" s="758" t="str">
        <f t="shared" si="55"/>
        <v/>
      </c>
      <c r="DC23" s="758" t="str">
        <f t="shared" si="56"/>
        <v/>
      </c>
      <c r="DD23" s="758" t="str">
        <f t="shared" si="57"/>
        <v/>
      </c>
      <c r="DE23" s="758" t="str">
        <f t="shared" si="58"/>
        <v/>
      </c>
      <c r="DF23" s="758" t="str">
        <f t="shared" si="59"/>
        <v/>
      </c>
      <c r="DG23" s="758" t="str">
        <f t="shared" si="60"/>
        <v/>
      </c>
      <c r="DH23" s="758" t="str">
        <f t="shared" si="61"/>
        <v/>
      </c>
      <c r="DI23" s="758" t="str">
        <f t="shared" si="62"/>
        <v/>
      </c>
      <c r="DJ23" s="758" t="str">
        <f t="shared" si="63"/>
        <v/>
      </c>
      <c r="DK23" s="758" t="str">
        <f t="shared" si="64"/>
        <v/>
      </c>
      <c r="DL23" s="758" t="str">
        <f t="shared" si="65"/>
        <v/>
      </c>
      <c r="DM23" s="758" t="str">
        <f t="shared" si="66"/>
        <v/>
      </c>
      <c r="DN23" s="758" t="str">
        <f t="shared" si="67"/>
        <v/>
      </c>
      <c r="DO23" s="758" t="str">
        <f t="shared" si="68"/>
        <v/>
      </c>
      <c r="DP23" s="758" t="str">
        <f t="shared" si="69"/>
        <v/>
      </c>
      <c r="DQ23" s="758" t="str">
        <f t="shared" si="70"/>
        <v/>
      </c>
      <c r="DR23" s="758" t="str">
        <f t="shared" si="71"/>
        <v/>
      </c>
      <c r="DS23" s="758" t="str">
        <f t="shared" si="72"/>
        <v/>
      </c>
      <c r="DT23" s="758" t="str">
        <f t="shared" si="73"/>
        <v/>
      </c>
      <c r="DU23" s="758" t="str">
        <f t="shared" si="74"/>
        <v/>
      </c>
      <c r="DV23" s="758" t="str">
        <f t="shared" si="75"/>
        <v/>
      </c>
      <c r="DW23" s="758" t="str">
        <f t="shared" si="76"/>
        <v/>
      </c>
      <c r="DX23" s="758" t="str">
        <f t="shared" si="77"/>
        <v/>
      </c>
      <c r="DY23" s="758" t="str">
        <f t="shared" si="78"/>
        <v/>
      </c>
      <c r="DZ23" s="758" t="str">
        <f t="shared" si="79"/>
        <v/>
      </c>
      <c r="EA23" s="758" t="str">
        <f t="shared" si="80"/>
        <v/>
      </c>
      <c r="EB23" s="758" t="str">
        <f t="shared" si="81"/>
        <v/>
      </c>
      <c r="EC23" s="758" t="str">
        <f t="shared" si="82"/>
        <v/>
      </c>
      <c r="ED23" s="758" t="str">
        <f t="shared" si="83"/>
        <v/>
      </c>
      <c r="EE23" s="758" t="str">
        <f t="shared" si="84"/>
        <v/>
      </c>
      <c r="EF23" s="758" t="str">
        <f t="shared" si="85"/>
        <v/>
      </c>
      <c r="EG23" s="758" t="str">
        <f t="shared" si="86"/>
        <v/>
      </c>
      <c r="EH23" s="758" t="str">
        <f t="shared" si="87"/>
        <v/>
      </c>
      <c r="EI23" s="758" t="str">
        <f t="shared" si="88"/>
        <v/>
      </c>
      <c r="EJ23" s="758" t="str">
        <f t="shared" si="89"/>
        <v/>
      </c>
      <c r="EK23" s="758" t="str">
        <f t="shared" si="90"/>
        <v/>
      </c>
      <c r="EL23" s="758" t="str">
        <f t="shared" si="91"/>
        <v/>
      </c>
      <c r="EM23" s="758" t="str">
        <f t="shared" si="92"/>
        <v/>
      </c>
      <c r="EN23" s="758" t="str">
        <f t="shared" si="93"/>
        <v/>
      </c>
      <c r="EO23" s="758" t="str">
        <f t="shared" si="94"/>
        <v/>
      </c>
      <c r="EP23" s="758" t="str">
        <f t="shared" si="95"/>
        <v/>
      </c>
      <c r="EQ23" s="758" t="str">
        <f t="shared" si="96"/>
        <v/>
      </c>
      <c r="ER23" s="758" t="str">
        <f t="shared" si="97"/>
        <v/>
      </c>
      <c r="ES23" s="758" t="str">
        <f t="shared" si="98"/>
        <v/>
      </c>
      <c r="ET23" s="758" t="str">
        <f t="shared" si="99"/>
        <v/>
      </c>
      <c r="EU23" s="758" t="str">
        <f t="shared" si="100"/>
        <v/>
      </c>
      <c r="EV23" s="778" t="str">
        <f t="shared" si="101"/>
        <v/>
      </c>
      <c r="EW23" s="778" t="str">
        <f t="shared" si="102"/>
        <v/>
      </c>
      <c r="EX23" s="778" t="str">
        <f t="shared" si="103"/>
        <v/>
      </c>
      <c r="EY23" s="778" t="str">
        <f t="shared" si="104"/>
        <v/>
      </c>
      <c r="EZ23" s="778" t="str">
        <f t="shared" si="105"/>
        <v/>
      </c>
      <c r="FA23" s="778" t="str">
        <f t="shared" si="106"/>
        <v/>
      </c>
      <c r="FB23" s="778" t="str">
        <f t="shared" si="107"/>
        <v/>
      </c>
      <c r="FC23" s="778" t="str">
        <f t="shared" si="108"/>
        <v/>
      </c>
      <c r="FD23" s="778" t="str">
        <f t="shared" si="109"/>
        <v/>
      </c>
      <c r="FE23" s="778" t="str">
        <f t="shared" si="110"/>
        <v/>
      </c>
      <c r="FF23" s="778" t="str">
        <f t="shared" si="111"/>
        <v/>
      </c>
      <c r="FG23" s="778" t="str">
        <f t="shared" si="112"/>
        <v/>
      </c>
      <c r="FH23" s="778" t="str">
        <f t="shared" si="113"/>
        <v/>
      </c>
      <c r="FI23" s="778" t="str">
        <f t="shared" si="114"/>
        <v/>
      </c>
      <c r="FJ23" s="778" t="str">
        <f t="shared" si="115"/>
        <v/>
      </c>
      <c r="FK23" s="778" t="str">
        <f t="shared" si="116"/>
        <v/>
      </c>
      <c r="FL23" s="778" t="str">
        <f t="shared" si="117"/>
        <v/>
      </c>
      <c r="FM23" s="778" t="str">
        <f t="shared" si="118"/>
        <v/>
      </c>
      <c r="FN23" s="778" t="str">
        <f t="shared" si="119"/>
        <v/>
      </c>
      <c r="FO23" s="778" t="str">
        <f t="shared" si="120"/>
        <v/>
      </c>
      <c r="FP23" s="778" t="str">
        <f t="shared" si="121"/>
        <v/>
      </c>
      <c r="FQ23" s="778" t="str">
        <f t="shared" si="122"/>
        <v/>
      </c>
      <c r="FR23" s="778" t="str">
        <f t="shared" si="123"/>
        <v/>
      </c>
      <c r="FS23" s="778" t="str">
        <f t="shared" si="124"/>
        <v/>
      </c>
      <c r="FT23" s="778" t="str">
        <f t="shared" si="125"/>
        <v/>
      </c>
      <c r="FU23" s="778" t="str">
        <f t="shared" si="126"/>
        <v/>
      </c>
      <c r="FV23" s="778" t="str">
        <f t="shared" si="127"/>
        <v/>
      </c>
      <c r="FW23" s="778" t="str">
        <f t="shared" si="128"/>
        <v/>
      </c>
      <c r="FX23" s="778" t="str">
        <f t="shared" si="129"/>
        <v/>
      </c>
      <c r="FY23" s="778" t="str">
        <f t="shared" si="130"/>
        <v/>
      </c>
      <c r="FZ23" s="778" t="str">
        <f t="shared" si="131"/>
        <v/>
      </c>
      <c r="GA23" s="778" t="str">
        <f t="shared" si="132"/>
        <v/>
      </c>
      <c r="GB23" s="778" t="str">
        <f t="shared" si="133"/>
        <v/>
      </c>
      <c r="GC23" s="778" t="str">
        <f t="shared" si="134"/>
        <v/>
      </c>
      <c r="GD23" s="778" t="str">
        <f t="shared" si="135"/>
        <v/>
      </c>
      <c r="GE23" s="778" t="str">
        <f t="shared" si="136"/>
        <v/>
      </c>
      <c r="GF23" s="778" t="str">
        <f t="shared" si="137"/>
        <v/>
      </c>
      <c r="GG23" s="778" t="str">
        <f t="shared" si="138"/>
        <v/>
      </c>
      <c r="GH23" s="778" t="str">
        <f t="shared" si="139"/>
        <v/>
      </c>
      <c r="GI23" s="778" t="str">
        <f t="shared" si="140"/>
        <v/>
      </c>
      <c r="GJ23" s="778" t="str">
        <f t="shared" si="141"/>
        <v/>
      </c>
      <c r="GK23" s="778" t="str">
        <f t="shared" si="142"/>
        <v/>
      </c>
      <c r="GL23" s="778" t="str">
        <f t="shared" si="143"/>
        <v/>
      </c>
      <c r="GM23" s="778" t="str">
        <f t="shared" si="144"/>
        <v/>
      </c>
      <c r="GN23" s="778" t="str">
        <f t="shared" si="145"/>
        <v/>
      </c>
      <c r="GO23" s="779" t="str">
        <f t="shared" si="146"/>
        <v/>
      </c>
      <c r="GP23" s="779" t="str">
        <f t="shared" si="147"/>
        <v/>
      </c>
      <c r="GQ23" s="779" t="str">
        <f t="shared" si="148"/>
        <v/>
      </c>
      <c r="GR23" s="779" t="str">
        <f t="shared" si="149"/>
        <v/>
      </c>
      <c r="GS23" s="779" t="str">
        <f t="shared" si="150"/>
        <v/>
      </c>
      <c r="GT23" s="758" t="str">
        <f t="shared" si="151"/>
        <v/>
      </c>
      <c r="GU23" s="758" t="str">
        <f t="shared" si="152"/>
        <v/>
      </c>
      <c r="GV23" s="758" t="str">
        <f t="shared" si="153"/>
        <v/>
      </c>
      <c r="GW23" s="758" t="str">
        <f t="shared" si="154"/>
        <v/>
      </c>
      <c r="GX23" s="758" t="str">
        <f t="shared" si="155"/>
        <v/>
      </c>
      <c r="GY23" s="758" t="str">
        <f t="shared" si="156"/>
        <v/>
      </c>
      <c r="GZ23" s="758" t="str">
        <f t="shared" si="157"/>
        <v/>
      </c>
      <c r="HA23" s="758" t="str">
        <f t="shared" si="158"/>
        <v/>
      </c>
      <c r="HB23" s="758" t="str">
        <f t="shared" si="159"/>
        <v/>
      </c>
      <c r="HC23" s="758" t="str">
        <f t="shared" si="160"/>
        <v/>
      </c>
      <c r="HD23" s="758" t="str">
        <f t="shared" si="161"/>
        <v/>
      </c>
      <c r="HE23" s="758" t="str">
        <f t="shared" si="162"/>
        <v/>
      </c>
      <c r="HF23" s="758" t="str">
        <f t="shared" si="163"/>
        <v/>
      </c>
      <c r="HG23" s="758" t="str">
        <f t="shared" si="164"/>
        <v/>
      </c>
      <c r="HH23" s="758" t="str">
        <f t="shared" si="165"/>
        <v/>
      </c>
      <c r="HI23" s="758" t="str">
        <f t="shared" si="166"/>
        <v/>
      </c>
      <c r="HJ23" s="758" t="str">
        <f t="shared" si="167"/>
        <v/>
      </c>
      <c r="HK23" s="758" t="str">
        <f t="shared" si="168"/>
        <v/>
      </c>
      <c r="HL23" s="758" t="str">
        <f t="shared" si="169"/>
        <v/>
      </c>
      <c r="HM23" s="758" t="str">
        <f t="shared" si="170"/>
        <v/>
      </c>
    </row>
    <row r="24" spans="1:221" ht="13.35" customHeight="1">
      <c r="A24" s="148" t="str">
        <f t="shared" si="171"/>
        <v/>
      </c>
      <c r="B24" s="1515" t="s">
        <v>1533</v>
      </c>
      <c r="C24" s="1516"/>
      <c r="D24" s="1517"/>
      <c r="E24" s="1518"/>
      <c r="F24" s="1518"/>
      <c r="G24" s="1518"/>
      <c r="H24" s="1518"/>
      <c r="I24" s="1518"/>
      <c r="J24" s="1519"/>
      <c r="K24" s="225">
        <f t="shared" si="172"/>
        <v>0</v>
      </c>
      <c r="L24" s="225">
        <f t="shared" si="0"/>
        <v>0</v>
      </c>
      <c r="M24" s="1520"/>
      <c r="N24" s="1520"/>
      <c r="O24" s="1520"/>
      <c r="P24" s="674" t="str">
        <f t="shared" si="203"/>
        <v/>
      </c>
      <c r="Q24" s="675" t="str">
        <f>IF(H24="","",P24/($P$6*VLOOKUP(C24,'DCA Underwriting Assumptions'!$J$84:$K$89,2,FALSE)))</f>
        <v/>
      </c>
      <c r="R24" s="821"/>
      <c r="S24" s="675"/>
      <c r="T24" s="1455"/>
      <c r="U24" s="1456"/>
      <c r="V24" s="758" t="str">
        <f t="shared" si="1"/>
        <v/>
      </c>
      <c r="W24" s="758" t="str">
        <f t="shared" si="2"/>
        <v/>
      </c>
      <c r="X24" s="758" t="str">
        <f t="shared" si="3"/>
        <v/>
      </c>
      <c r="Y24" s="758" t="str">
        <f t="shared" si="4"/>
        <v/>
      </c>
      <c r="Z24" s="758" t="str">
        <f t="shared" si="5"/>
        <v/>
      </c>
      <c r="AA24" s="758" t="str">
        <f t="shared" si="6"/>
        <v/>
      </c>
      <c r="AB24" s="758" t="str">
        <f t="shared" si="7"/>
        <v/>
      </c>
      <c r="AC24" s="758" t="str">
        <f t="shared" si="8"/>
        <v/>
      </c>
      <c r="AD24" s="758" t="str">
        <f t="shared" si="9"/>
        <v/>
      </c>
      <c r="AE24" s="758" t="str">
        <f t="shared" si="10"/>
        <v/>
      </c>
      <c r="AF24" s="758" t="str">
        <f t="shared" si="11"/>
        <v/>
      </c>
      <c r="AG24" s="758" t="str">
        <f t="shared" si="12"/>
        <v/>
      </c>
      <c r="AH24" s="758" t="str">
        <f t="shared" si="13"/>
        <v/>
      </c>
      <c r="AI24" s="758" t="str">
        <f t="shared" si="14"/>
        <v/>
      </c>
      <c r="AJ24" s="758" t="str">
        <f t="shared" si="15"/>
        <v/>
      </c>
      <c r="AK24" s="758" t="str">
        <f t="shared" si="16"/>
        <v/>
      </c>
      <c r="AL24" s="758" t="str">
        <f t="shared" si="17"/>
        <v/>
      </c>
      <c r="AM24" s="758" t="str">
        <f t="shared" si="18"/>
        <v/>
      </c>
      <c r="AN24" s="758" t="str">
        <f t="shared" si="19"/>
        <v/>
      </c>
      <c r="AO24" s="758" t="str">
        <f t="shared" si="20"/>
        <v/>
      </c>
      <c r="AP24" s="758" t="str">
        <f t="shared" si="173"/>
        <v/>
      </c>
      <c r="AQ24" s="758" t="str">
        <f t="shared" si="174"/>
        <v/>
      </c>
      <c r="AR24" s="758" t="str">
        <f t="shared" si="175"/>
        <v/>
      </c>
      <c r="AS24" s="758" t="str">
        <f t="shared" si="176"/>
        <v/>
      </c>
      <c r="AT24" s="758" t="str">
        <f t="shared" si="177"/>
        <v/>
      </c>
      <c r="AU24" s="758" t="str">
        <f t="shared" si="178"/>
        <v/>
      </c>
      <c r="AV24" s="758" t="str">
        <f t="shared" si="179"/>
        <v/>
      </c>
      <c r="AW24" s="758" t="str">
        <f t="shared" si="180"/>
        <v/>
      </c>
      <c r="AX24" s="758" t="str">
        <f t="shared" si="181"/>
        <v/>
      </c>
      <c r="AY24" s="758" t="str">
        <f t="shared" si="182"/>
        <v/>
      </c>
      <c r="AZ24" s="758" t="str">
        <f t="shared" si="183"/>
        <v/>
      </c>
      <c r="BA24" s="758" t="str">
        <f t="shared" si="184"/>
        <v/>
      </c>
      <c r="BB24" s="758" t="str">
        <f t="shared" si="185"/>
        <v/>
      </c>
      <c r="BC24" s="758" t="str">
        <f t="shared" si="186"/>
        <v/>
      </c>
      <c r="BD24" s="758" t="str">
        <f t="shared" si="187"/>
        <v/>
      </c>
      <c r="BE24" s="758" t="str">
        <f t="shared" si="188"/>
        <v/>
      </c>
      <c r="BF24" s="758" t="str">
        <f t="shared" si="189"/>
        <v/>
      </c>
      <c r="BG24" s="758" t="str">
        <f t="shared" si="190"/>
        <v/>
      </c>
      <c r="BH24" s="758" t="str">
        <f t="shared" si="191"/>
        <v/>
      </c>
      <c r="BI24" s="758" t="str">
        <f t="shared" si="192"/>
        <v/>
      </c>
      <c r="BJ24" s="758" t="str">
        <f t="shared" si="193"/>
        <v/>
      </c>
      <c r="BK24" s="758" t="str">
        <f t="shared" si="194"/>
        <v/>
      </c>
      <c r="BL24" s="758" t="str">
        <f t="shared" si="195"/>
        <v/>
      </c>
      <c r="BM24" s="758" t="str">
        <f t="shared" si="196"/>
        <v/>
      </c>
      <c r="BN24" s="758" t="str">
        <f t="shared" si="197"/>
        <v/>
      </c>
      <c r="BO24" s="758" t="str">
        <f t="shared" si="198"/>
        <v/>
      </c>
      <c r="BP24" s="758" t="str">
        <f t="shared" si="199"/>
        <v/>
      </c>
      <c r="BQ24" s="758" t="str">
        <f t="shared" si="200"/>
        <v/>
      </c>
      <c r="BR24" s="758" t="str">
        <f t="shared" si="201"/>
        <v/>
      </c>
      <c r="BS24" s="758" t="str">
        <f t="shared" si="202"/>
        <v/>
      </c>
      <c r="BT24" s="758" t="str">
        <f t="shared" si="21"/>
        <v/>
      </c>
      <c r="BU24" s="758" t="str">
        <f t="shared" si="22"/>
        <v/>
      </c>
      <c r="BV24" s="758" t="str">
        <f t="shared" si="23"/>
        <v/>
      </c>
      <c r="BW24" s="758" t="str">
        <f t="shared" si="24"/>
        <v/>
      </c>
      <c r="BX24" s="758" t="str">
        <f t="shared" si="25"/>
        <v/>
      </c>
      <c r="BY24" s="758" t="str">
        <f t="shared" si="26"/>
        <v/>
      </c>
      <c r="BZ24" s="758" t="str">
        <f t="shared" si="27"/>
        <v/>
      </c>
      <c r="CA24" s="758" t="str">
        <f t="shared" si="28"/>
        <v/>
      </c>
      <c r="CB24" s="758" t="str">
        <f t="shared" si="29"/>
        <v/>
      </c>
      <c r="CC24" s="758" t="str">
        <f t="shared" si="30"/>
        <v/>
      </c>
      <c r="CD24" s="758" t="str">
        <f t="shared" si="31"/>
        <v/>
      </c>
      <c r="CE24" s="758" t="str">
        <f t="shared" si="32"/>
        <v/>
      </c>
      <c r="CF24" s="758" t="str">
        <f t="shared" si="33"/>
        <v/>
      </c>
      <c r="CG24" s="758" t="str">
        <f t="shared" si="34"/>
        <v/>
      </c>
      <c r="CH24" s="758" t="str">
        <f t="shared" si="35"/>
        <v/>
      </c>
      <c r="CI24" s="758" t="str">
        <f t="shared" si="36"/>
        <v/>
      </c>
      <c r="CJ24" s="758" t="str">
        <f t="shared" si="37"/>
        <v/>
      </c>
      <c r="CK24" s="758" t="str">
        <f t="shared" si="38"/>
        <v/>
      </c>
      <c r="CL24" s="758" t="str">
        <f t="shared" si="39"/>
        <v/>
      </c>
      <c r="CM24" s="758" t="str">
        <f t="shared" si="40"/>
        <v/>
      </c>
      <c r="CN24" s="758" t="str">
        <f t="shared" si="41"/>
        <v/>
      </c>
      <c r="CO24" s="758" t="str">
        <f t="shared" si="42"/>
        <v/>
      </c>
      <c r="CP24" s="758" t="str">
        <f t="shared" si="43"/>
        <v/>
      </c>
      <c r="CQ24" s="758" t="str">
        <f t="shared" si="44"/>
        <v/>
      </c>
      <c r="CR24" s="758" t="str">
        <f t="shared" si="45"/>
        <v/>
      </c>
      <c r="CS24" s="758" t="str">
        <f t="shared" si="46"/>
        <v/>
      </c>
      <c r="CT24" s="758" t="str">
        <f t="shared" si="47"/>
        <v/>
      </c>
      <c r="CU24" s="758" t="str">
        <f t="shared" si="48"/>
        <v/>
      </c>
      <c r="CV24" s="758" t="str">
        <f t="shared" si="49"/>
        <v/>
      </c>
      <c r="CW24" s="758" t="str">
        <f t="shared" si="50"/>
        <v/>
      </c>
      <c r="CX24" s="758" t="str">
        <f t="shared" si="51"/>
        <v/>
      </c>
      <c r="CY24" s="758" t="str">
        <f t="shared" si="52"/>
        <v/>
      </c>
      <c r="CZ24" s="758" t="str">
        <f t="shared" si="53"/>
        <v/>
      </c>
      <c r="DA24" s="758" t="str">
        <f t="shared" si="54"/>
        <v/>
      </c>
      <c r="DB24" s="758" t="str">
        <f t="shared" si="55"/>
        <v/>
      </c>
      <c r="DC24" s="758" t="str">
        <f t="shared" si="56"/>
        <v/>
      </c>
      <c r="DD24" s="758" t="str">
        <f t="shared" si="57"/>
        <v/>
      </c>
      <c r="DE24" s="758" t="str">
        <f t="shared" si="58"/>
        <v/>
      </c>
      <c r="DF24" s="758" t="str">
        <f t="shared" si="59"/>
        <v/>
      </c>
      <c r="DG24" s="758" t="str">
        <f t="shared" si="60"/>
        <v/>
      </c>
      <c r="DH24" s="758" t="str">
        <f t="shared" si="61"/>
        <v/>
      </c>
      <c r="DI24" s="758" t="str">
        <f t="shared" si="62"/>
        <v/>
      </c>
      <c r="DJ24" s="758" t="str">
        <f t="shared" si="63"/>
        <v/>
      </c>
      <c r="DK24" s="758" t="str">
        <f t="shared" si="64"/>
        <v/>
      </c>
      <c r="DL24" s="758" t="str">
        <f t="shared" si="65"/>
        <v/>
      </c>
      <c r="DM24" s="758" t="str">
        <f t="shared" si="66"/>
        <v/>
      </c>
      <c r="DN24" s="758" t="str">
        <f t="shared" si="67"/>
        <v/>
      </c>
      <c r="DO24" s="758" t="str">
        <f t="shared" si="68"/>
        <v/>
      </c>
      <c r="DP24" s="758" t="str">
        <f t="shared" si="69"/>
        <v/>
      </c>
      <c r="DQ24" s="758" t="str">
        <f t="shared" si="70"/>
        <v/>
      </c>
      <c r="DR24" s="758" t="str">
        <f t="shared" si="71"/>
        <v/>
      </c>
      <c r="DS24" s="758" t="str">
        <f t="shared" si="72"/>
        <v/>
      </c>
      <c r="DT24" s="758" t="str">
        <f t="shared" si="73"/>
        <v/>
      </c>
      <c r="DU24" s="758" t="str">
        <f t="shared" si="74"/>
        <v/>
      </c>
      <c r="DV24" s="758" t="str">
        <f t="shared" si="75"/>
        <v/>
      </c>
      <c r="DW24" s="758" t="str">
        <f t="shared" si="76"/>
        <v/>
      </c>
      <c r="DX24" s="758" t="str">
        <f t="shared" si="77"/>
        <v/>
      </c>
      <c r="DY24" s="758" t="str">
        <f t="shared" si="78"/>
        <v/>
      </c>
      <c r="DZ24" s="758" t="str">
        <f t="shared" si="79"/>
        <v/>
      </c>
      <c r="EA24" s="758" t="str">
        <f t="shared" si="80"/>
        <v/>
      </c>
      <c r="EB24" s="758" t="str">
        <f t="shared" si="81"/>
        <v/>
      </c>
      <c r="EC24" s="758" t="str">
        <f t="shared" si="82"/>
        <v/>
      </c>
      <c r="ED24" s="758" t="str">
        <f t="shared" si="83"/>
        <v/>
      </c>
      <c r="EE24" s="758" t="str">
        <f t="shared" si="84"/>
        <v/>
      </c>
      <c r="EF24" s="758" t="str">
        <f t="shared" si="85"/>
        <v/>
      </c>
      <c r="EG24" s="758" t="str">
        <f t="shared" si="86"/>
        <v/>
      </c>
      <c r="EH24" s="758" t="str">
        <f t="shared" si="87"/>
        <v/>
      </c>
      <c r="EI24" s="758" t="str">
        <f t="shared" si="88"/>
        <v/>
      </c>
      <c r="EJ24" s="758" t="str">
        <f t="shared" si="89"/>
        <v/>
      </c>
      <c r="EK24" s="758" t="str">
        <f t="shared" si="90"/>
        <v/>
      </c>
      <c r="EL24" s="758" t="str">
        <f t="shared" si="91"/>
        <v/>
      </c>
      <c r="EM24" s="758" t="str">
        <f t="shared" si="92"/>
        <v/>
      </c>
      <c r="EN24" s="758" t="str">
        <f t="shared" si="93"/>
        <v/>
      </c>
      <c r="EO24" s="758" t="str">
        <f t="shared" si="94"/>
        <v/>
      </c>
      <c r="EP24" s="758" t="str">
        <f t="shared" si="95"/>
        <v/>
      </c>
      <c r="EQ24" s="758" t="str">
        <f t="shared" si="96"/>
        <v/>
      </c>
      <c r="ER24" s="758" t="str">
        <f t="shared" si="97"/>
        <v/>
      </c>
      <c r="ES24" s="758" t="str">
        <f t="shared" si="98"/>
        <v/>
      </c>
      <c r="ET24" s="758" t="str">
        <f t="shared" si="99"/>
        <v/>
      </c>
      <c r="EU24" s="758" t="str">
        <f t="shared" si="100"/>
        <v/>
      </c>
      <c r="EV24" s="778" t="str">
        <f t="shared" si="101"/>
        <v/>
      </c>
      <c r="EW24" s="778" t="str">
        <f t="shared" si="102"/>
        <v/>
      </c>
      <c r="EX24" s="778" t="str">
        <f t="shared" si="103"/>
        <v/>
      </c>
      <c r="EY24" s="778" t="str">
        <f t="shared" si="104"/>
        <v/>
      </c>
      <c r="EZ24" s="778" t="str">
        <f t="shared" si="105"/>
        <v/>
      </c>
      <c r="FA24" s="778" t="str">
        <f t="shared" si="106"/>
        <v/>
      </c>
      <c r="FB24" s="778" t="str">
        <f t="shared" si="107"/>
        <v/>
      </c>
      <c r="FC24" s="778" t="str">
        <f t="shared" si="108"/>
        <v/>
      </c>
      <c r="FD24" s="778" t="str">
        <f t="shared" si="109"/>
        <v/>
      </c>
      <c r="FE24" s="778" t="str">
        <f t="shared" si="110"/>
        <v/>
      </c>
      <c r="FF24" s="778" t="str">
        <f t="shared" si="111"/>
        <v/>
      </c>
      <c r="FG24" s="778" t="str">
        <f t="shared" si="112"/>
        <v/>
      </c>
      <c r="FH24" s="778" t="str">
        <f t="shared" si="113"/>
        <v/>
      </c>
      <c r="FI24" s="778" t="str">
        <f t="shared" si="114"/>
        <v/>
      </c>
      <c r="FJ24" s="778" t="str">
        <f t="shared" si="115"/>
        <v/>
      </c>
      <c r="FK24" s="778" t="str">
        <f t="shared" si="116"/>
        <v/>
      </c>
      <c r="FL24" s="778" t="str">
        <f t="shared" si="117"/>
        <v/>
      </c>
      <c r="FM24" s="778" t="str">
        <f t="shared" si="118"/>
        <v/>
      </c>
      <c r="FN24" s="778" t="str">
        <f t="shared" si="119"/>
        <v/>
      </c>
      <c r="FO24" s="778" t="str">
        <f t="shared" si="120"/>
        <v/>
      </c>
      <c r="FP24" s="778" t="str">
        <f t="shared" si="121"/>
        <v/>
      </c>
      <c r="FQ24" s="778" t="str">
        <f t="shared" si="122"/>
        <v/>
      </c>
      <c r="FR24" s="778" t="str">
        <f t="shared" si="123"/>
        <v/>
      </c>
      <c r="FS24" s="778" t="str">
        <f t="shared" si="124"/>
        <v/>
      </c>
      <c r="FT24" s="778" t="str">
        <f t="shared" si="125"/>
        <v/>
      </c>
      <c r="FU24" s="778" t="str">
        <f t="shared" si="126"/>
        <v/>
      </c>
      <c r="FV24" s="778" t="str">
        <f t="shared" si="127"/>
        <v/>
      </c>
      <c r="FW24" s="778" t="str">
        <f t="shared" si="128"/>
        <v/>
      </c>
      <c r="FX24" s="778" t="str">
        <f t="shared" si="129"/>
        <v/>
      </c>
      <c r="FY24" s="778" t="str">
        <f t="shared" si="130"/>
        <v/>
      </c>
      <c r="FZ24" s="778" t="str">
        <f t="shared" si="131"/>
        <v/>
      </c>
      <c r="GA24" s="778" t="str">
        <f t="shared" si="132"/>
        <v/>
      </c>
      <c r="GB24" s="778" t="str">
        <f t="shared" si="133"/>
        <v/>
      </c>
      <c r="GC24" s="778" t="str">
        <f t="shared" si="134"/>
        <v/>
      </c>
      <c r="GD24" s="778" t="str">
        <f t="shared" si="135"/>
        <v/>
      </c>
      <c r="GE24" s="778" t="str">
        <f t="shared" si="136"/>
        <v/>
      </c>
      <c r="GF24" s="778" t="str">
        <f t="shared" si="137"/>
        <v/>
      </c>
      <c r="GG24" s="778" t="str">
        <f t="shared" si="138"/>
        <v/>
      </c>
      <c r="GH24" s="778" t="str">
        <f t="shared" si="139"/>
        <v/>
      </c>
      <c r="GI24" s="778" t="str">
        <f t="shared" si="140"/>
        <v/>
      </c>
      <c r="GJ24" s="778" t="str">
        <f t="shared" si="141"/>
        <v/>
      </c>
      <c r="GK24" s="778" t="str">
        <f t="shared" si="142"/>
        <v/>
      </c>
      <c r="GL24" s="778" t="str">
        <f t="shared" si="143"/>
        <v/>
      </c>
      <c r="GM24" s="778" t="str">
        <f t="shared" si="144"/>
        <v/>
      </c>
      <c r="GN24" s="778" t="str">
        <f t="shared" si="145"/>
        <v/>
      </c>
      <c r="GO24" s="779" t="str">
        <f t="shared" si="146"/>
        <v/>
      </c>
      <c r="GP24" s="779" t="str">
        <f t="shared" si="147"/>
        <v/>
      </c>
      <c r="GQ24" s="779" t="str">
        <f t="shared" si="148"/>
        <v/>
      </c>
      <c r="GR24" s="779" t="str">
        <f t="shared" si="149"/>
        <v/>
      </c>
      <c r="GS24" s="779" t="str">
        <f t="shared" si="150"/>
        <v/>
      </c>
      <c r="GT24" s="758" t="str">
        <f t="shared" si="151"/>
        <v/>
      </c>
      <c r="GU24" s="758" t="str">
        <f t="shared" si="152"/>
        <v/>
      </c>
      <c r="GV24" s="758" t="str">
        <f t="shared" si="153"/>
        <v/>
      </c>
      <c r="GW24" s="758" t="str">
        <f t="shared" si="154"/>
        <v/>
      </c>
      <c r="GX24" s="758" t="str">
        <f t="shared" si="155"/>
        <v/>
      </c>
      <c r="GY24" s="758" t="str">
        <f t="shared" si="156"/>
        <v/>
      </c>
      <c r="GZ24" s="758" t="str">
        <f t="shared" si="157"/>
        <v/>
      </c>
      <c r="HA24" s="758" t="str">
        <f t="shared" si="158"/>
        <v/>
      </c>
      <c r="HB24" s="758" t="str">
        <f t="shared" si="159"/>
        <v/>
      </c>
      <c r="HC24" s="758" t="str">
        <f t="shared" si="160"/>
        <v/>
      </c>
      <c r="HD24" s="758" t="str">
        <f t="shared" si="161"/>
        <v/>
      </c>
      <c r="HE24" s="758" t="str">
        <f t="shared" si="162"/>
        <v/>
      </c>
      <c r="HF24" s="758" t="str">
        <f t="shared" si="163"/>
        <v/>
      </c>
      <c r="HG24" s="758" t="str">
        <f t="shared" si="164"/>
        <v/>
      </c>
      <c r="HH24" s="758" t="str">
        <f t="shared" si="165"/>
        <v/>
      </c>
      <c r="HI24" s="758" t="str">
        <f t="shared" si="166"/>
        <v/>
      </c>
      <c r="HJ24" s="758" t="str">
        <f t="shared" si="167"/>
        <v/>
      </c>
      <c r="HK24" s="758" t="str">
        <f t="shared" si="168"/>
        <v/>
      </c>
      <c r="HL24" s="758" t="str">
        <f t="shared" si="169"/>
        <v/>
      </c>
      <c r="HM24" s="758" t="str">
        <f t="shared" si="170"/>
        <v/>
      </c>
    </row>
    <row r="25" spans="1:221" ht="13.35" customHeight="1">
      <c r="A25" s="148" t="str">
        <f t="shared" si="171"/>
        <v/>
      </c>
      <c r="B25" s="1515" t="s">
        <v>1533</v>
      </c>
      <c r="C25" s="1516"/>
      <c r="D25" s="1517"/>
      <c r="E25" s="1518"/>
      <c r="F25" s="1518"/>
      <c r="G25" s="1518"/>
      <c r="H25" s="1518"/>
      <c r="I25" s="1518"/>
      <c r="J25" s="1519"/>
      <c r="K25" s="225">
        <f t="shared" si="172"/>
        <v>0</v>
      </c>
      <c r="L25" s="225">
        <f t="shared" si="0"/>
        <v>0</v>
      </c>
      <c r="M25" s="1520"/>
      <c r="N25" s="1520"/>
      <c r="O25" s="1520"/>
      <c r="P25" s="674" t="str">
        <f t="shared" si="203"/>
        <v/>
      </c>
      <c r="Q25" s="675" t="str">
        <f>IF(H25="","",P25/($P$6*VLOOKUP(C25,'DCA Underwriting Assumptions'!$J$84:$K$89,2,FALSE)))</f>
        <v/>
      </c>
      <c r="R25" s="821"/>
      <c r="S25" s="675"/>
      <c r="T25" s="1455"/>
      <c r="U25" s="1456"/>
      <c r="V25" s="758" t="str">
        <f t="shared" si="1"/>
        <v/>
      </c>
      <c r="W25" s="758" t="str">
        <f t="shared" si="2"/>
        <v/>
      </c>
      <c r="X25" s="758" t="str">
        <f t="shared" si="3"/>
        <v/>
      </c>
      <c r="Y25" s="758" t="str">
        <f t="shared" si="4"/>
        <v/>
      </c>
      <c r="Z25" s="758" t="str">
        <f t="shared" si="5"/>
        <v/>
      </c>
      <c r="AA25" s="758" t="str">
        <f t="shared" si="6"/>
        <v/>
      </c>
      <c r="AB25" s="758" t="str">
        <f t="shared" si="7"/>
        <v/>
      </c>
      <c r="AC25" s="758" t="str">
        <f t="shared" si="8"/>
        <v/>
      </c>
      <c r="AD25" s="758" t="str">
        <f t="shared" si="9"/>
        <v/>
      </c>
      <c r="AE25" s="758" t="str">
        <f t="shared" si="10"/>
        <v/>
      </c>
      <c r="AF25" s="758" t="str">
        <f t="shared" si="11"/>
        <v/>
      </c>
      <c r="AG25" s="758" t="str">
        <f t="shared" si="12"/>
        <v/>
      </c>
      <c r="AH25" s="758" t="str">
        <f t="shared" si="13"/>
        <v/>
      </c>
      <c r="AI25" s="758" t="str">
        <f t="shared" si="14"/>
        <v/>
      </c>
      <c r="AJ25" s="758" t="str">
        <f t="shared" si="15"/>
        <v/>
      </c>
      <c r="AK25" s="758" t="str">
        <f t="shared" si="16"/>
        <v/>
      </c>
      <c r="AL25" s="758" t="str">
        <f t="shared" si="17"/>
        <v/>
      </c>
      <c r="AM25" s="758" t="str">
        <f t="shared" si="18"/>
        <v/>
      </c>
      <c r="AN25" s="758" t="str">
        <f t="shared" si="19"/>
        <v/>
      </c>
      <c r="AO25" s="758" t="str">
        <f t="shared" si="20"/>
        <v/>
      </c>
      <c r="AP25" s="758" t="str">
        <f t="shared" si="173"/>
        <v/>
      </c>
      <c r="AQ25" s="758" t="str">
        <f t="shared" si="174"/>
        <v/>
      </c>
      <c r="AR25" s="758" t="str">
        <f t="shared" si="175"/>
        <v/>
      </c>
      <c r="AS25" s="758" t="str">
        <f t="shared" si="176"/>
        <v/>
      </c>
      <c r="AT25" s="758" t="str">
        <f t="shared" si="177"/>
        <v/>
      </c>
      <c r="AU25" s="758" t="str">
        <f t="shared" si="178"/>
        <v/>
      </c>
      <c r="AV25" s="758" t="str">
        <f t="shared" si="179"/>
        <v/>
      </c>
      <c r="AW25" s="758" t="str">
        <f t="shared" si="180"/>
        <v/>
      </c>
      <c r="AX25" s="758" t="str">
        <f t="shared" si="181"/>
        <v/>
      </c>
      <c r="AY25" s="758" t="str">
        <f t="shared" si="182"/>
        <v/>
      </c>
      <c r="AZ25" s="758" t="str">
        <f t="shared" si="183"/>
        <v/>
      </c>
      <c r="BA25" s="758" t="str">
        <f t="shared" si="184"/>
        <v/>
      </c>
      <c r="BB25" s="758" t="str">
        <f t="shared" si="185"/>
        <v/>
      </c>
      <c r="BC25" s="758" t="str">
        <f t="shared" si="186"/>
        <v/>
      </c>
      <c r="BD25" s="758" t="str">
        <f t="shared" si="187"/>
        <v/>
      </c>
      <c r="BE25" s="758" t="str">
        <f t="shared" si="188"/>
        <v/>
      </c>
      <c r="BF25" s="758" t="str">
        <f t="shared" si="189"/>
        <v/>
      </c>
      <c r="BG25" s="758" t="str">
        <f t="shared" si="190"/>
        <v/>
      </c>
      <c r="BH25" s="758" t="str">
        <f t="shared" si="191"/>
        <v/>
      </c>
      <c r="BI25" s="758" t="str">
        <f t="shared" si="192"/>
        <v/>
      </c>
      <c r="BJ25" s="758" t="str">
        <f t="shared" si="193"/>
        <v/>
      </c>
      <c r="BK25" s="758" t="str">
        <f t="shared" si="194"/>
        <v/>
      </c>
      <c r="BL25" s="758" t="str">
        <f t="shared" si="195"/>
        <v/>
      </c>
      <c r="BM25" s="758" t="str">
        <f t="shared" si="196"/>
        <v/>
      </c>
      <c r="BN25" s="758" t="str">
        <f t="shared" si="197"/>
        <v/>
      </c>
      <c r="BO25" s="758" t="str">
        <f t="shared" si="198"/>
        <v/>
      </c>
      <c r="BP25" s="758" t="str">
        <f t="shared" si="199"/>
        <v/>
      </c>
      <c r="BQ25" s="758" t="str">
        <f t="shared" si="200"/>
        <v/>
      </c>
      <c r="BR25" s="758" t="str">
        <f t="shared" si="201"/>
        <v/>
      </c>
      <c r="BS25" s="758" t="str">
        <f t="shared" si="202"/>
        <v/>
      </c>
      <c r="BT25" s="758" t="str">
        <f t="shared" si="21"/>
        <v/>
      </c>
      <c r="BU25" s="758" t="str">
        <f t="shared" si="22"/>
        <v/>
      </c>
      <c r="BV25" s="758" t="str">
        <f t="shared" si="23"/>
        <v/>
      </c>
      <c r="BW25" s="758" t="str">
        <f t="shared" si="24"/>
        <v/>
      </c>
      <c r="BX25" s="758" t="str">
        <f t="shared" si="25"/>
        <v/>
      </c>
      <c r="BY25" s="758" t="str">
        <f t="shared" si="26"/>
        <v/>
      </c>
      <c r="BZ25" s="758" t="str">
        <f t="shared" si="27"/>
        <v/>
      </c>
      <c r="CA25" s="758" t="str">
        <f t="shared" si="28"/>
        <v/>
      </c>
      <c r="CB25" s="758" t="str">
        <f t="shared" si="29"/>
        <v/>
      </c>
      <c r="CC25" s="758" t="str">
        <f t="shared" si="30"/>
        <v/>
      </c>
      <c r="CD25" s="758" t="str">
        <f t="shared" si="31"/>
        <v/>
      </c>
      <c r="CE25" s="758" t="str">
        <f t="shared" si="32"/>
        <v/>
      </c>
      <c r="CF25" s="758" t="str">
        <f t="shared" si="33"/>
        <v/>
      </c>
      <c r="CG25" s="758" t="str">
        <f t="shared" si="34"/>
        <v/>
      </c>
      <c r="CH25" s="758" t="str">
        <f t="shared" si="35"/>
        <v/>
      </c>
      <c r="CI25" s="758" t="str">
        <f t="shared" si="36"/>
        <v/>
      </c>
      <c r="CJ25" s="758" t="str">
        <f t="shared" si="37"/>
        <v/>
      </c>
      <c r="CK25" s="758" t="str">
        <f t="shared" si="38"/>
        <v/>
      </c>
      <c r="CL25" s="758" t="str">
        <f t="shared" si="39"/>
        <v/>
      </c>
      <c r="CM25" s="758" t="str">
        <f t="shared" si="40"/>
        <v/>
      </c>
      <c r="CN25" s="758" t="str">
        <f t="shared" si="41"/>
        <v/>
      </c>
      <c r="CO25" s="758" t="str">
        <f t="shared" si="42"/>
        <v/>
      </c>
      <c r="CP25" s="758" t="str">
        <f t="shared" si="43"/>
        <v/>
      </c>
      <c r="CQ25" s="758" t="str">
        <f t="shared" si="44"/>
        <v/>
      </c>
      <c r="CR25" s="758" t="str">
        <f t="shared" si="45"/>
        <v/>
      </c>
      <c r="CS25" s="758" t="str">
        <f t="shared" si="46"/>
        <v/>
      </c>
      <c r="CT25" s="758" t="str">
        <f t="shared" si="47"/>
        <v/>
      </c>
      <c r="CU25" s="758" t="str">
        <f t="shared" si="48"/>
        <v/>
      </c>
      <c r="CV25" s="758" t="str">
        <f t="shared" si="49"/>
        <v/>
      </c>
      <c r="CW25" s="758" t="str">
        <f t="shared" si="50"/>
        <v/>
      </c>
      <c r="CX25" s="758" t="str">
        <f t="shared" si="51"/>
        <v/>
      </c>
      <c r="CY25" s="758" t="str">
        <f t="shared" si="52"/>
        <v/>
      </c>
      <c r="CZ25" s="758" t="str">
        <f t="shared" si="53"/>
        <v/>
      </c>
      <c r="DA25" s="758" t="str">
        <f t="shared" si="54"/>
        <v/>
      </c>
      <c r="DB25" s="758" t="str">
        <f t="shared" si="55"/>
        <v/>
      </c>
      <c r="DC25" s="758" t="str">
        <f t="shared" si="56"/>
        <v/>
      </c>
      <c r="DD25" s="758" t="str">
        <f t="shared" si="57"/>
        <v/>
      </c>
      <c r="DE25" s="758" t="str">
        <f t="shared" si="58"/>
        <v/>
      </c>
      <c r="DF25" s="758" t="str">
        <f t="shared" si="59"/>
        <v/>
      </c>
      <c r="DG25" s="758" t="str">
        <f t="shared" si="60"/>
        <v/>
      </c>
      <c r="DH25" s="758" t="str">
        <f t="shared" si="61"/>
        <v/>
      </c>
      <c r="DI25" s="758" t="str">
        <f t="shared" si="62"/>
        <v/>
      </c>
      <c r="DJ25" s="758" t="str">
        <f t="shared" si="63"/>
        <v/>
      </c>
      <c r="DK25" s="758" t="str">
        <f t="shared" si="64"/>
        <v/>
      </c>
      <c r="DL25" s="758" t="str">
        <f t="shared" si="65"/>
        <v/>
      </c>
      <c r="DM25" s="758" t="str">
        <f t="shared" si="66"/>
        <v/>
      </c>
      <c r="DN25" s="758" t="str">
        <f t="shared" si="67"/>
        <v/>
      </c>
      <c r="DO25" s="758" t="str">
        <f t="shared" si="68"/>
        <v/>
      </c>
      <c r="DP25" s="758" t="str">
        <f t="shared" si="69"/>
        <v/>
      </c>
      <c r="DQ25" s="758" t="str">
        <f t="shared" si="70"/>
        <v/>
      </c>
      <c r="DR25" s="758" t="str">
        <f t="shared" si="71"/>
        <v/>
      </c>
      <c r="DS25" s="758" t="str">
        <f t="shared" si="72"/>
        <v/>
      </c>
      <c r="DT25" s="758" t="str">
        <f t="shared" si="73"/>
        <v/>
      </c>
      <c r="DU25" s="758" t="str">
        <f t="shared" si="74"/>
        <v/>
      </c>
      <c r="DV25" s="758" t="str">
        <f t="shared" si="75"/>
        <v/>
      </c>
      <c r="DW25" s="758" t="str">
        <f t="shared" si="76"/>
        <v/>
      </c>
      <c r="DX25" s="758" t="str">
        <f t="shared" si="77"/>
        <v/>
      </c>
      <c r="DY25" s="758" t="str">
        <f t="shared" si="78"/>
        <v/>
      </c>
      <c r="DZ25" s="758" t="str">
        <f t="shared" si="79"/>
        <v/>
      </c>
      <c r="EA25" s="758" t="str">
        <f t="shared" si="80"/>
        <v/>
      </c>
      <c r="EB25" s="758" t="str">
        <f t="shared" si="81"/>
        <v/>
      </c>
      <c r="EC25" s="758" t="str">
        <f t="shared" si="82"/>
        <v/>
      </c>
      <c r="ED25" s="758" t="str">
        <f t="shared" si="83"/>
        <v/>
      </c>
      <c r="EE25" s="758" t="str">
        <f t="shared" si="84"/>
        <v/>
      </c>
      <c r="EF25" s="758" t="str">
        <f t="shared" si="85"/>
        <v/>
      </c>
      <c r="EG25" s="758" t="str">
        <f t="shared" si="86"/>
        <v/>
      </c>
      <c r="EH25" s="758" t="str">
        <f t="shared" si="87"/>
        <v/>
      </c>
      <c r="EI25" s="758" t="str">
        <f t="shared" si="88"/>
        <v/>
      </c>
      <c r="EJ25" s="758" t="str">
        <f t="shared" si="89"/>
        <v/>
      </c>
      <c r="EK25" s="758" t="str">
        <f t="shared" si="90"/>
        <v/>
      </c>
      <c r="EL25" s="758" t="str">
        <f t="shared" si="91"/>
        <v/>
      </c>
      <c r="EM25" s="758" t="str">
        <f t="shared" si="92"/>
        <v/>
      </c>
      <c r="EN25" s="758" t="str">
        <f t="shared" si="93"/>
        <v/>
      </c>
      <c r="EO25" s="758" t="str">
        <f t="shared" si="94"/>
        <v/>
      </c>
      <c r="EP25" s="758" t="str">
        <f t="shared" si="95"/>
        <v/>
      </c>
      <c r="EQ25" s="758" t="str">
        <f t="shared" si="96"/>
        <v/>
      </c>
      <c r="ER25" s="758" t="str">
        <f t="shared" si="97"/>
        <v/>
      </c>
      <c r="ES25" s="758" t="str">
        <f t="shared" si="98"/>
        <v/>
      </c>
      <c r="ET25" s="758" t="str">
        <f t="shared" si="99"/>
        <v/>
      </c>
      <c r="EU25" s="758" t="str">
        <f t="shared" si="100"/>
        <v/>
      </c>
      <c r="EV25" s="778" t="str">
        <f t="shared" si="101"/>
        <v/>
      </c>
      <c r="EW25" s="778" t="str">
        <f t="shared" si="102"/>
        <v/>
      </c>
      <c r="EX25" s="778" t="str">
        <f t="shared" si="103"/>
        <v/>
      </c>
      <c r="EY25" s="778" t="str">
        <f t="shared" si="104"/>
        <v/>
      </c>
      <c r="EZ25" s="778" t="str">
        <f t="shared" si="105"/>
        <v/>
      </c>
      <c r="FA25" s="778" t="str">
        <f t="shared" si="106"/>
        <v/>
      </c>
      <c r="FB25" s="778" t="str">
        <f t="shared" si="107"/>
        <v/>
      </c>
      <c r="FC25" s="778" t="str">
        <f t="shared" si="108"/>
        <v/>
      </c>
      <c r="FD25" s="778" t="str">
        <f t="shared" si="109"/>
        <v/>
      </c>
      <c r="FE25" s="778" t="str">
        <f t="shared" si="110"/>
        <v/>
      </c>
      <c r="FF25" s="778" t="str">
        <f t="shared" si="111"/>
        <v/>
      </c>
      <c r="FG25" s="778" t="str">
        <f t="shared" si="112"/>
        <v/>
      </c>
      <c r="FH25" s="778" t="str">
        <f t="shared" si="113"/>
        <v/>
      </c>
      <c r="FI25" s="778" t="str">
        <f t="shared" si="114"/>
        <v/>
      </c>
      <c r="FJ25" s="778" t="str">
        <f t="shared" si="115"/>
        <v/>
      </c>
      <c r="FK25" s="778" t="str">
        <f t="shared" si="116"/>
        <v/>
      </c>
      <c r="FL25" s="778" t="str">
        <f t="shared" si="117"/>
        <v/>
      </c>
      <c r="FM25" s="778" t="str">
        <f t="shared" si="118"/>
        <v/>
      </c>
      <c r="FN25" s="778" t="str">
        <f t="shared" si="119"/>
        <v/>
      </c>
      <c r="FO25" s="778" t="str">
        <f t="shared" si="120"/>
        <v/>
      </c>
      <c r="FP25" s="778" t="str">
        <f t="shared" si="121"/>
        <v/>
      </c>
      <c r="FQ25" s="778" t="str">
        <f t="shared" si="122"/>
        <v/>
      </c>
      <c r="FR25" s="778" t="str">
        <f t="shared" si="123"/>
        <v/>
      </c>
      <c r="FS25" s="778" t="str">
        <f t="shared" si="124"/>
        <v/>
      </c>
      <c r="FT25" s="778" t="str">
        <f t="shared" si="125"/>
        <v/>
      </c>
      <c r="FU25" s="778" t="str">
        <f t="shared" si="126"/>
        <v/>
      </c>
      <c r="FV25" s="778" t="str">
        <f t="shared" si="127"/>
        <v/>
      </c>
      <c r="FW25" s="778" t="str">
        <f t="shared" si="128"/>
        <v/>
      </c>
      <c r="FX25" s="778" t="str">
        <f t="shared" si="129"/>
        <v/>
      </c>
      <c r="FY25" s="778" t="str">
        <f t="shared" si="130"/>
        <v/>
      </c>
      <c r="FZ25" s="778" t="str">
        <f t="shared" si="131"/>
        <v/>
      </c>
      <c r="GA25" s="778" t="str">
        <f t="shared" si="132"/>
        <v/>
      </c>
      <c r="GB25" s="778" t="str">
        <f t="shared" si="133"/>
        <v/>
      </c>
      <c r="GC25" s="778" t="str">
        <f t="shared" si="134"/>
        <v/>
      </c>
      <c r="GD25" s="778" t="str">
        <f t="shared" si="135"/>
        <v/>
      </c>
      <c r="GE25" s="778" t="str">
        <f t="shared" si="136"/>
        <v/>
      </c>
      <c r="GF25" s="778" t="str">
        <f t="shared" si="137"/>
        <v/>
      </c>
      <c r="GG25" s="778" t="str">
        <f t="shared" si="138"/>
        <v/>
      </c>
      <c r="GH25" s="778" t="str">
        <f t="shared" si="139"/>
        <v/>
      </c>
      <c r="GI25" s="778" t="str">
        <f t="shared" si="140"/>
        <v/>
      </c>
      <c r="GJ25" s="778" t="str">
        <f t="shared" si="141"/>
        <v/>
      </c>
      <c r="GK25" s="778" t="str">
        <f t="shared" si="142"/>
        <v/>
      </c>
      <c r="GL25" s="778" t="str">
        <f t="shared" si="143"/>
        <v/>
      </c>
      <c r="GM25" s="778" t="str">
        <f t="shared" si="144"/>
        <v/>
      </c>
      <c r="GN25" s="778" t="str">
        <f t="shared" si="145"/>
        <v/>
      </c>
      <c r="GO25" s="779" t="str">
        <f t="shared" si="146"/>
        <v/>
      </c>
      <c r="GP25" s="779" t="str">
        <f t="shared" si="147"/>
        <v/>
      </c>
      <c r="GQ25" s="779" t="str">
        <f t="shared" si="148"/>
        <v/>
      </c>
      <c r="GR25" s="779" t="str">
        <f t="shared" si="149"/>
        <v/>
      </c>
      <c r="GS25" s="779" t="str">
        <f t="shared" si="150"/>
        <v/>
      </c>
      <c r="GT25" s="758" t="str">
        <f t="shared" si="151"/>
        <v/>
      </c>
      <c r="GU25" s="758" t="str">
        <f t="shared" si="152"/>
        <v/>
      </c>
      <c r="GV25" s="758" t="str">
        <f t="shared" si="153"/>
        <v/>
      </c>
      <c r="GW25" s="758" t="str">
        <f t="shared" si="154"/>
        <v/>
      </c>
      <c r="GX25" s="758" t="str">
        <f t="shared" si="155"/>
        <v/>
      </c>
      <c r="GY25" s="758" t="str">
        <f t="shared" si="156"/>
        <v/>
      </c>
      <c r="GZ25" s="758" t="str">
        <f t="shared" si="157"/>
        <v/>
      </c>
      <c r="HA25" s="758" t="str">
        <f t="shared" si="158"/>
        <v/>
      </c>
      <c r="HB25" s="758" t="str">
        <f t="shared" si="159"/>
        <v/>
      </c>
      <c r="HC25" s="758" t="str">
        <f t="shared" si="160"/>
        <v/>
      </c>
      <c r="HD25" s="758" t="str">
        <f t="shared" si="161"/>
        <v/>
      </c>
      <c r="HE25" s="758" t="str">
        <f t="shared" si="162"/>
        <v/>
      </c>
      <c r="HF25" s="758" t="str">
        <f t="shared" si="163"/>
        <v/>
      </c>
      <c r="HG25" s="758" t="str">
        <f t="shared" si="164"/>
        <v/>
      </c>
      <c r="HH25" s="758" t="str">
        <f t="shared" si="165"/>
        <v/>
      </c>
      <c r="HI25" s="758" t="str">
        <f t="shared" si="166"/>
        <v/>
      </c>
      <c r="HJ25" s="758" t="str">
        <f t="shared" si="167"/>
        <v/>
      </c>
      <c r="HK25" s="758" t="str">
        <f t="shared" si="168"/>
        <v/>
      </c>
      <c r="HL25" s="758" t="str">
        <f t="shared" si="169"/>
        <v/>
      </c>
      <c r="HM25" s="758" t="str">
        <f t="shared" si="170"/>
        <v/>
      </c>
    </row>
    <row r="26" spans="1:221" ht="13.35" customHeight="1">
      <c r="A26" s="148" t="str">
        <f t="shared" si="171"/>
        <v/>
      </c>
      <c r="B26" s="1515" t="s">
        <v>1533</v>
      </c>
      <c r="C26" s="1516"/>
      <c r="D26" s="1517"/>
      <c r="E26" s="1518"/>
      <c r="F26" s="1518"/>
      <c r="G26" s="1518"/>
      <c r="H26" s="1518"/>
      <c r="I26" s="1518"/>
      <c r="J26" s="1519"/>
      <c r="K26" s="225">
        <f t="shared" si="172"/>
        <v>0</v>
      </c>
      <c r="L26" s="225">
        <f t="shared" si="0"/>
        <v>0</v>
      </c>
      <c r="M26" s="1520"/>
      <c r="N26" s="1520"/>
      <c r="O26" s="1520"/>
      <c r="P26" s="674" t="str">
        <f t="shared" si="203"/>
        <v/>
      </c>
      <c r="Q26" s="675" t="str">
        <f>IF(H26="","",P26/($P$6*VLOOKUP(C26,'DCA Underwriting Assumptions'!$J$84:$K$89,2,FALSE)))</f>
        <v/>
      </c>
      <c r="R26" s="821"/>
      <c r="S26" s="675"/>
      <c r="T26" s="1455"/>
      <c r="U26" s="1456"/>
      <c r="V26" s="758" t="str">
        <f t="shared" si="1"/>
        <v/>
      </c>
      <c r="W26" s="758" t="str">
        <f t="shared" si="2"/>
        <v/>
      </c>
      <c r="X26" s="758" t="str">
        <f t="shared" si="3"/>
        <v/>
      </c>
      <c r="Y26" s="758" t="str">
        <f t="shared" si="4"/>
        <v/>
      </c>
      <c r="Z26" s="758" t="str">
        <f t="shared" si="5"/>
        <v/>
      </c>
      <c r="AA26" s="758" t="str">
        <f t="shared" si="6"/>
        <v/>
      </c>
      <c r="AB26" s="758" t="str">
        <f t="shared" si="7"/>
        <v/>
      </c>
      <c r="AC26" s="758" t="str">
        <f t="shared" si="8"/>
        <v/>
      </c>
      <c r="AD26" s="758" t="str">
        <f t="shared" si="9"/>
        <v/>
      </c>
      <c r="AE26" s="758" t="str">
        <f t="shared" si="10"/>
        <v/>
      </c>
      <c r="AF26" s="758" t="str">
        <f t="shared" si="11"/>
        <v/>
      </c>
      <c r="AG26" s="758" t="str">
        <f t="shared" si="12"/>
        <v/>
      </c>
      <c r="AH26" s="758" t="str">
        <f t="shared" si="13"/>
        <v/>
      </c>
      <c r="AI26" s="758" t="str">
        <f t="shared" si="14"/>
        <v/>
      </c>
      <c r="AJ26" s="758" t="str">
        <f t="shared" si="15"/>
        <v/>
      </c>
      <c r="AK26" s="758" t="str">
        <f t="shared" si="16"/>
        <v/>
      </c>
      <c r="AL26" s="758" t="str">
        <f t="shared" si="17"/>
        <v/>
      </c>
      <c r="AM26" s="758" t="str">
        <f t="shared" si="18"/>
        <v/>
      </c>
      <c r="AN26" s="758" t="str">
        <f t="shared" si="19"/>
        <v/>
      </c>
      <c r="AO26" s="758" t="str">
        <f t="shared" si="20"/>
        <v/>
      </c>
      <c r="AP26" s="758" t="str">
        <f t="shared" si="173"/>
        <v/>
      </c>
      <c r="AQ26" s="758" t="str">
        <f t="shared" si="174"/>
        <v/>
      </c>
      <c r="AR26" s="758" t="str">
        <f t="shared" si="175"/>
        <v/>
      </c>
      <c r="AS26" s="758" t="str">
        <f t="shared" si="176"/>
        <v/>
      </c>
      <c r="AT26" s="758" t="str">
        <f t="shared" si="177"/>
        <v/>
      </c>
      <c r="AU26" s="758" t="str">
        <f t="shared" si="178"/>
        <v/>
      </c>
      <c r="AV26" s="758" t="str">
        <f t="shared" si="179"/>
        <v/>
      </c>
      <c r="AW26" s="758" t="str">
        <f t="shared" si="180"/>
        <v/>
      </c>
      <c r="AX26" s="758" t="str">
        <f t="shared" si="181"/>
        <v/>
      </c>
      <c r="AY26" s="758" t="str">
        <f t="shared" si="182"/>
        <v/>
      </c>
      <c r="AZ26" s="758" t="str">
        <f t="shared" si="183"/>
        <v/>
      </c>
      <c r="BA26" s="758" t="str">
        <f t="shared" si="184"/>
        <v/>
      </c>
      <c r="BB26" s="758" t="str">
        <f t="shared" si="185"/>
        <v/>
      </c>
      <c r="BC26" s="758" t="str">
        <f t="shared" si="186"/>
        <v/>
      </c>
      <c r="BD26" s="758" t="str">
        <f t="shared" si="187"/>
        <v/>
      </c>
      <c r="BE26" s="758" t="str">
        <f t="shared" si="188"/>
        <v/>
      </c>
      <c r="BF26" s="758" t="str">
        <f t="shared" si="189"/>
        <v/>
      </c>
      <c r="BG26" s="758" t="str">
        <f t="shared" si="190"/>
        <v/>
      </c>
      <c r="BH26" s="758" t="str">
        <f t="shared" si="191"/>
        <v/>
      </c>
      <c r="BI26" s="758" t="str">
        <f t="shared" si="192"/>
        <v/>
      </c>
      <c r="BJ26" s="758" t="str">
        <f t="shared" si="193"/>
        <v/>
      </c>
      <c r="BK26" s="758" t="str">
        <f t="shared" si="194"/>
        <v/>
      </c>
      <c r="BL26" s="758" t="str">
        <f t="shared" si="195"/>
        <v/>
      </c>
      <c r="BM26" s="758" t="str">
        <f t="shared" si="196"/>
        <v/>
      </c>
      <c r="BN26" s="758" t="str">
        <f t="shared" si="197"/>
        <v/>
      </c>
      <c r="BO26" s="758" t="str">
        <f t="shared" si="198"/>
        <v/>
      </c>
      <c r="BP26" s="758" t="str">
        <f t="shared" si="199"/>
        <v/>
      </c>
      <c r="BQ26" s="758" t="str">
        <f t="shared" si="200"/>
        <v/>
      </c>
      <c r="BR26" s="758" t="str">
        <f t="shared" si="201"/>
        <v/>
      </c>
      <c r="BS26" s="758" t="str">
        <f t="shared" si="202"/>
        <v/>
      </c>
      <c r="BT26" s="758" t="str">
        <f t="shared" si="21"/>
        <v/>
      </c>
      <c r="BU26" s="758" t="str">
        <f t="shared" si="22"/>
        <v/>
      </c>
      <c r="BV26" s="758" t="str">
        <f t="shared" si="23"/>
        <v/>
      </c>
      <c r="BW26" s="758" t="str">
        <f t="shared" si="24"/>
        <v/>
      </c>
      <c r="BX26" s="758" t="str">
        <f t="shared" si="25"/>
        <v/>
      </c>
      <c r="BY26" s="758" t="str">
        <f t="shared" si="26"/>
        <v/>
      </c>
      <c r="BZ26" s="758" t="str">
        <f t="shared" si="27"/>
        <v/>
      </c>
      <c r="CA26" s="758" t="str">
        <f t="shared" si="28"/>
        <v/>
      </c>
      <c r="CB26" s="758" t="str">
        <f t="shared" si="29"/>
        <v/>
      </c>
      <c r="CC26" s="758" t="str">
        <f t="shared" si="30"/>
        <v/>
      </c>
      <c r="CD26" s="758" t="str">
        <f t="shared" si="31"/>
        <v/>
      </c>
      <c r="CE26" s="758" t="str">
        <f t="shared" si="32"/>
        <v/>
      </c>
      <c r="CF26" s="758" t="str">
        <f t="shared" si="33"/>
        <v/>
      </c>
      <c r="CG26" s="758" t="str">
        <f t="shared" si="34"/>
        <v/>
      </c>
      <c r="CH26" s="758" t="str">
        <f t="shared" si="35"/>
        <v/>
      </c>
      <c r="CI26" s="758" t="str">
        <f t="shared" si="36"/>
        <v/>
      </c>
      <c r="CJ26" s="758" t="str">
        <f t="shared" si="37"/>
        <v/>
      </c>
      <c r="CK26" s="758" t="str">
        <f t="shared" si="38"/>
        <v/>
      </c>
      <c r="CL26" s="758" t="str">
        <f t="shared" si="39"/>
        <v/>
      </c>
      <c r="CM26" s="758" t="str">
        <f t="shared" si="40"/>
        <v/>
      </c>
      <c r="CN26" s="758" t="str">
        <f t="shared" si="41"/>
        <v/>
      </c>
      <c r="CO26" s="758" t="str">
        <f t="shared" si="42"/>
        <v/>
      </c>
      <c r="CP26" s="758" t="str">
        <f t="shared" si="43"/>
        <v/>
      </c>
      <c r="CQ26" s="758" t="str">
        <f t="shared" si="44"/>
        <v/>
      </c>
      <c r="CR26" s="758" t="str">
        <f t="shared" si="45"/>
        <v/>
      </c>
      <c r="CS26" s="758" t="str">
        <f t="shared" si="46"/>
        <v/>
      </c>
      <c r="CT26" s="758" t="str">
        <f t="shared" si="47"/>
        <v/>
      </c>
      <c r="CU26" s="758" t="str">
        <f t="shared" si="48"/>
        <v/>
      </c>
      <c r="CV26" s="758" t="str">
        <f t="shared" si="49"/>
        <v/>
      </c>
      <c r="CW26" s="758" t="str">
        <f t="shared" si="50"/>
        <v/>
      </c>
      <c r="CX26" s="758" t="str">
        <f t="shared" si="51"/>
        <v/>
      </c>
      <c r="CY26" s="758" t="str">
        <f t="shared" si="52"/>
        <v/>
      </c>
      <c r="CZ26" s="758" t="str">
        <f t="shared" si="53"/>
        <v/>
      </c>
      <c r="DA26" s="758" t="str">
        <f t="shared" si="54"/>
        <v/>
      </c>
      <c r="DB26" s="758" t="str">
        <f t="shared" si="55"/>
        <v/>
      </c>
      <c r="DC26" s="758" t="str">
        <f t="shared" si="56"/>
        <v/>
      </c>
      <c r="DD26" s="758" t="str">
        <f t="shared" si="57"/>
        <v/>
      </c>
      <c r="DE26" s="758" t="str">
        <f t="shared" si="58"/>
        <v/>
      </c>
      <c r="DF26" s="758" t="str">
        <f t="shared" si="59"/>
        <v/>
      </c>
      <c r="DG26" s="758" t="str">
        <f t="shared" si="60"/>
        <v/>
      </c>
      <c r="DH26" s="758" t="str">
        <f t="shared" si="61"/>
        <v/>
      </c>
      <c r="DI26" s="758" t="str">
        <f t="shared" si="62"/>
        <v/>
      </c>
      <c r="DJ26" s="758" t="str">
        <f t="shared" si="63"/>
        <v/>
      </c>
      <c r="DK26" s="758" t="str">
        <f t="shared" si="64"/>
        <v/>
      </c>
      <c r="DL26" s="758" t="str">
        <f t="shared" si="65"/>
        <v/>
      </c>
      <c r="DM26" s="758" t="str">
        <f t="shared" si="66"/>
        <v/>
      </c>
      <c r="DN26" s="758" t="str">
        <f t="shared" si="67"/>
        <v/>
      </c>
      <c r="DO26" s="758" t="str">
        <f t="shared" si="68"/>
        <v/>
      </c>
      <c r="DP26" s="758" t="str">
        <f t="shared" si="69"/>
        <v/>
      </c>
      <c r="DQ26" s="758" t="str">
        <f t="shared" si="70"/>
        <v/>
      </c>
      <c r="DR26" s="758" t="str">
        <f t="shared" si="71"/>
        <v/>
      </c>
      <c r="DS26" s="758" t="str">
        <f t="shared" si="72"/>
        <v/>
      </c>
      <c r="DT26" s="758" t="str">
        <f t="shared" si="73"/>
        <v/>
      </c>
      <c r="DU26" s="758" t="str">
        <f t="shared" si="74"/>
        <v/>
      </c>
      <c r="DV26" s="758" t="str">
        <f t="shared" si="75"/>
        <v/>
      </c>
      <c r="DW26" s="758" t="str">
        <f t="shared" si="76"/>
        <v/>
      </c>
      <c r="DX26" s="758" t="str">
        <f t="shared" si="77"/>
        <v/>
      </c>
      <c r="DY26" s="758" t="str">
        <f t="shared" si="78"/>
        <v/>
      </c>
      <c r="DZ26" s="758" t="str">
        <f t="shared" si="79"/>
        <v/>
      </c>
      <c r="EA26" s="758" t="str">
        <f t="shared" si="80"/>
        <v/>
      </c>
      <c r="EB26" s="758" t="str">
        <f t="shared" si="81"/>
        <v/>
      </c>
      <c r="EC26" s="758" t="str">
        <f t="shared" si="82"/>
        <v/>
      </c>
      <c r="ED26" s="758" t="str">
        <f t="shared" si="83"/>
        <v/>
      </c>
      <c r="EE26" s="758" t="str">
        <f t="shared" si="84"/>
        <v/>
      </c>
      <c r="EF26" s="758" t="str">
        <f t="shared" si="85"/>
        <v/>
      </c>
      <c r="EG26" s="758" t="str">
        <f t="shared" si="86"/>
        <v/>
      </c>
      <c r="EH26" s="758" t="str">
        <f t="shared" si="87"/>
        <v/>
      </c>
      <c r="EI26" s="758" t="str">
        <f t="shared" si="88"/>
        <v/>
      </c>
      <c r="EJ26" s="758" t="str">
        <f t="shared" si="89"/>
        <v/>
      </c>
      <c r="EK26" s="758" t="str">
        <f t="shared" si="90"/>
        <v/>
      </c>
      <c r="EL26" s="758" t="str">
        <f t="shared" si="91"/>
        <v/>
      </c>
      <c r="EM26" s="758" t="str">
        <f t="shared" si="92"/>
        <v/>
      </c>
      <c r="EN26" s="758" t="str">
        <f t="shared" si="93"/>
        <v/>
      </c>
      <c r="EO26" s="758" t="str">
        <f t="shared" si="94"/>
        <v/>
      </c>
      <c r="EP26" s="758" t="str">
        <f t="shared" si="95"/>
        <v/>
      </c>
      <c r="EQ26" s="758" t="str">
        <f t="shared" si="96"/>
        <v/>
      </c>
      <c r="ER26" s="758" t="str">
        <f t="shared" si="97"/>
        <v/>
      </c>
      <c r="ES26" s="758" t="str">
        <f t="shared" si="98"/>
        <v/>
      </c>
      <c r="ET26" s="758" t="str">
        <f t="shared" si="99"/>
        <v/>
      </c>
      <c r="EU26" s="758" t="str">
        <f t="shared" si="100"/>
        <v/>
      </c>
      <c r="EV26" s="778" t="str">
        <f t="shared" si="101"/>
        <v/>
      </c>
      <c r="EW26" s="778" t="str">
        <f t="shared" si="102"/>
        <v/>
      </c>
      <c r="EX26" s="778" t="str">
        <f t="shared" si="103"/>
        <v/>
      </c>
      <c r="EY26" s="778" t="str">
        <f t="shared" si="104"/>
        <v/>
      </c>
      <c r="EZ26" s="778" t="str">
        <f t="shared" si="105"/>
        <v/>
      </c>
      <c r="FA26" s="778" t="str">
        <f t="shared" si="106"/>
        <v/>
      </c>
      <c r="FB26" s="778" t="str">
        <f t="shared" si="107"/>
        <v/>
      </c>
      <c r="FC26" s="778" t="str">
        <f t="shared" si="108"/>
        <v/>
      </c>
      <c r="FD26" s="778" t="str">
        <f t="shared" si="109"/>
        <v/>
      </c>
      <c r="FE26" s="778" t="str">
        <f t="shared" si="110"/>
        <v/>
      </c>
      <c r="FF26" s="778" t="str">
        <f t="shared" si="111"/>
        <v/>
      </c>
      <c r="FG26" s="778" t="str">
        <f t="shared" si="112"/>
        <v/>
      </c>
      <c r="FH26" s="778" t="str">
        <f t="shared" si="113"/>
        <v/>
      </c>
      <c r="FI26" s="778" t="str">
        <f t="shared" si="114"/>
        <v/>
      </c>
      <c r="FJ26" s="778" t="str">
        <f t="shared" si="115"/>
        <v/>
      </c>
      <c r="FK26" s="778" t="str">
        <f t="shared" si="116"/>
        <v/>
      </c>
      <c r="FL26" s="778" t="str">
        <f t="shared" si="117"/>
        <v/>
      </c>
      <c r="FM26" s="778" t="str">
        <f t="shared" si="118"/>
        <v/>
      </c>
      <c r="FN26" s="778" t="str">
        <f t="shared" si="119"/>
        <v/>
      </c>
      <c r="FO26" s="778" t="str">
        <f t="shared" si="120"/>
        <v/>
      </c>
      <c r="FP26" s="778" t="str">
        <f t="shared" si="121"/>
        <v/>
      </c>
      <c r="FQ26" s="778" t="str">
        <f t="shared" si="122"/>
        <v/>
      </c>
      <c r="FR26" s="778" t="str">
        <f t="shared" si="123"/>
        <v/>
      </c>
      <c r="FS26" s="778" t="str">
        <f t="shared" si="124"/>
        <v/>
      </c>
      <c r="FT26" s="778" t="str">
        <f t="shared" si="125"/>
        <v/>
      </c>
      <c r="FU26" s="778" t="str">
        <f t="shared" si="126"/>
        <v/>
      </c>
      <c r="FV26" s="778" t="str">
        <f t="shared" si="127"/>
        <v/>
      </c>
      <c r="FW26" s="778" t="str">
        <f t="shared" si="128"/>
        <v/>
      </c>
      <c r="FX26" s="778" t="str">
        <f t="shared" si="129"/>
        <v/>
      </c>
      <c r="FY26" s="778" t="str">
        <f t="shared" si="130"/>
        <v/>
      </c>
      <c r="FZ26" s="778" t="str">
        <f t="shared" si="131"/>
        <v/>
      </c>
      <c r="GA26" s="778" t="str">
        <f t="shared" si="132"/>
        <v/>
      </c>
      <c r="GB26" s="778" t="str">
        <f t="shared" si="133"/>
        <v/>
      </c>
      <c r="GC26" s="778" t="str">
        <f t="shared" si="134"/>
        <v/>
      </c>
      <c r="GD26" s="778" t="str">
        <f t="shared" si="135"/>
        <v/>
      </c>
      <c r="GE26" s="778" t="str">
        <f t="shared" si="136"/>
        <v/>
      </c>
      <c r="GF26" s="778" t="str">
        <f t="shared" si="137"/>
        <v/>
      </c>
      <c r="GG26" s="778" t="str">
        <f t="shared" si="138"/>
        <v/>
      </c>
      <c r="GH26" s="778" t="str">
        <f t="shared" si="139"/>
        <v/>
      </c>
      <c r="GI26" s="778" t="str">
        <f t="shared" si="140"/>
        <v/>
      </c>
      <c r="GJ26" s="778" t="str">
        <f t="shared" si="141"/>
        <v/>
      </c>
      <c r="GK26" s="778" t="str">
        <f t="shared" si="142"/>
        <v/>
      </c>
      <c r="GL26" s="778" t="str">
        <f t="shared" si="143"/>
        <v/>
      </c>
      <c r="GM26" s="778" t="str">
        <f t="shared" si="144"/>
        <v/>
      </c>
      <c r="GN26" s="778" t="str">
        <f t="shared" si="145"/>
        <v/>
      </c>
      <c r="GO26" s="779" t="str">
        <f t="shared" si="146"/>
        <v/>
      </c>
      <c r="GP26" s="779" t="str">
        <f t="shared" si="147"/>
        <v/>
      </c>
      <c r="GQ26" s="779" t="str">
        <f t="shared" si="148"/>
        <v/>
      </c>
      <c r="GR26" s="779" t="str">
        <f t="shared" si="149"/>
        <v/>
      </c>
      <c r="GS26" s="779" t="str">
        <f t="shared" si="150"/>
        <v/>
      </c>
      <c r="GT26" s="758" t="str">
        <f t="shared" si="151"/>
        <v/>
      </c>
      <c r="GU26" s="758" t="str">
        <f t="shared" si="152"/>
        <v/>
      </c>
      <c r="GV26" s="758" t="str">
        <f t="shared" si="153"/>
        <v/>
      </c>
      <c r="GW26" s="758" t="str">
        <f t="shared" si="154"/>
        <v/>
      </c>
      <c r="GX26" s="758" t="str">
        <f t="shared" si="155"/>
        <v/>
      </c>
      <c r="GY26" s="758" t="str">
        <f t="shared" si="156"/>
        <v/>
      </c>
      <c r="GZ26" s="758" t="str">
        <f t="shared" si="157"/>
        <v/>
      </c>
      <c r="HA26" s="758" t="str">
        <f t="shared" si="158"/>
        <v/>
      </c>
      <c r="HB26" s="758" t="str">
        <f t="shared" si="159"/>
        <v/>
      </c>
      <c r="HC26" s="758" t="str">
        <f t="shared" si="160"/>
        <v/>
      </c>
      <c r="HD26" s="758" t="str">
        <f t="shared" si="161"/>
        <v/>
      </c>
      <c r="HE26" s="758" t="str">
        <f t="shared" si="162"/>
        <v/>
      </c>
      <c r="HF26" s="758" t="str">
        <f t="shared" si="163"/>
        <v/>
      </c>
      <c r="HG26" s="758" t="str">
        <f t="shared" si="164"/>
        <v/>
      </c>
      <c r="HH26" s="758" t="str">
        <f t="shared" si="165"/>
        <v/>
      </c>
      <c r="HI26" s="758" t="str">
        <f t="shared" si="166"/>
        <v/>
      </c>
      <c r="HJ26" s="758" t="str">
        <f t="shared" si="167"/>
        <v/>
      </c>
      <c r="HK26" s="758" t="str">
        <f t="shared" si="168"/>
        <v/>
      </c>
      <c r="HL26" s="758" t="str">
        <f t="shared" si="169"/>
        <v/>
      </c>
      <c r="HM26" s="758" t="str">
        <f t="shared" si="170"/>
        <v/>
      </c>
    </row>
    <row r="27" spans="1:221" ht="13.35" customHeight="1">
      <c r="A27" s="148" t="str">
        <f t="shared" si="171"/>
        <v/>
      </c>
      <c r="B27" s="1515" t="s">
        <v>1533</v>
      </c>
      <c r="C27" s="1516"/>
      <c r="D27" s="1517"/>
      <c r="E27" s="1518"/>
      <c r="F27" s="1518"/>
      <c r="G27" s="1518"/>
      <c r="H27" s="1518"/>
      <c r="I27" s="1518"/>
      <c r="J27" s="1519"/>
      <c r="K27" s="225">
        <f t="shared" si="172"/>
        <v>0</v>
      </c>
      <c r="L27" s="225">
        <f t="shared" si="0"/>
        <v>0</v>
      </c>
      <c r="M27" s="1520"/>
      <c r="N27" s="1520"/>
      <c r="O27" s="1520"/>
      <c r="P27" s="674" t="str">
        <f t="shared" si="203"/>
        <v/>
      </c>
      <c r="Q27" s="675" t="str">
        <f>IF(H27="","",P27/($P$6*VLOOKUP(C27,'DCA Underwriting Assumptions'!$J$84:$K$89,2,FALSE)))</f>
        <v/>
      </c>
      <c r="R27" s="821"/>
      <c r="S27" s="675"/>
      <c r="T27" s="1455"/>
      <c r="U27" s="1456"/>
      <c r="V27" s="758" t="str">
        <f t="shared" si="1"/>
        <v/>
      </c>
      <c r="W27" s="758" t="str">
        <f t="shared" si="2"/>
        <v/>
      </c>
      <c r="X27" s="758" t="str">
        <f t="shared" si="3"/>
        <v/>
      </c>
      <c r="Y27" s="758" t="str">
        <f t="shared" si="4"/>
        <v/>
      </c>
      <c r="Z27" s="758" t="str">
        <f t="shared" si="5"/>
        <v/>
      </c>
      <c r="AA27" s="758" t="str">
        <f t="shared" si="6"/>
        <v/>
      </c>
      <c r="AB27" s="758" t="str">
        <f t="shared" si="7"/>
        <v/>
      </c>
      <c r="AC27" s="758" t="str">
        <f t="shared" si="8"/>
        <v/>
      </c>
      <c r="AD27" s="758" t="str">
        <f t="shared" si="9"/>
        <v/>
      </c>
      <c r="AE27" s="758" t="str">
        <f t="shared" si="10"/>
        <v/>
      </c>
      <c r="AF27" s="758" t="str">
        <f t="shared" si="11"/>
        <v/>
      </c>
      <c r="AG27" s="758" t="str">
        <f t="shared" si="12"/>
        <v/>
      </c>
      <c r="AH27" s="758" t="str">
        <f t="shared" si="13"/>
        <v/>
      </c>
      <c r="AI27" s="758" t="str">
        <f t="shared" si="14"/>
        <v/>
      </c>
      <c r="AJ27" s="758" t="str">
        <f t="shared" si="15"/>
        <v/>
      </c>
      <c r="AK27" s="758" t="str">
        <f t="shared" si="16"/>
        <v/>
      </c>
      <c r="AL27" s="758" t="str">
        <f t="shared" si="17"/>
        <v/>
      </c>
      <c r="AM27" s="758" t="str">
        <f t="shared" si="18"/>
        <v/>
      </c>
      <c r="AN27" s="758" t="str">
        <f t="shared" si="19"/>
        <v/>
      </c>
      <c r="AO27" s="758" t="str">
        <f t="shared" si="20"/>
        <v/>
      </c>
      <c r="AP27" s="758" t="str">
        <f t="shared" si="173"/>
        <v/>
      </c>
      <c r="AQ27" s="758" t="str">
        <f t="shared" si="174"/>
        <v/>
      </c>
      <c r="AR27" s="758" t="str">
        <f t="shared" si="175"/>
        <v/>
      </c>
      <c r="AS27" s="758" t="str">
        <f t="shared" si="176"/>
        <v/>
      </c>
      <c r="AT27" s="758" t="str">
        <f t="shared" si="177"/>
        <v/>
      </c>
      <c r="AU27" s="758" t="str">
        <f t="shared" si="178"/>
        <v/>
      </c>
      <c r="AV27" s="758" t="str">
        <f t="shared" si="179"/>
        <v/>
      </c>
      <c r="AW27" s="758" t="str">
        <f t="shared" si="180"/>
        <v/>
      </c>
      <c r="AX27" s="758" t="str">
        <f t="shared" si="181"/>
        <v/>
      </c>
      <c r="AY27" s="758" t="str">
        <f t="shared" si="182"/>
        <v/>
      </c>
      <c r="AZ27" s="758" t="str">
        <f t="shared" si="183"/>
        <v/>
      </c>
      <c r="BA27" s="758" t="str">
        <f t="shared" si="184"/>
        <v/>
      </c>
      <c r="BB27" s="758" t="str">
        <f t="shared" si="185"/>
        <v/>
      </c>
      <c r="BC27" s="758" t="str">
        <f t="shared" si="186"/>
        <v/>
      </c>
      <c r="BD27" s="758" t="str">
        <f t="shared" si="187"/>
        <v/>
      </c>
      <c r="BE27" s="758" t="str">
        <f t="shared" si="188"/>
        <v/>
      </c>
      <c r="BF27" s="758" t="str">
        <f t="shared" si="189"/>
        <v/>
      </c>
      <c r="BG27" s="758" t="str">
        <f t="shared" si="190"/>
        <v/>
      </c>
      <c r="BH27" s="758" t="str">
        <f t="shared" si="191"/>
        <v/>
      </c>
      <c r="BI27" s="758" t="str">
        <f t="shared" si="192"/>
        <v/>
      </c>
      <c r="BJ27" s="758" t="str">
        <f t="shared" si="193"/>
        <v/>
      </c>
      <c r="BK27" s="758" t="str">
        <f t="shared" si="194"/>
        <v/>
      </c>
      <c r="BL27" s="758" t="str">
        <f t="shared" si="195"/>
        <v/>
      </c>
      <c r="BM27" s="758" t="str">
        <f t="shared" si="196"/>
        <v/>
      </c>
      <c r="BN27" s="758" t="str">
        <f t="shared" si="197"/>
        <v/>
      </c>
      <c r="BO27" s="758" t="str">
        <f t="shared" si="198"/>
        <v/>
      </c>
      <c r="BP27" s="758" t="str">
        <f t="shared" si="199"/>
        <v/>
      </c>
      <c r="BQ27" s="758" t="str">
        <f t="shared" si="200"/>
        <v/>
      </c>
      <c r="BR27" s="758" t="str">
        <f t="shared" si="201"/>
        <v/>
      </c>
      <c r="BS27" s="758" t="str">
        <f t="shared" si="202"/>
        <v/>
      </c>
      <c r="BT27" s="758" t="str">
        <f t="shared" si="21"/>
        <v/>
      </c>
      <c r="BU27" s="758" t="str">
        <f t="shared" si="22"/>
        <v/>
      </c>
      <c r="BV27" s="758" t="str">
        <f t="shared" si="23"/>
        <v/>
      </c>
      <c r="BW27" s="758" t="str">
        <f t="shared" si="24"/>
        <v/>
      </c>
      <c r="BX27" s="758" t="str">
        <f t="shared" si="25"/>
        <v/>
      </c>
      <c r="BY27" s="758" t="str">
        <f t="shared" si="26"/>
        <v/>
      </c>
      <c r="BZ27" s="758" t="str">
        <f t="shared" si="27"/>
        <v/>
      </c>
      <c r="CA27" s="758" t="str">
        <f t="shared" si="28"/>
        <v/>
      </c>
      <c r="CB27" s="758" t="str">
        <f t="shared" si="29"/>
        <v/>
      </c>
      <c r="CC27" s="758" t="str">
        <f t="shared" si="30"/>
        <v/>
      </c>
      <c r="CD27" s="758" t="str">
        <f t="shared" si="31"/>
        <v/>
      </c>
      <c r="CE27" s="758" t="str">
        <f t="shared" si="32"/>
        <v/>
      </c>
      <c r="CF27" s="758" t="str">
        <f t="shared" si="33"/>
        <v/>
      </c>
      <c r="CG27" s="758" t="str">
        <f t="shared" si="34"/>
        <v/>
      </c>
      <c r="CH27" s="758" t="str">
        <f t="shared" si="35"/>
        <v/>
      </c>
      <c r="CI27" s="758" t="str">
        <f t="shared" si="36"/>
        <v/>
      </c>
      <c r="CJ27" s="758" t="str">
        <f t="shared" si="37"/>
        <v/>
      </c>
      <c r="CK27" s="758" t="str">
        <f t="shared" si="38"/>
        <v/>
      </c>
      <c r="CL27" s="758" t="str">
        <f t="shared" si="39"/>
        <v/>
      </c>
      <c r="CM27" s="758" t="str">
        <f t="shared" si="40"/>
        <v/>
      </c>
      <c r="CN27" s="758" t="str">
        <f t="shared" si="41"/>
        <v/>
      </c>
      <c r="CO27" s="758" t="str">
        <f t="shared" si="42"/>
        <v/>
      </c>
      <c r="CP27" s="758" t="str">
        <f t="shared" si="43"/>
        <v/>
      </c>
      <c r="CQ27" s="758" t="str">
        <f t="shared" si="44"/>
        <v/>
      </c>
      <c r="CR27" s="758" t="str">
        <f t="shared" si="45"/>
        <v/>
      </c>
      <c r="CS27" s="758" t="str">
        <f t="shared" si="46"/>
        <v/>
      </c>
      <c r="CT27" s="758" t="str">
        <f t="shared" si="47"/>
        <v/>
      </c>
      <c r="CU27" s="758" t="str">
        <f t="shared" si="48"/>
        <v/>
      </c>
      <c r="CV27" s="758" t="str">
        <f t="shared" si="49"/>
        <v/>
      </c>
      <c r="CW27" s="758" t="str">
        <f t="shared" si="50"/>
        <v/>
      </c>
      <c r="CX27" s="758" t="str">
        <f t="shared" si="51"/>
        <v/>
      </c>
      <c r="CY27" s="758" t="str">
        <f t="shared" si="52"/>
        <v/>
      </c>
      <c r="CZ27" s="758" t="str">
        <f t="shared" si="53"/>
        <v/>
      </c>
      <c r="DA27" s="758" t="str">
        <f t="shared" si="54"/>
        <v/>
      </c>
      <c r="DB27" s="758" t="str">
        <f t="shared" si="55"/>
        <v/>
      </c>
      <c r="DC27" s="758" t="str">
        <f t="shared" si="56"/>
        <v/>
      </c>
      <c r="DD27" s="758" t="str">
        <f t="shared" si="57"/>
        <v/>
      </c>
      <c r="DE27" s="758" t="str">
        <f t="shared" si="58"/>
        <v/>
      </c>
      <c r="DF27" s="758" t="str">
        <f t="shared" si="59"/>
        <v/>
      </c>
      <c r="DG27" s="758" t="str">
        <f t="shared" si="60"/>
        <v/>
      </c>
      <c r="DH27" s="758" t="str">
        <f t="shared" si="61"/>
        <v/>
      </c>
      <c r="DI27" s="758" t="str">
        <f t="shared" si="62"/>
        <v/>
      </c>
      <c r="DJ27" s="758" t="str">
        <f t="shared" si="63"/>
        <v/>
      </c>
      <c r="DK27" s="758" t="str">
        <f t="shared" si="64"/>
        <v/>
      </c>
      <c r="DL27" s="758" t="str">
        <f t="shared" si="65"/>
        <v/>
      </c>
      <c r="DM27" s="758" t="str">
        <f t="shared" si="66"/>
        <v/>
      </c>
      <c r="DN27" s="758" t="str">
        <f t="shared" si="67"/>
        <v/>
      </c>
      <c r="DO27" s="758" t="str">
        <f t="shared" si="68"/>
        <v/>
      </c>
      <c r="DP27" s="758" t="str">
        <f t="shared" si="69"/>
        <v/>
      </c>
      <c r="DQ27" s="758" t="str">
        <f t="shared" si="70"/>
        <v/>
      </c>
      <c r="DR27" s="758" t="str">
        <f t="shared" si="71"/>
        <v/>
      </c>
      <c r="DS27" s="758" t="str">
        <f t="shared" si="72"/>
        <v/>
      </c>
      <c r="DT27" s="758" t="str">
        <f t="shared" si="73"/>
        <v/>
      </c>
      <c r="DU27" s="758" t="str">
        <f t="shared" si="74"/>
        <v/>
      </c>
      <c r="DV27" s="758" t="str">
        <f t="shared" si="75"/>
        <v/>
      </c>
      <c r="DW27" s="758" t="str">
        <f t="shared" si="76"/>
        <v/>
      </c>
      <c r="DX27" s="758" t="str">
        <f t="shared" si="77"/>
        <v/>
      </c>
      <c r="DY27" s="758" t="str">
        <f t="shared" si="78"/>
        <v/>
      </c>
      <c r="DZ27" s="758" t="str">
        <f t="shared" si="79"/>
        <v/>
      </c>
      <c r="EA27" s="758" t="str">
        <f t="shared" si="80"/>
        <v/>
      </c>
      <c r="EB27" s="758" t="str">
        <f t="shared" si="81"/>
        <v/>
      </c>
      <c r="EC27" s="758" t="str">
        <f t="shared" si="82"/>
        <v/>
      </c>
      <c r="ED27" s="758" t="str">
        <f t="shared" si="83"/>
        <v/>
      </c>
      <c r="EE27" s="758" t="str">
        <f t="shared" si="84"/>
        <v/>
      </c>
      <c r="EF27" s="758" t="str">
        <f t="shared" si="85"/>
        <v/>
      </c>
      <c r="EG27" s="758" t="str">
        <f t="shared" si="86"/>
        <v/>
      </c>
      <c r="EH27" s="758" t="str">
        <f t="shared" si="87"/>
        <v/>
      </c>
      <c r="EI27" s="758" t="str">
        <f t="shared" si="88"/>
        <v/>
      </c>
      <c r="EJ27" s="758" t="str">
        <f t="shared" si="89"/>
        <v/>
      </c>
      <c r="EK27" s="758" t="str">
        <f t="shared" si="90"/>
        <v/>
      </c>
      <c r="EL27" s="758" t="str">
        <f t="shared" si="91"/>
        <v/>
      </c>
      <c r="EM27" s="758" t="str">
        <f t="shared" si="92"/>
        <v/>
      </c>
      <c r="EN27" s="758" t="str">
        <f t="shared" si="93"/>
        <v/>
      </c>
      <c r="EO27" s="758" t="str">
        <f t="shared" si="94"/>
        <v/>
      </c>
      <c r="EP27" s="758" t="str">
        <f t="shared" si="95"/>
        <v/>
      </c>
      <c r="EQ27" s="758" t="str">
        <f t="shared" si="96"/>
        <v/>
      </c>
      <c r="ER27" s="758" t="str">
        <f t="shared" si="97"/>
        <v/>
      </c>
      <c r="ES27" s="758" t="str">
        <f t="shared" si="98"/>
        <v/>
      </c>
      <c r="ET27" s="758" t="str">
        <f t="shared" si="99"/>
        <v/>
      </c>
      <c r="EU27" s="758" t="str">
        <f t="shared" si="100"/>
        <v/>
      </c>
      <c r="EV27" s="778" t="str">
        <f t="shared" si="101"/>
        <v/>
      </c>
      <c r="EW27" s="778" t="str">
        <f t="shared" si="102"/>
        <v/>
      </c>
      <c r="EX27" s="778" t="str">
        <f t="shared" si="103"/>
        <v/>
      </c>
      <c r="EY27" s="778" t="str">
        <f t="shared" si="104"/>
        <v/>
      </c>
      <c r="EZ27" s="778" t="str">
        <f t="shared" si="105"/>
        <v/>
      </c>
      <c r="FA27" s="778" t="str">
        <f t="shared" si="106"/>
        <v/>
      </c>
      <c r="FB27" s="778" t="str">
        <f t="shared" si="107"/>
        <v/>
      </c>
      <c r="FC27" s="778" t="str">
        <f t="shared" si="108"/>
        <v/>
      </c>
      <c r="FD27" s="778" t="str">
        <f t="shared" si="109"/>
        <v/>
      </c>
      <c r="FE27" s="778" t="str">
        <f t="shared" si="110"/>
        <v/>
      </c>
      <c r="FF27" s="778" t="str">
        <f t="shared" si="111"/>
        <v/>
      </c>
      <c r="FG27" s="778" t="str">
        <f t="shared" si="112"/>
        <v/>
      </c>
      <c r="FH27" s="778" t="str">
        <f t="shared" si="113"/>
        <v/>
      </c>
      <c r="FI27" s="778" t="str">
        <f t="shared" si="114"/>
        <v/>
      </c>
      <c r="FJ27" s="778" t="str">
        <f t="shared" si="115"/>
        <v/>
      </c>
      <c r="FK27" s="778" t="str">
        <f t="shared" si="116"/>
        <v/>
      </c>
      <c r="FL27" s="778" t="str">
        <f t="shared" si="117"/>
        <v/>
      </c>
      <c r="FM27" s="778" t="str">
        <f t="shared" si="118"/>
        <v/>
      </c>
      <c r="FN27" s="778" t="str">
        <f t="shared" si="119"/>
        <v/>
      </c>
      <c r="FO27" s="778" t="str">
        <f t="shared" si="120"/>
        <v/>
      </c>
      <c r="FP27" s="778" t="str">
        <f t="shared" si="121"/>
        <v/>
      </c>
      <c r="FQ27" s="778" t="str">
        <f t="shared" si="122"/>
        <v/>
      </c>
      <c r="FR27" s="778" t="str">
        <f t="shared" si="123"/>
        <v/>
      </c>
      <c r="FS27" s="778" t="str">
        <f t="shared" si="124"/>
        <v/>
      </c>
      <c r="FT27" s="778" t="str">
        <f t="shared" si="125"/>
        <v/>
      </c>
      <c r="FU27" s="778" t="str">
        <f t="shared" si="126"/>
        <v/>
      </c>
      <c r="FV27" s="778" t="str">
        <f t="shared" si="127"/>
        <v/>
      </c>
      <c r="FW27" s="778" t="str">
        <f t="shared" si="128"/>
        <v/>
      </c>
      <c r="FX27" s="778" t="str">
        <f t="shared" si="129"/>
        <v/>
      </c>
      <c r="FY27" s="778" t="str">
        <f t="shared" si="130"/>
        <v/>
      </c>
      <c r="FZ27" s="778" t="str">
        <f t="shared" si="131"/>
        <v/>
      </c>
      <c r="GA27" s="778" t="str">
        <f t="shared" si="132"/>
        <v/>
      </c>
      <c r="GB27" s="778" t="str">
        <f t="shared" si="133"/>
        <v/>
      </c>
      <c r="GC27" s="778" t="str">
        <f t="shared" si="134"/>
        <v/>
      </c>
      <c r="GD27" s="778" t="str">
        <f t="shared" si="135"/>
        <v/>
      </c>
      <c r="GE27" s="778" t="str">
        <f t="shared" si="136"/>
        <v/>
      </c>
      <c r="GF27" s="778" t="str">
        <f t="shared" si="137"/>
        <v/>
      </c>
      <c r="GG27" s="778" t="str">
        <f t="shared" si="138"/>
        <v/>
      </c>
      <c r="GH27" s="778" t="str">
        <f t="shared" si="139"/>
        <v/>
      </c>
      <c r="GI27" s="778" t="str">
        <f t="shared" si="140"/>
        <v/>
      </c>
      <c r="GJ27" s="778" t="str">
        <f t="shared" si="141"/>
        <v/>
      </c>
      <c r="GK27" s="778" t="str">
        <f t="shared" si="142"/>
        <v/>
      </c>
      <c r="GL27" s="778" t="str">
        <f t="shared" si="143"/>
        <v/>
      </c>
      <c r="GM27" s="778" t="str">
        <f t="shared" si="144"/>
        <v/>
      </c>
      <c r="GN27" s="778" t="str">
        <f t="shared" si="145"/>
        <v/>
      </c>
      <c r="GO27" s="779" t="str">
        <f t="shared" si="146"/>
        <v/>
      </c>
      <c r="GP27" s="779" t="str">
        <f t="shared" si="147"/>
        <v/>
      </c>
      <c r="GQ27" s="779" t="str">
        <f t="shared" si="148"/>
        <v/>
      </c>
      <c r="GR27" s="779" t="str">
        <f t="shared" si="149"/>
        <v/>
      </c>
      <c r="GS27" s="779" t="str">
        <f t="shared" si="150"/>
        <v/>
      </c>
      <c r="GT27" s="758" t="str">
        <f t="shared" si="151"/>
        <v/>
      </c>
      <c r="GU27" s="758" t="str">
        <f t="shared" si="152"/>
        <v/>
      </c>
      <c r="GV27" s="758" t="str">
        <f t="shared" si="153"/>
        <v/>
      </c>
      <c r="GW27" s="758" t="str">
        <f t="shared" si="154"/>
        <v/>
      </c>
      <c r="GX27" s="758" t="str">
        <f t="shared" si="155"/>
        <v/>
      </c>
      <c r="GY27" s="758" t="str">
        <f t="shared" si="156"/>
        <v/>
      </c>
      <c r="GZ27" s="758" t="str">
        <f t="shared" si="157"/>
        <v/>
      </c>
      <c r="HA27" s="758" t="str">
        <f t="shared" si="158"/>
        <v/>
      </c>
      <c r="HB27" s="758" t="str">
        <f t="shared" si="159"/>
        <v/>
      </c>
      <c r="HC27" s="758" t="str">
        <f t="shared" si="160"/>
        <v/>
      </c>
      <c r="HD27" s="758" t="str">
        <f t="shared" si="161"/>
        <v/>
      </c>
      <c r="HE27" s="758" t="str">
        <f t="shared" si="162"/>
        <v/>
      </c>
      <c r="HF27" s="758" t="str">
        <f t="shared" si="163"/>
        <v/>
      </c>
      <c r="HG27" s="758" t="str">
        <f t="shared" si="164"/>
        <v/>
      </c>
      <c r="HH27" s="758" t="str">
        <f t="shared" si="165"/>
        <v/>
      </c>
      <c r="HI27" s="758" t="str">
        <f t="shared" si="166"/>
        <v/>
      </c>
      <c r="HJ27" s="758" t="str">
        <f t="shared" si="167"/>
        <v/>
      </c>
      <c r="HK27" s="758" t="str">
        <f t="shared" si="168"/>
        <v/>
      </c>
      <c r="HL27" s="758" t="str">
        <f t="shared" si="169"/>
        <v/>
      </c>
      <c r="HM27" s="758" t="str">
        <f t="shared" si="170"/>
        <v/>
      </c>
    </row>
    <row r="28" spans="1:221" ht="13.35" customHeight="1">
      <c r="A28" s="148" t="str">
        <f t="shared" si="171"/>
        <v/>
      </c>
      <c r="B28" s="1515" t="s">
        <v>1533</v>
      </c>
      <c r="C28" s="1516"/>
      <c r="D28" s="1517"/>
      <c r="E28" s="1518"/>
      <c r="F28" s="1518"/>
      <c r="G28" s="1518"/>
      <c r="H28" s="1518"/>
      <c r="I28" s="1518"/>
      <c r="J28" s="1519"/>
      <c r="K28" s="225">
        <f>MAX(0,H28-I28)</f>
        <v>0</v>
      </c>
      <c r="L28" s="225">
        <f t="shared" si="0"/>
        <v>0</v>
      </c>
      <c r="M28" s="1520"/>
      <c r="N28" s="1520"/>
      <c r="O28" s="1520"/>
      <c r="P28" s="674" t="str">
        <f t="shared" si="203"/>
        <v/>
      </c>
      <c r="Q28" s="675" t="str">
        <f>IF(H28="","",P28/($P$6*VLOOKUP(C28,'DCA Underwriting Assumptions'!$J$84:$K$89,2,FALSE)))</f>
        <v/>
      </c>
      <c r="R28" s="821"/>
      <c r="S28" s="675"/>
      <c r="T28" s="1455"/>
      <c r="U28" s="1456"/>
      <c r="V28" s="758" t="str">
        <f t="shared" si="1"/>
        <v/>
      </c>
      <c r="W28" s="758" t="str">
        <f t="shared" si="2"/>
        <v/>
      </c>
      <c r="X28" s="758" t="str">
        <f t="shared" si="3"/>
        <v/>
      </c>
      <c r="Y28" s="758" t="str">
        <f t="shared" si="4"/>
        <v/>
      </c>
      <c r="Z28" s="758" t="str">
        <f t="shared" si="5"/>
        <v/>
      </c>
      <c r="AA28" s="758" t="str">
        <f t="shared" si="6"/>
        <v/>
      </c>
      <c r="AB28" s="758" t="str">
        <f t="shared" si="7"/>
        <v/>
      </c>
      <c r="AC28" s="758" t="str">
        <f t="shared" si="8"/>
        <v/>
      </c>
      <c r="AD28" s="758" t="str">
        <f t="shared" si="9"/>
        <v/>
      </c>
      <c r="AE28" s="758" t="str">
        <f t="shared" si="10"/>
        <v/>
      </c>
      <c r="AF28" s="758" t="str">
        <f t="shared" si="11"/>
        <v/>
      </c>
      <c r="AG28" s="758" t="str">
        <f t="shared" si="12"/>
        <v/>
      </c>
      <c r="AH28" s="758" t="str">
        <f t="shared" si="13"/>
        <v/>
      </c>
      <c r="AI28" s="758" t="str">
        <f t="shared" si="14"/>
        <v/>
      </c>
      <c r="AJ28" s="758" t="str">
        <f t="shared" si="15"/>
        <v/>
      </c>
      <c r="AK28" s="758" t="str">
        <f t="shared" si="16"/>
        <v/>
      </c>
      <c r="AL28" s="758" t="str">
        <f t="shared" si="17"/>
        <v/>
      </c>
      <c r="AM28" s="758" t="str">
        <f t="shared" si="18"/>
        <v/>
      </c>
      <c r="AN28" s="758" t="str">
        <f t="shared" si="19"/>
        <v/>
      </c>
      <c r="AO28" s="758" t="str">
        <f t="shared" si="20"/>
        <v/>
      </c>
      <c r="AP28" s="758" t="str">
        <f t="shared" si="173"/>
        <v/>
      </c>
      <c r="AQ28" s="758" t="str">
        <f t="shared" si="174"/>
        <v/>
      </c>
      <c r="AR28" s="758" t="str">
        <f t="shared" si="175"/>
        <v/>
      </c>
      <c r="AS28" s="758" t="str">
        <f t="shared" si="176"/>
        <v/>
      </c>
      <c r="AT28" s="758" t="str">
        <f t="shared" si="177"/>
        <v/>
      </c>
      <c r="AU28" s="758" t="str">
        <f t="shared" si="178"/>
        <v/>
      </c>
      <c r="AV28" s="758" t="str">
        <f t="shared" si="179"/>
        <v/>
      </c>
      <c r="AW28" s="758" t="str">
        <f t="shared" si="180"/>
        <v/>
      </c>
      <c r="AX28" s="758" t="str">
        <f t="shared" si="181"/>
        <v/>
      </c>
      <c r="AY28" s="758" t="str">
        <f t="shared" si="182"/>
        <v/>
      </c>
      <c r="AZ28" s="758" t="str">
        <f t="shared" si="183"/>
        <v/>
      </c>
      <c r="BA28" s="758" t="str">
        <f t="shared" si="184"/>
        <v/>
      </c>
      <c r="BB28" s="758" t="str">
        <f t="shared" si="185"/>
        <v/>
      </c>
      <c r="BC28" s="758" t="str">
        <f t="shared" si="186"/>
        <v/>
      </c>
      <c r="BD28" s="758" t="str">
        <f t="shared" si="187"/>
        <v/>
      </c>
      <c r="BE28" s="758" t="str">
        <f t="shared" si="188"/>
        <v/>
      </c>
      <c r="BF28" s="758" t="str">
        <f t="shared" si="189"/>
        <v/>
      </c>
      <c r="BG28" s="758" t="str">
        <f t="shared" si="190"/>
        <v/>
      </c>
      <c r="BH28" s="758" t="str">
        <f t="shared" si="191"/>
        <v/>
      </c>
      <c r="BI28" s="758" t="str">
        <f t="shared" si="192"/>
        <v/>
      </c>
      <c r="BJ28" s="758" t="str">
        <f t="shared" si="193"/>
        <v/>
      </c>
      <c r="BK28" s="758" t="str">
        <f t="shared" si="194"/>
        <v/>
      </c>
      <c r="BL28" s="758" t="str">
        <f t="shared" si="195"/>
        <v/>
      </c>
      <c r="BM28" s="758" t="str">
        <f t="shared" si="196"/>
        <v/>
      </c>
      <c r="BN28" s="758" t="str">
        <f t="shared" si="197"/>
        <v/>
      </c>
      <c r="BO28" s="758" t="str">
        <f t="shared" si="198"/>
        <v/>
      </c>
      <c r="BP28" s="758" t="str">
        <f t="shared" si="199"/>
        <v/>
      </c>
      <c r="BQ28" s="758" t="str">
        <f t="shared" si="200"/>
        <v/>
      </c>
      <c r="BR28" s="758" t="str">
        <f t="shared" si="201"/>
        <v/>
      </c>
      <c r="BS28" s="758" t="str">
        <f t="shared" si="202"/>
        <v/>
      </c>
      <c r="BT28" s="758" t="str">
        <f t="shared" si="21"/>
        <v/>
      </c>
      <c r="BU28" s="758" t="str">
        <f t="shared" si="22"/>
        <v/>
      </c>
      <c r="BV28" s="758" t="str">
        <f t="shared" si="23"/>
        <v/>
      </c>
      <c r="BW28" s="758" t="str">
        <f t="shared" si="24"/>
        <v/>
      </c>
      <c r="BX28" s="758" t="str">
        <f t="shared" si="25"/>
        <v/>
      </c>
      <c r="BY28" s="758" t="str">
        <f t="shared" si="26"/>
        <v/>
      </c>
      <c r="BZ28" s="758" t="str">
        <f t="shared" si="27"/>
        <v/>
      </c>
      <c r="CA28" s="758" t="str">
        <f t="shared" si="28"/>
        <v/>
      </c>
      <c r="CB28" s="758" t="str">
        <f t="shared" si="29"/>
        <v/>
      </c>
      <c r="CC28" s="758" t="str">
        <f t="shared" si="30"/>
        <v/>
      </c>
      <c r="CD28" s="758" t="str">
        <f t="shared" si="31"/>
        <v/>
      </c>
      <c r="CE28" s="758" t="str">
        <f t="shared" si="32"/>
        <v/>
      </c>
      <c r="CF28" s="758" t="str">
        <f t="shared" si="33"/>
        <v/>
      </c>
      <c r="CG28" s="758" t="str">
        <f t="shared" si="34"/>
        <v/>
      </c>
      <c r="CH28" s="758" t="str">
        <f t="shared" si="35"/>
        <v/>
      </c>
      <c r="CI28" s="758" t="str">
        <f t="shared" si="36"/>
        <v/>
      </c>
      <c r="CJ28" s="758" t="str">
        <f t="shared" si="37"/>
        <v/>
      </c>
      <c r="CK28" s="758" t="str">
        <f t="shared" si="38"/>
        <v/>
      </c>
      <c r="CL28" s="758" t="str">
        <f t="shared" si="39"/>
        <v/>
      </c>
      <c r="CM28" s="758" t="str">
        <f t="shared" si="40"/>
        <v/>
      </c>
      <c r="CN28" s="758" t="str">
        <f t="shared" si="41"/>
        <v/>
      </c>
      <c r="CO28" s="758" t="str">
        <f t="shared" si="42"/>
        <v/>
      </c>
      <c r="CP28" s="758" t="str">
        <f t="shared" si="43"/>
        <v/>
      </c>
      <c r="CQ28" s="758" t="str">
        <f t="shared" si="44"/>
        <v/>
      </c>
      <c r="CR28" s="758" t="str">
        <f t="shared" si="45"/>
        <v/>
      </c>
      <c r="CS28" s="758" t="str">
        <f t="shared" si="46"/>
        <v/>
      </c>
      <c r="CT28" s="758" t="str">
        <f t="shared" si="47"/>
        <v/>
      </c>
      <c r="CU28" s="758" t="str">
        <f t="shared" si="48"/>
        <v/>
      </c>
      <c r="CV28" s="758" t="str">
        <f t="shared" si="49"/>
        <v/>
      </c>
      <c r="CW28" s="758" t="str">
        <f t="shared" si="50"/>
        <v/>
      </c>
      <c r="CX28" s="758" t="str">
        <f t="shared" si="51"/>
        <v/>
      </c>
      <c r="CY28" s="758" t="str">
        <f t="shared" si="52"/>
        <v/>
      </c>
      <c r="CZ28" s="758" t="str">
        <f t="shared" si="53"/>
        <v/>
      </c>
      <c r="DA28" s="758" t="str">
        <f t="shared" si="54"/>
        <v/>
      </c>
      <c r="DB28" s="758" t="str">
        <f t="shared" si="55"/>
        <v/>
      </c>
      <c r="DC28" s="758" t="str">
        <f t="shared" si="56"/>
        <v/>
      </c>
      <c r="DD28" s="758" t="str">
        <f t="shared" si="57"/>
        <v/>
      </c>
      <c r="DE28" s="758" t="str">
        <f t="shared" si="58"/>
        <v/>
      </c>
      <c r="DF28" s="758" t="str">
        <f t="shared" si="59"/>
        <v/>
      </c>
      <c r="DG28" s="758" t="str">
        <f t="shared" si="60"/>
        <v/>
      </c>
      <c r="DH28" s="758" t="str">
        <f t="shared" si="61"/>
        <v/>
      </c>
      <c r="DI28" s="758" t="str">
        <f t="shared" si="62"/>
        <v/>
      </c>
      <c r="DJ28" s="758" t="str">
        <f t="shared" si="63"/>
        <v/>
      </c>
      <c r="DK28" s="758" t="str">
        <f t="shared" si="64"/>
        <v/>
      </c>
      <c r="DL28" s="758" t="str">
        <f t="shared" si="65"/>
        <v/>
      </c>
      <c r="DM28" s="758" t="str">
        <f t="shared" si="66"/>
        <v/>
      </c>
      <c r="DN28" s="758" t="str">
        <f t="shared" si="67"/>
        <v/>
      </c>
      <c r="DO28" s="758" t="str">
        <f t="shared" si="68"/>
        <v/>
      </c>
      <c r="DP28" s="758" t="str">
        <f t="shared" si="69"/>
        <v/>
      </c>
      <c r="DQ28" s="758" t="str">
        <f t="shared" si="70"/>
        <v/>
      </c>
      <c r="DR28" s="758" t="str">
        <f t="shared" si="71"/>
        <v/>
      </c>
      <c r="DS28" s="758" t="str">
        <f t="shared" si="72"/>
        <v/>
      </c>
      <c r="DT28" s="758" t="str">
        <f t="shared" si="73"/>
        <v/>
      </c>
      <c r="DU28" s="758" t="str">
        <f t="shared" si="74"/>
        <v/>
      </c>
      <c r="DV28" s="758" t="str">
        <f t="shared" si="75"/>
        <v/>
      </c>
      <c r="DW28" s="758" t="str">
        <f t="shared" si="76"/>
        <v/>
      </c>
      <c r="DX28" s="758" t="str">
        <f t="shared" si="77"/>
        <v/>
      </c>
      <c r="DY28" s="758" t="str">
        <f t="shared" si="78"/>
        <v/>
      </c>
      <c r="DZ28" s="758" t="str">
        <f t="shared" si="79"/>
        <v/>
      </c>
      <c r="EA28" s="758" t="str">
        <f t="shared" si="80"/>
        <v/>
      </c>
      <c r="EB28" s="758" t="str">
        <f t="shared" si="81"/>
        <v/>
      </c>
      <c r="EC28" s="758" t="str">
        <f t="shared" si="82"/>
        <v/>
      </c>
      <c r="ED28" s="758" t="str">
        <f t="shared" si="83"/>
        <v/>
      </c>
      <c r="EE28" s="758" t="str">
        <f t="shared" si="84"/>
        <v/>
      </c>
      <c r="EF28" s="758" t="str">
        <f t="shared" si="85"/>
        <v/>
      </c>
      <c r="EG28" s="758" t="str">
        <f t="shared" si="86"/>
        <v/>
      </c>
      <c r="EH28" s="758" t="str">
        <f t="shared" si="87"/>
        <v/>
      </c>
      <c r="EI28" s="758" t="str">
        <f t="shared" si="88"/>
        <v/>
      </c>
      <c r="EJ28" s="758" t="str">
        <f t="shared" si="89"/>
        <v/>
      </c>
      <c r="EK28" s="758" t="str">
        <f t="shared" si="90"/>
        <v/>
      </c>
      <c r="EL28" s="758" t="str">
        <f t="shared" si="91"/>
        <v/>
      </c>
      <c r="EM28" s="758" t="str">
        <f t="shared" si="92"/>
        <v/>
      </c>
      <c r="EN28" s="758" t="str">
        <f t="shared" si="93"/>
        <v/>
      </c>
      <c r="EO28" s="758" t="str">
        <f t="shared" si="94"/>
        <v/>
      </c>
      <c r="EP28" s="758" t="str">
        <f t="shared" si="95"/>
        <v/>
      </c>
      <c r="EQ28" s="758" t="str">
        <f t="shared" si="96"/>
        <v/>
      </c>
      <c r="ER28" s="758" t="str">
        <f t="shared" si="97"/>
        <v/>
      </c>
      <c r="ES28" s="758" t="str">
        <f t="shared" si="98"/>
        <v/>
      </c>
      <c r="ET28" s="758" t="str">
        <f t="shared" si="99"/>
        <v/>
      </c>
      <c r="EU28" s="758" t="str">
        <f t="shared" si="100"/>
        <v/>
      </c>
      <c r="EV28" s="778" t="str">
        <f t="shared" si="101"/>
        <v/>
      </c>
      <c r="EW28" s="778" t="str">
        <f t="shared" si="102"/>
        <v/>
      </c>
      <c r="EX28" s="778" t="str">
        <f t="shared" si="103"/>
        <v/>
      </c>
      <c r="EY28" s="778" t="str">
        <f t="shared" si="104"/>
        <v/>
      </c>
      <c r="EZ28" s="778" t="str">
        <f t="shared" si="105"/>
        <v/>
      </c>
      <c r="FA28" s="778" t="str">
        <f t="shared" si="106"/>
        <v/>
      </c>
      <c r="FB28" s="778" t="str">
        <f t="shared" si="107"/>
        <v/>
      </c>
      <c r="FC28" s="778" t="str">
        <f t="shared" si="108"/>
        <v/>
      </c>
      <c r="FD28" s="778" t="str">
        <f t="shared" si="109"/>
        <v/>
      </c>
      <c r="FE28" s="778" t="str">
        <f t="shared" si="110"/>
        <v/>
      </c>
      <c r="FF28" s="778" t="str">
        <f t="shared" si="111"/>
        <v/>
      </c>
      <c r="FG28" s="778" t="str">
        <f t="shared" si="112"/>
        <v/>
      </c>
      <c r="FH28" s="778" t="str">
        <f t="shared" si="113"/>
        <v/>
      </c>
      <c r="FI28" s="778" t="str">
        <f t="shared" si="114"/>
        <v/>
      </c>
      <c r="FJ28" s="778" t="str">
        <f t="shared" si="115"/>
        <v/>
      </c>
      <c r="FK28" s="778" t="str">
        <f t="shared" si="116"/>
        <v/>
      </c>
      <c r="FL28" s="778" t="str">
        <f t="shared" si="117"/>
        <v/>
      </c>
      <c r="FM28" s="778" t="str">
        <f t="shared" si="118"/>
        <v/>
      </c>
      <c r="FN28" s="778" t="str">
        <f t="shared" si="119"/>
        <v/>
      </c>
      <c r="FO28" s="778" t="str">
        <f t="shared" si="120"/>
        <v/>
      </c>
      <c r="FP28" s="778" t="str">
        <f t="shared" si="121"/>
        <v/>
      </c>
      <c r="FQ28" s="778" t="str">
        <f t="shared" si="122"/>
        <v/>
      </c>
      <c r="FR28" s="778" t="str">
        <f t="shared" si="123"/>
        <v/>
      </c>
      <c r="FS28" s="778" t="str">
        <f t="shared" si="124"/>
        <v/>
      </c>
      <c r="FT28" s="778" t="str">
        <f t="shared" si="125"/>
        <v/>
      </c>
      <c r="FU28" s="778" t="str">
        <f t="shared" si="126"/>
        <v/>
      </c>
      <c r="FV28" s="778" t="str">
        <f t="shared" si="127"/>
        <v/>
      </c>
      <c r="FW28" s="778" t="str">
        <f t="shared" si="128"/>
        <v/>
      </c>
      <c r="FX28" s="778" t="str">
        <f t="shared" si="129"/>
        <v/>
      </c>
      <c r="FY28" s="778" t="str">
        <f t="shared" si="130"/>
        <v/>
      </c>
      <c r="FZ28" s="778" t="str">
        <f t="shared" si="131"/>
        <v/>
      </c>
      <c r="GA28" s="778" t="str">
        <f t="shared" si="132"/>
        <v/>
      </c>
      <c r="GB28" s="778" t="str">
        <f t="shared" si="133"/>
        <v/>
      </c>
      <c r="GC28" s="778" t="str">
        <f t="shared" si="134"/>
        <v/>
      </c>
      <c r="GD28" s="778" t="str">
        <f t="shared" si="135"/>
        <v/>
      </c>
      <c r="GE28" s="778" t="str">
        <f t="shared" si="136"/>
        <v/>
      </c>
      <c r="GF28" s="778" t="str">
        <f t="shared" si="137"/>
        <v/>
      </c>
      <c r="GG28" s="778" t="str">
        <f t="shared" si="138"/>
        <v/>
      </c>
      <c r="GH28" s="778" t="str">
        <f t="shared" si="139"/>
        <v/>
      </c>
      <c r="GI28" s="778" t="str">
        <f t="shared" si="140"/>
        <v/>
      </c>
      <c r="GJ28" s="778" t="str">
        <f t="shared" si="141"/>
        <v/>
      </c>
      <c r="GK28" s="778" t="str">
        <f t="shared" si="142"/>
        <v/>
      </c>
      <c r="GL28" s="778" t="str">
        <f t="shared" si="143"/>
        <v/>
      </c>
      <c r="GM28" s="778" t="str">
        <f t="shared" si="144"/>
        <v/>
      </c>
      <c r="GN28" s="778" t="str">
        <f t="shared" si="145"/>
        <v/>
      </c>
      <c r="GO28" s="779" t="str">
        <f t="shared" si="146"/>
        <v/>
      </c>
      <c r="GP28" s="779" t="str">
        <f t="shared" si="147"/>
        <v/>
      </c>
      <c r="GQ28" s="779" t="str">
        <f t="shared" si="148"/>
        <v/>
      </c>
      <c r="GR28" s="779" t="str">
        <f t="shared" si="149"/>
        <v/>
      </c>
      <c r="GS28" s="779" t="str">
        <f t="shared" si="150"/>
        <v/>
      </c>
      <c r="GT28" s="758" t="str">
        <f t="shared" si="151"/>
        <v/>
      </c>
      <c r="GU28" s="758" t="str">
        <f t="shared" si="152"/>
        <v/>
      </c>
      <c r="GV28" s="758" t="str">
        <f t="shared" si="153"/>
        <v/>
      </c>
      <c r="GW28" s="758" t="str">
        <f t="shared" si="154"/>
        <v/>
      </c>
      <c r="GX28" s="758" t="str">
        <f t="shared" si="155"/>
        <v/>
      </c>
      <c r="GY28" s="758" t="str">
        <f t="shared" si="156"/>
        <v/>
      </c>
      <c r="GZ28" s="758" t="str">
        <f t="shared" si="157"/>
        <v/>
      </c>
      <c r="HA28" s="758" t="str">
        <f t="shared" si="158"/>
        <v/>
      </c>
      <c r="HB28" s="758" t="str">
        <f t="shared" si="159"/>
        <v/>
      </c>
      <c r="HC28" s="758" t="str">
        <f t="shared" si="160"/>
        <v/>
      </c>
      <c r="HD28" s="758" t="str">
        <f t="shared" si="161"/>
        <v/>
      </c>
      <c r="HE28" s="758" t="str">
        <f t="shared" si="162"/>
        <v/>
      </c>
      <c r="HF28" s="758" t="str">
        <f t="shared" si="163"/>
        <v/>
      </c>
      <c r="HG28" s="758" t="str">
        <f t="shared" si="164"/>
        <v/>
      </c>
      <c r="HH28" s="758" t="str">
        <f t="shared" si="165"/>
        <v/>
      </c>
      <c r="HI28" s="758" t="str">
        <f t="shared" si="166"/>
        <v/>
      </c>
      <c r="HJ28" s="758" t="str">
        <f t="shared" si="167"/>
        <v/>
      </c>
      <c r="HK28" s="758" t="str">
        <f t="shared" si="168"/>
        <v/>
      </c>
      <c r="HL28" s="758" t="str">
        <f t="shared" si="169"/>
        <v/>
      </c>
      <c r="HM28" s="758" t="str">
        <f t="shared" si="170"/>
        <v/>
      </c>
    </row>
    <row r="29" spans="1:221" ht="13.35" customHeight="1">
      <c r="A29" s="148" t="str">
        <f t="shared" si="171"/>
        <v/>
      </c>
      <c r="B29" s="1515" t="s">
        <v>1533</v>
      </c>
      <c r="C29" s="1516"/>
      <c r="D29" s="1517"/>
      <c r="E29" s="1518"/>
      <c r="F29" s="1518"/>
      <c r="G29" s="1518"/>
      <c r="H29" s="1518"/>
      <c r="I29" s="1518"/>
      <c r="J29" s="1519"/>
      <c r="K29" s="225">
        <f t="shared" ref="K29:K47" si="204">MAX(0,H29-I29)</f>
        <v>0</v>
      </c>
      <c r="L29" s="225">
        <f t="shared" si="0"/>
        <v>0</v>
      </c>
      <c r="M29" s="1520"/>
      <c r="N29" s="1520"/>
      <c r="O29" s="1520"/>
      <c r="P29" s="674" t="str">
        <f t="shared" si="203"/>
        <v/>
      </c>
      <c r="Q29" s="675" t="str">
        <f>IF(H29="","",P29/($P$6*VLOOKUP(C29,'DCA Underwriting Assumptions'!$J$84:$K$89,2,FALSE)))</f>
        <v/>
      </c>
      <c r="R29" s="821"/>
      <c r="S29" s="675"/>
      <c r="T29" s="1455"/>
      <c r="U29" s="1456"/>
      <c r="V29" s="758" t="str">
        <f t="shared" si="1"/>
        <v/>
      </c>
      <c r="W29" s="758" t="str">
        <f t="shared" si="2"/>
        <v/>
      </c>
      <c r="X29" s="758" t="str">
        <f t="shared" si="3"/>
        <v/>
      </c>
      <c r="Y29" s="758" t="str">
        <f t="shared" si="4"/>
        <v/>
      </c>
      <c r="Z29" s="758" t="str">
        <f t="shared" si="5"/>
        <v/>
      </c>
      <c r="AA29" s="758" t="str">
        <f t="shared" si="6"/>
        <v/>
      </c>
      <c r="AB29" s="758" t="str">
        <f t="shared" si="7"/>
        <v/>
      </c>
      <c r="AC29" s="758" t="str">
        <f t="shared" si="8"/>
        <v/>
      </c>
      <c r="AD29" s="758" t="str">
        <f t="shared" si="9"/>
        <v/>
      </c>
      <c r="AE29" s="758" t="str">
        <f t="shared" si="10"/>
        <v/>
      </c>
      <c r="AF29" s="758" t="str">
        <f t="shared" si="11"/>
        <v/>
      </c>
      <c r="AG29" s="758" t="str">
        <f t="shared" si="12"/>
        <v/>
      </c>
      <c r="AH29" s="758" t="str">
        <f t="shared" si="13"/>
        <v/>
      </c>
      <c r="AI29" s="758" t="str">
        <f t="shared" si="14"/>
        <v/>
      </c>
      <c r="AJ29" s="758" t="str">
        <f t="shared" si="15"/>
        <v/>
      </c>
      <c r="AK29" s="758" t="str">
        <f t="shared" si="16"/>
        <v/>
      </c>
      <c r="AL29" s="758" t="str">
        <f t="shared" si="17"/>
        <v/>
      </c>
      <c r="AM29" s="758" t="str">
        <f t="shared" si="18"/>
        <v/>
      </c>
      <c r="AN29" s="758" t="str">
        <f t="shared" si="19"/>
        <v/>
      </c>
      <c r="AO29" s="758" t="str">
        <f t="shared" si="20"/>
        <v/>
      </c>
      <c r="AP29" s="758" t="str">
        <f t="shared" si="173"/>
        <v/>
      </c>
      <c r="AQ29" s="758" t="str">
        <f t="shared" si="174"/>
        <v/>
      </c>
      <c r="AR29" s="758" t="str">
        <f t="shared" si="175"/>
        <v/>
      </c>
      <c r="AS29" s="758" t="str">
        <f t="shared" si="176"/>
        <v/>
      </c>
      <c r="AT29" s="758" t="str">
        <f t="shared" si="177"/>
        <v/>
      </c>
      <c r="AU29" s="758" t="str">
        <f t="shared" si="178"/>
        <v/>
      </c>
      <c r="AV29" s="758" t="str">
        <f t="shared" si="179"/>
        <v/>
      </c>
      <c r="AW29" s="758" t="str">
        <f t="shared" si="180"/>
        <v/>
      </c>
      <c r="AX29" s="758" t="str">
        <f t="shared" si="181"/>
        <v/>
      </c>
      <c r="AY29" s="758" t="str">
        <f t="shared" si="182"/>
        <v/>
      </c>
      <c r="AZ29" s="758" t="str">
        <f t="shared" si="183"/>
        <v/>
      </c>
      <c r="BA29" s="758" t="str">
        <f t="shared" si="184"/>
        <v/>
      </c>
      <c r="BB29" s="758" t="str">
        <f t="shared" si="185"/>
        <v/>
      </c>
      <c r="BC29" s="758" t="str">
        <f t="shared" si="186"/>
        <v/>
      </c>
      <c r="BD29" s="758" t="str">
        <f t="shared" si="187"/>
        <v/>
      </c>
      <c r="BE29" s="758" t="str">
        <f t="shared" si="188"/>
        <v/>
      </c>
      <c r="BF29" s="758" t="str">
        <f t="shared" si="189"/>
        <v/>
      </c>
      <c r="BG29" s="758" t="str">
        <f t="shared" si="190"/>
        <v/>
      </c>
      <c r="BH29" s="758" t="str">
        <f t="shared" si="191"/>
        <v/>
      </c>
      <c r="BI29" s="758" t="str">
        <f t="shared" si="192"/>
        <v/>
      </c>
      <c r="BJ29" s="758" t="str">
        <f t="shared" si="193"/>
        <v/>
      </c>
      <c r="BK29" s="758" t="str">
        <f t="shared" si="194"/>
        <v/>
      </c>
      <c r="BL29" s="758" t="str">
        <f t="shared" si="195"/>
        <v/>
      </c>
      <c r="BM29" s="758" t="str">
        <f t="shared" si="196"/>
        <v/>
      </c>
      <c r="BN29" s="758" t="str">
        <f t="shared" si="197"/>
        <v/>
      </c>
      <c r="BO29" s="758" t="str">
        <f t="shared" si="198"/>
        <v/>
      </c>
      <c r="BP29" s="758" t="str">
        <f t="shared" si="199"/>
        <v/>
      </c>
      <c r="BQ29" s="758" t="str">
        <f t="shared" si="200"/>
        <v/>
      </c>
      <c r="BR29" s="758" t="str">
        <f t="shared" si="201"/>
        <v/>
      </c>
      <c r="BS29" s="758" t="str">
        <f t="shared" si="202"/>
        <v/>
      </c>
      <c r="BT29" s="758" t="str">
        <f t="shared" si="21"/>
        <v/>
      </c>
      <c r="BU29" s="758" t="str">
        <f t="shared" si="22"/>
        <v/>
      </c>
      <c r="BV29" s="758" t="str">
        <f t="shared" si="23"/>
        <v/>
      </c>
      <c r="BW29" s="758" t="str">
        <f t="shared" si="24"/>
        <v/>
      </c>
      <c r="BX29" s="758" t="str">
        <f t="shared" si="25"/>
        <v/>
      </c>
      <c r="BY29" s="758" t="str">
        <f t="shared" si="26"/>
        <v/>
      </c>
      <c r="BZ29" s="758" t="str">
        <f t="shared" si="27"/>
        <v/>
      </c>
      <c r="CA29" s="758" t="str">
        <f t="shared" si="28"/>
        <v/>
      </c>
      <c r="CB29" s="758" t="str">
        <f t="shared" si="29"/>
        <v/>
      </c>
      <c r="CC29" s="758" t="str">
        <f t="shared" si="30"/>
        <v/>
      </c>
      <c r="CD29" s="758" t="str">
        <f t="shared" si="31"/>
        <v/>
      </c>
      <c r="CE29" s="758" t="str">
        <f t="shared" si="32"/>
        <v/>
      </c>
      <c r="CF29" s="758" t="str">
        <f t="shared" si="33"/>
        <v/>
      </c>
      <c r="CG29" s="758" t="str">
        <f t="shared" si="34"/>
        <v/>
      </c>
      <c r="CH29" s="758" t="str">
        <f t="shared" si="35"/>
        <v/>
      </c>
      <c r="CI29" s="758" t="str">
        <f t="shared" si="36"/>
        <v/>
      </c>
      <c r="CJ29" s="758" t="str">
        <f t="shared" si="37"/>
        <v/>
      </c>
      <c r="CK29" s="758" t="str">
        <f t="shared" si="38"/>
        <v/>
      </c>
      <c r="CL29" s="758" t="str">
        <f t="shared" si="39"/>
        <v/>
      </c>
      <c r="CM29" s="758" t="str">
        <f t="shared" si="40"/>
        <v/>
      </c>
      <c r="CN29" s="758" t="str">
        <f t="shared" si="41"/>
        <v/>
      </c>
      <c r="CO29" s="758" t="str">
        <f t="shared" si="42"/>
        <v/>
      </c>
      <c r="CP29" s="758" t="str">
        <f t="shared" si="43"/>
        <v/>
      </c>
      <c r="CQ29" s="758" t="str">
        <f t="shared" si="44"/>
        <v/>
      </c>
      <c r="CR29" s="758" t="str">
        <f t="shared" si="45"/>
        <v/>
      </c>
      <c r="CS29" s="758" t="str">
        <f t="shared" si="46"/>
        <v/>
      </c>
      <c r="CT29" s="758" t="str">
        <f t="shared" si="47"/>
        <v/>
      </c>
      <c r="CU29" s="758" t="str">
        <f t="shared" si="48"/>
        <v/>
      </c>
      <c r="CV29" s="758" t="str">
        <f t="shared" si="49"/>
        <v/>
      </c>
      <c r="CW29" s="758" t="str">
        <f t="shared" si="50"/>
        <v/>
      </c>
      <c r="CX29" s="758" t="str">
        <f t="shared" si="51"/>
        <v/>
      </c>
      <c r="CY29" s="758" t="str">
        <f t="shared" si="52"/>
        <v/>
      </c>
      <c r="CZ29" s="758" t="str">
        <f t="shared" si="53"/>
        <v/>
      </c>
      <c r="DA29" s="758" t="str">
        <f t="shared" si="54"/>
        <v/>
      </c>
      <c r="DB29" s="758" t="str">
        <f t="shared" si="55"/>
        <v/>
      </c>
      <c r="DC29" s="758" t="str">
        <f t="shared" si="56"/>
        <v/>
      </c>
      <c r="DD29" s="758" t="str">
        <f t="shared" si="57"/>
        <v/>
      </c>
      <c r="DE29" s="758" t="str">
        <f t="shared" si="58"/>
        <v/>
      </c>
      <c r="DF29" s="758" t="str">
        <f t="shared" si="59"/>
        <v/>
      </c>
      <c r="DG29" s="758" t="str">
        <f t="shared" si="60"/>
        <v/>
      </c>
      <c r="DH29" s="758" t="str">
        <f t="shared" si="61"/>
        <v/>
      </c>
      <c r="DI29" s="758" t="str">
        <f t="shared" si="62"/>
        <v/>
      </c>
      <c r="DJ29" s="758" t="str">
        <f t="shared" si="63"/>
        <v/>
      </c>
      <c r="DK29" s="758" t="str">
        <f t="shared" si="64"/>
        <v/>
      </c>
      <c r="DL29" s="758" t="str">
        <f t="shared" si="65"/>
        <v/>
      </c>
      <c r="DM29" s="758" t="str">
        <f t="shared" si="66"/>
        <v/>
      </c>
      <c r="DN29" s="758" t="str">
        <f t="shared" si="67"/>
        <v/>
      </c>
      <c r="DO29" s="758" t="str">
        <f t="shared" si="68"/>
        <v/>
      </c>
      <c r="DP29" s="758" t="str">
        <f t="shared" si="69"/>
        <v/>
      </c>
      <c r="DQ29" s="758" t="str">
        <f t="shared" si="70"/>
        <v/>
      </c>
      <c r="DR29" s="758" t="str">
        <f t="shared" si="71"/>
        <v/>
      </c>
      <c r="DS29" s="758" t="str">
        <f t="shared" si="72"/>
        <v/>
      </c>
      <c r="DT29" s="758" t="str">
        <f t="shared" si="73"/>
        <v/>
      </c>
      <c r="DU29" s="758" t="str">
        <f t="shared" si="74"/>
        <v/>
      </c>
      <c r="DV29" s="758" t="str">
        <f t="shared" si="75"/>
        <v/>
      </c>
      <c r="DW29" s="758" t="str">
        <f t="shared" si="76"/>
        <v/>
      </c>
      <c r="DX29" s="758" t="str">
        <f t="shared" si="77"/>
        <v/>
      </c>
      <c r="DY29" s="758" t="str">
        <f t="shared" si="78"/>
        <v/>
      </c>
      <c r="DZ29" s="758" t="str">
        <f t="shared" si="79"/>
        <v/>
      </c>
      <c r="EA29" s="758" t="str">
        <f t="shared" si="80"/>
        <v/>
      </c>
      <c r="EB29" s="758" t="str">
        <f t="shared" si="81"/>
        <v/>
      </c>
      <c r="EC29" s="758" t="str">
        <f t="shared" si="82"/>
        <v/>
      </c>
      <c r="ED29" s="758" t="str">
        <f t="shared" si="83"/>
        <v/>
      </c>
      <c r="EE29" s="758" t="str">
        <f t="shared" si="84"/>
        <v/>
      </c>
      <c r="EF29" s="758" t="str">
        <f t="shared" si="85"/>
        <v/>
      </c>
      <c r="EG29" s="758" t="str">
        <f t="shared" si="86"/>
        <v/>
      </c>
      <c r="EH29" s="758" t="str">
        <f t="shared" si="87"/>
        <v/>
      </c>
      <c r="EI29" s="758" t="str">
        <f t="shared" si="88"/>
        <v/>
      </c>
      <c r="EJ29" s="758" t="str">
        <f t="shared" si="89"/>
        <v/>
      </c>
      <c r="EK29" s="758" t="str">
        <f t="shared" si="90"/>
        <v/>
      </c>
      <c r="EL29" s="758" t="str">
        <f t="shared" si="91"/>
        <v/>
      </c>
      <c r="EM29" s="758" t="str">
        <f t="shared" si="92"/>
        <v/>
      </c>
      <c r="EN29" s="758" t="str">
        <f t="shared" si="93"/>
        <v/>
      </c>
      <c r="EO29" s="758" t="str">
        <f t="shared" si="94"/>
        <v/>
      </c>
      <c r="EP29" s="758" t="str">
        <f t="shared" si="95"/>
        <v/>
      </c>
      <c r="EQ29" s="758" t="str">
        <f t="shared" si="96"/>
        <v/>
      </c>
      <c r="ER29" s="758" t="str">
        <f t="shared" si="97"/>
        <v/>
      </c>
      <c r="ES29" s="758" t="str">
        <f t="shared" si="98"/>
        <v/>
      </c>
      <c r="ET29" s="758" t="str">
        <f t="shared" si="99"/>
        <v/>
      </c>
      <c r="EU29" s="758" t="str">
        <f t="shared" si="100"/>
        <v/>
      </c>
      <c r="EV29" s="778" t="str">
        <f t="shared" si="101"/>
        <v/>
      </c>
      <c r="EW29" s="778" t="str">
        <f t="shared" si="102"/>
        <v/>
      </c>
      <c r="EX29" s="778" t="str">
        <f t="shared" si="103"/>
        <v/>
      </c>
      <c r="EY29" s="778" t="str">
        <f t="shared" si="104"/>
        <v/>
      </c>
      <c r="EZ29" s="778" t="str">
        <f t="shared" si="105"/>
        <v/>
      </c>
      <c r="FA29" s="778" t="str">
        <f t="shared" si="106"/>
        <v/>
      </c>
      <c r="FB29" s="778" t="str">
        <f t="shared" si="107"/>
        <v/>
      </c>
      <c r="FC29" s="778" t="str">
        <f t="shared" si="108"/>
        <v/>
      </c>
      <c r="FD29" s="778" t="str">
        <f t="shared" si="109"/>
        <v/>
      </c>
      <c r="FE29" s="778" t="str">
        <f t="shared" si="110"/>
        <v/>
      </c>
      <c r="FF29" s="778" t="str">
        <f t="shared" si="111"/>
        <v/>
      </c>
      <c r="FG29" s="778" t="str">
        <f t="shared" si="112"/>
        <v/>
      </c>
      <c r="FH29" s="778" t="str">
        <f t="shared" si="113"/>
        <v/>
      </c>
      <c r="FI29" s="778" t="str">
        <f t="shared" si="114"/>
        <v/>
      </c>
      <c r="FJ29" s="778" t="str">
        <f t="shared" si="115"/>
        <v/>
      </c>
      <c r="FK29" s="778" t="str">
        <f t="shared" si="116"/>
        <v/>
      </c>
      <c r="FL29" s="778" t="str">
        <f t="shared" si="117"/>
        <v/>
      </c>
      <c r="FM29" s="778" t="str">
        <f t="shared" si="118"/>
        <v/>
      </c>
      <c r="FN29" s="778" t="str">
        <f t="shared" si="119"/>
        <v/>
      </c>
      <c r="FO29" s="778" t="str">
        <f t="shared" si="120"/>
        <v/>
      </c>
      <c r="FP29" s="778" t="str">
        <f t="shared" si="121"/>
        <v/>
      </c>
      <c r="FQ29" s="778" t="str">
        <f t="shared" si="122"/>
        <v/>
      </c>
      <c r="FR29" s="778" t="str">
        <f t="shared" si="123"/>
        <v/>
      </c>
      <c r="FS29" s="778" t="str">
        <f t="shared" si="124"/>
        <v/>
      </c>
      <c r="FT29" s="778" t="str">
        <f t="shared" si="125"/>
        <v/>
      </c>
      <c r="FU29" s="778" t="str">
        <f t="shared" si="126"/>
        <v/>
      </c>
      <c r="FV29" s="778" t="str">
        <f t="shared" si="127"/>
        <v/>
      </c>
      <c r="FW29" s="778" t="str">
        <f t="shared" si="128"/>
        <v/>
      </c>
      <c r="FX29" s="778" t="str">
        <f t="shared" si="129"/>
        <v/>
      </c>
      <c r="FY29" s="778" t="str">
        <f t="shared" si="130"/>
        <v/>
      </c>
      <c r="FZ29" s="778" t="str">
        <f t="shared" si="131"/>
        <v/>
      </c>
      <c r="GA29" s="778" t="str">
        <f t="shared" si="132"/>
        <v/>
      </c>
      <c r="GB29" s="778" t="str">
        <f t="shared" si="133"/>
        <v/>
      </c>
      <c r="GC29" s="778" t="str">
        <f t="shared" si="134"/>
        <v/>
      </c>
      <c r="GD29" s="778" t="str">
        <f t="shared" si="135"/>
        <v/>
      </c>
      <c r="GE29" s="778" t="str">
        <f t="shared" si="136"/>
        <v/>
      </c>
      <c r="GF29" s="778" t="str">
        <f t="shared" si="137"/>
        <v/>
      </c>
      <c r="GG29" s="778" t="str">
        <f t="shared" si="138"/>
        <v/>
      </c>
      <c r="GH29" s="778" t="str">
        <f t="shared" si="139"/>
        <v/>
      </c>
      <c r="GI29" s="778" t="str">
        <f t="shared" si="140"/>
        <v/>
      </c>
      <c r="GJ29" s="778" t="str">
        <f t="shared" si="141"/>
        <v/>
      </c>
      <c r="GK29" s="778" t="str">
        <f t="shared" si="142"/>
        <v/>
      </c>
      <c r="GL29" s="778" t="str">
        <f t="shared" si="143"/>
        <v/>
      </c>
      <c r="GM29" s="778" t="str">
        <f t="shared" si="144"/>
        <v/>
      </c>
      <c r="GN29" s="778" t="str">
        <f t="shared" si="145"/>
        <v/>
      </c>
      <c r="GO29" s="779" t="str">
        <f t="shared" si="146"/>
        <v/>
      </c>
      <c r="GP29" s="779" t="str">
        <f t="shared" si="147"/>
        <v/>
      </c>
      <c r="GQ29" s="779" t="str">
        <f t="shared" si="148"/>
        <v/>
      </c>
      <c r="GR29" s="779" t="str">
        <f t="shared" si="149"/>
        <v/>
      </c>
      <c r="GS29" s="779" t="str">
        <f t="shared" si="150"/>
        <v/>
      </c>
      <c r="GT29" s="758" t="str">
        <f t="shared" si="151"/>
        <v/>
      </c>
      <c r="GU29" s="758" t="str">
        <f t="shared" si="152"/>
        <v/>
      </c>
      <c r="GV29" s="758" t="str">
        <f t="shared" si="153"/>
        <v/>
      </c>
      <c r="GW29" s="758" t="str">
        <f t="shared" si="154"/>
        <v/>
      </c>
      <c r="GX29" s="758" t="str">
        <f t="shared" si="155"/>
        <v/>
      </c>
      <c r="GY29" s="758" t="str">
        <f t="shared" si="156"/>
        <v/>
      </c>
      <c r="GZ29" s="758" t="str">
        <f t="shared" si="157"/>
        <v/>
      </c>
      <c r="HA29" s="758" t="str">
        <f t="shared" si="158"/>
        <v/>
      </c>
      <c r="HB29" s="758" t="str">
        <f t="shared" si="159"/>
        <v/>
      </c>
      <c r="HC29" s="758" t="str">
        <f t="shared" si="160"/>
        <v/>
      </c>
      <c r="HD29" s="758" t="str">
        <f t="shared" si="161"/>
        <v/>
      </c>
      <c r="HE29" s="758" t="str">
        <f t="shared" si="162"/>
        <v/>
      </c>
      <c r="HF29" s="758" t="str">
        <f t="shared" si="163"/>
        <v/>
      </c>
      <c r="HG29" s="758" t="str">
        <f t="shared" si="164"/>
        <v/>
      </c>
      <c r="HH29" s="758" t="str">
        <f t="shared" si="165"/>
        <v/>
      </c>
      <c r="HI29" s="758" t="str">
        <f t="shared" si="166"/>
        <v/>
      </c>
      <c r="HJ29" s="758" t="str">
        <f t="shared" si="167"/>
        <v/>
      </c>
      <c r="HK29" s="758" t="str">
        <f t="shared" si="168"/>
        <v/>
      </c>
      <c r="HL29" s="758" t="str">
        <f t="shared" si="169"/>
        <v/>
      </c>
      <c r="HM29" s="758" t="str">
        <f t="shared" si="170"/>
        <v/>
      </c>
    </row>
    <row r="30" spans="1:221" ht="13.35" customHeight="1">
      <c r="A30" s="148" t="str">
        <f t="shared" si="171"/>
        <v/>
      </c>
      <c r="B30" s="1515" t="s">
        <v>1533</v>
      </c>
      <c r="C30" s="1516"/>
      <c r="D30" s="1517"/>
      <c r="E30" s="1518"/>
      <c r="F30" s="1518"/>
      <c r="G30" s="1518"/>
      <c r="H30" s="1518"/>
      <c r="I30" s="1518"/>
      <c r="J30" s="1519"/>
      <c r="K30" s="225">
        <f t="shared" si="204"/>
        <v>0</v>
      </c>
      <c r="L30" s="225">
        <f t="shared" si="0"/>
        <v>0</v>
      </c>
      <c r="M30" s="1520"/>
      <c r="N30" s="1520"/>
      <c r="O30" s="1520"/>
      <c r="P30" s="674" t="str">
        <f t="shared" si="203"/>
        <v/>
      </c>
      <c r="Q30" s="675" t="str">
        <f>IF(H30="","",P30/($P$6*VLOOKUP(C30,'DCA Underwriting Assumptions'!$J$84:$K$89,2,FALSE)))</f>
        <v/>
      </c>
      <c r="R30" s="821"/>
      <c r="S30" s="675"/>
      <c r="T30" s="1455"/>
      <c r="U30" s="1456"/>
      <c r="V30" s="758" t="str">
        <f t="shared" si="1"/>
        <v/>
      </c>
      <c r="W30" s="758" t="str">
        <f t="shared" si="2"/>
        <v/>
      </c>
      <c r="X30" s="758" t="str">
        <f t="shared" si="3"/>
        <v/>
      </c>
      <c r="Y30" s="758" t="str">
        <f t="shared" si="4"/>
        <v/>
      </c>
      <c r="Z30" s="758" t="str">
        <f t="shared" si="5"/>
        <v/>
      </c>
      <c r="AA30" s="758" t="str">
        <f t="shared" si="6"/>
        <v/>
      </c>
      <c r="AB30" s="758" t="str">
        <f t="shared" si="7"/>
        <v/>
      </c>
      <c r="AC30" s="758" t="str">
        <f t="shared" si="8"/>
        <v/>
      </c>
      <c r="AD30" s="758" t="str">
        <f t="shared" si="9"/>
        <v/>
      </c>
      <c r="AE30" s="758" t="str">
        <f t="shared" si="10"/>
        <v/>
      </c>
      <c r="AF30" s="758" t="str">
        <f t="shared" si="11"/>
        <v/>
      </c>
      <c r="AG30" s="758" t="str">
        <f t="shared" si="12"/>
        <v/>
      </c>
      <c r="AH30" s="758" t="str">
        <f t="shared" si="13"/>
        <v/>
      </c>
      <c r="AI30" s="758" t="str">
        <f t="shared" si="14"/>
        <v/>
      </c>
      <c r="AJ30" s="758" t="str">
        <f t="shared" si="15"/>
        <v/>
      </c>
      <c r="AK30" s="758" t="str">
        <f t="shared" si="16"/>
        <v/>
      </c>
      <c r="AL30" s="758" t="str">
        <f t="shared" si="17"/>
        <v/>
      </c>
      <c r="AM30" s="758" t="str">
        <f t="shared" si="18"/>
        <v/>
      </c>
      <c r="AN30" s="758" t="str">
        <f t="shared" si="19"/>
        <v/>
      </c>
      <c r="AO30" s="758" t="str">
        <f t="shared" si="20"/>
        <v/>
      </c>
      <c r="AP30" s="758" t="str">
        <f t="shared" si="173"/>
        <v/>
      </c>
      <c r="AQ30" s="758" t="str">
        <f t="shared" si="174"/>
        <v/>
      </c>
      <c r="AR30" s="758" t="str">
        <f t="shared" si="175"/>
        <v/>
      </c>
      <c r="AS30" s="758" t="str">
        <f t="shared" si="176"/>
        <v/>
      </c>
      <c r="AT30" s="758" t="str">
        <f t="shared" si="177"/>
        <v/>
      </c>
      <c r="AU30" s="758" t="str">
        <f t="shared" si="178"/>
        <v/>
      </c>
      <c r="AV30" s="758" t="str">
        <f t="shared" si="179"/>
        <v/>
      </c>
      <c r="AW30" s="758" t="str">
        <f t="shared" si="180"/>
        <v/>
      </c>
      <c r="AX30" s="758" t="str">
        <f t="shared" si="181"/>
        <v/>
      </c>
      <c r="AY30" s="758" t="str">
        <f t="shared" si="182"/>
        <v/>
      </c>
      <c r="AZ30" s="758" t="str">
        <f t="shared" si="183"/>
        <v/>
      </c>
      <c r="BA30" s="758" t="str">
        <f t="shared" si="184"/>
        <v/>
      </c>
      <c r="BB30" s="758" t="str">
        <f t="shared" si="185"/>
        <v/>
      </c>
      <c r="BC30" s="758" t="str">
        <f t="shared" si="186"/>
        <v/>
      </c>
      <c r="BD30" s="758" t="str">
        <f t="shared" si="187"/>
        <v/>
      </c>
      <c r="BE30" s="758" t="str">
        <f t="shared" si="188"/>
        <v/>
      </c>
      <c r="BF30" s="758" t="str">
        <f t="shared" si="189"/>
        <v/>
      </c>
      <c r="BG30" s="758" t="str">
        <f t="shared" si="190"/>
        <v/>
      </c>
      <c r="BH30" s="758" t="str">
        <f t="shared" si="191"/>
        <v/>
      </c>
      <c r="BI30" s="758" t="str">
        <f t="shared" si="192"/>
        <v/>
      </c>
      <c r="BJ30" s="758" t="str">
        <f t="shared" si="193"/>
        <v/>
      </c>
      <c r="BK30" s="758" t="str">
        <f t="shared" si="194"/>
        <v/>
      </c>
      <c r="BL30" s="758" t="str">
        <f t="shared" si="195"/>
        <v/>
      </c>
      <c r="BM30" s="758" t="str">
        <f t="shared" si="196"/>
        <v/>
      </c>
      <c r="BN30" s="758" t="str">
        <f t="shared" si="197"/>
        <v/>
      </c>
      <c r="BO30" s="758" t="str">
        <f t="shared" si="198"/>
        <v/>
      </c>
      <c r="BP30" s="758" t="str">
        <f t="shared" si="199"/>
        <v/>
      </c>
      <c r="BQ30" s="758" t="str">
        <f t="shared" si="200"/>
        <v/>
      </c>
      <c r="BR30" s="758" t="str">
        <f t="shared" si="201"/>
        <v/>
      </c>
      <c r="BS30" s="758" t="str">
        <f t="shared" si="202"/>
        <v/>
      </c>
      <c r="BT30" s="758" t="str">
        <f t="shared" si="21"/>
        <v/>
      </c>
      <c r="BU30" s="758" t="str">
        <f t="shared" si="22"/>
        <v/>
      </c>
      <c r="BV30" s="758" t="str">
        <f t="shared" si="23"/>
        <v/>
      </c>
      <c r="BW30" s="758" t="str">
        <f t="shared" si="24"/>
        <v/>
      </c>
      <c r="BX30" s="758" t="str">
        <f t="shared" si="25"/>
        <v/>
      </c>
      <c r="BY30" s="758" t="str">
        <f t="shared" si="26"/>
        <v/>
      </c>
      <c r="BZ30" s="758" t="str">
        <f t="shared" si="27"/>
        <v/>
      </c>
      <c r="CA30" s="758" t="str">
        <f t="shared" si="28"/>
        <v/>
      </c>
      <c r="CB30" s="758" t="str">
        <f t="shared" si="29"/>
        <v/>
      </c>
      <c r="CC30" s="758" t="str">
        <f t="shared" si="30"/>
        <v/>
      </c>
      <c r="CD30" s="758" t="str">
        <f t="shared" si="31"/>
        <v/>
      </c>
      <c r="CE30" s="758" t="str">
        <f t="shared" si="32"/>
        <v/>
      </c>
      <c r="CF30" s="758" t="str">
        <f t="shared" si="33"/>
        <v/>
      </c>
      <c r="CG30" s="758" t="str">
        <f t="shared" si="34"/>
        <v/>
      </c>
      <c r="CH30" s="758" t="str">
        <f t="shared" si="35"/>
        <v/>
      </c>
      <c r="CI30" s="758" t="str">
        <f t="shared" si="36"/>
        <v/>
      </c>
      <c r="CJ30" s="758" t="str">
        <f t="shared" si="37"/>
        <v/>
      </c>
      <c r="CK30" s="758" t="str">
        <f t="shared" si="38"/>
        <v/>
      </c>
      <c r="CL30" s="758" t="str">
        <f t="shared" si="39"/>
        <v/>
      </c>
      <c r="CM30" s="758" t="str">
        <f t="shared" si="40"/>
        <v/>
      </c>
      <c r="CN30" s="758" t="str">
        <f t="shared" si="41"/>
        <v/>
      </c>
      <c r="CO30" s="758" t="str">
        <f t="shared" si="42"/>
        <v/>
      </c>
      <c r="CP30" s="758" t="str">
        <f t="shared" si="43"/>
        <v/>
      </c>
      <c r="CQ30" s="758" t="str">
        <f t="shared" si="44"/>
        <v/>
      </c>
      <c r="CR30" s="758" t="str">
        <f t="shared" si="45"/>
        <v/>
      </c>
      <c r="CS30" s="758" t="str">
        <f t="shared" si="46"/>
        <v/>
      </c>
      <c r="CT30" s="758" t="str">
        <f t="shared" si="47"/>
        <v/>
      </c>
      <c r="CU30" s="758" t="str">
        <f t="shared" si="48"/>
        <v/>
      </c>
      <c r="CV30" s="758" t="str">
        <f t="shared" si="49"/>
        <v/>
      </c>
      <c r="CW30" s="758" t="str">
        <f t="shared" si="50"/>
        <v/>
      </c>
      <c r="CX30" s="758" t="str">
        <f t="shared" si="51"/>
        <v/>
      </c>
      <c r="CY30" s="758" t="str">
        <f t="shared" si="52"/>
        <v/>
      </c>
      <c r="CZ30" s="758" t="str">
        <f t="shared" si="53"/>
        <v/>
      </c>
      <c r="DA30" s="758" t="str">
        <f t="shared" si="54"/>
        <v/>
      </c>
      <c r="DB30" s="758" t="str">
        <f t="shared" si="55"/>
        <v/>
      </c>
      <c r="DC30" s="758" t="str">
        <f t="shared" si="56"/>
        <v/>
      </c>
      <c r="DD30" s="758" t="str">
        <f t="shared" si="57"/>
        <v/>
      </c>
      <c r="DE30" s="758" t="str">
        <f t="shared" si="58"/>
        <v/>
      </c>
      <c r="DF30" s="758" t="str">
        <f t="shared" si="59"/>
        <v/>
      </c>
      <c r="DG30" s="758" t="str">
        <f t="shared" si="60"/>
        <v/>
      </c>
      <c r="DH30" s="758" t="str">
        <f t="shared" si="61"/>
        <v/>
      </c>
      <c r="DI30" s="758" t="str">
        <f t="shared" si="62"/>
        <v/>
      </c>
      <c r="DJ30" s="758" t="str">
        <f t="shared" si="63"/>
        <v/>
      </c>
      <c r="DK30" s="758" t="str">
        <f t="shared" si="64"/>
        <v/>
      </c>
      <c r="DL30" s="758" t="str">
        <f t="shared" si="65"/>
        <v/>
      </c>
      <c r="DM30" s="758" t="str">
        <f t="shared" si="66"/>
        <v/>
      </c>
      <c r="DN30" s="758" t="str">
        <f t="shared" si="67"/>
        <v/>
      </c>
      <c r="DO30" s="758" t="str">
        <f t="shared" si="68"/>
        <v/>
      </c>
      <c r="DP30" s="758" t="str">
        <f t="shared" si="69"/>
        <v/>
      </c>
      <c r="DQ30" s="758" t="str">
        <f t="shared" si="70"/>
        <v/>
      </c>
      <c r="DR30" s="758" t="str">
        <f t="shared" si="71"/>
        <v/>
      </c>
      <c r="DS30" s="758" t="str">
        <f t="shared" si="72"/>
        <v/>
      </c>
      <c r="DT30" s="758" t="str">
        <f t="shared" si="73"/>
        <v/>
      </c>
      <c r="DU30" s="758" t="str">
        <f t="shared" si="74"/>
        <v/>
      </c>
      <c r="DV30" s="758" t="str">
        <f t="shared" si="75"/>
        <v/>
      </c>
      <c r="DW30" s="758" t="str">
        <f t="shared" si="76"/>
        <v/>
      </c>
      <c r="DX30" s="758" t="str">
        <f t="shared" si="77"/>
        <v/>
      </c>
      <c r="DY30" s="758" t="str">
        <f t="shared" si="78"/>
        <v/>
      </c>
      <c r="DZ30" s="758" t="str">
        <f t="shared" si="79"/>
        <v/>
      </c>
      <c r="EA30" s="758" t="str">
        <f t="shared" si="80"/>
        <v/>
      </c>
      <c r="EB30" s="758" t="str">
        <f t="shared" si="81"/>
        <v/>
      </c>
      <c r="EC30" s="758" t="str">
        <f t="shared" si="82"/>
        <v/>
      </c>
      <c r="ED30" s="758" t="str">
        <f t="shared" si="83"/>
        <v/>
      </c>
      <c r="EE30" s="758" t="str">
        <f t="shared" si="84"/>
        <v/>
      </c>
      <c r="EF30" s="758" t="str">
        <f t="shared" si="85"/>
        <v/>
      </c>
      <c r="EG30" s="758" t="str">
        <f t="shared" si="86"/>
        <v/>
      </c>
      <c r="EH30" s="758" t="str">
        <f t="shared" si="87"/>
        <v/>
      </c>
      <c r="EI30" s="758" t="str">
        <f t="shared" si="88"/>
        <v/>
      </c>
      <c r="EJ30" s="758" t="str">
        <f t="shared" si="89"/>
        <v/>
      </c>
      <c r="EK30" s="758" t="str">
        <f t="shared" si="90"/>
        <v/>
      </c>
      <c r="EL30" s="758" t="str">
        <f t="shared" si="91"/>
        <v/>
      </c>
      <c r="EM30" s="758" t="str">
        <f t="shared" si="92"/>
        <v/>
      </c>
      <c r="EN30" s="758" t="str">
        <f t="shared" si="93"/>
        <v/>
      </c>
      <c r="EO30" s="758" t="str">
        <f t="shared" si="94"/>
        <v/>
      </c>
      <c r="EP30" s="758" t="str">
        <f t="shared" si="95"/>
        <v/>
      </c>
      <c r="EQ30" s="758" t="str">
        <f t="shared" si="96"/>
        <v/>
      </c>
      <c r="ER30" s="758" t="str">
        <f t="shared" si="97"/>
        <v/>
      </c>
      <c r="ES30" s="758" t="str">
        <f t="shared" si="98"/>
        <v/>
      </c>
      <c r="ET30" s="758" t="str">
        <f t="shared" si="99"/>
        <v/>
      </c>
      <c r="EU30" s="758" t="str">
        <f t="shared" si="100"/>
        <v/>
      </c>
      <c r="EV30" s="778" t="str">
        <f t="shared" si="101"/>
        <v/>
      </c>
      <c r="EW30" s="778" t="str">
        <f t="shared" si="102"/>
        <v/>
      </c>
      <c r="EX30" s="778" t="str">
        <f t="shared" si="103"/>
        <v/>
      </c>
      <c r="EY30" s="778" t="str">
        <f t="shared" si="104"/>
        <v/>
      </c>
      <c r="EZ30" s="778" t="str">
        <f t="shared" si="105"/>
        <v/>
      </c>
      <c r="FA30" s="778" t="str">
        <f t="shared" si="106"/>
        <v/>
      </c>
      <c r="FB30" s="778" t="str">
        <f t="shared" si="107"/>
        <v/>
      </c>
      <c r="FC30" s="778" t="str">
        <f t="shared" si="108"/>
        <v/>
      </c>
      <c r="FD30" s="778" t="str">
        <f t="shared" si="109"/>
        <v/>
      </c>
      <c r="FE30" s="778" t="str">
        <f t="shared" si="110"/>
        <v/>
      </c>
      <c r="FF30" s="778" t="str">
        <f t="shared" si="111"/>
        <v/>
      </c>
      <c r="FG30" s="778" t="str">
        <f t="shared" si="112"/>
        <v/>
      </c>
      <c r="FH30" s="778" t="str">
        <f t="shared" si="113"/>
        <v/>
      </c>
      <c r="FI30" s="778" t="str">
        <f t="shared" si="114"/>
        <v/>
      </c>
      <c r="FJ30" s="778" t="str">
        <f t="shared" si="115"/>
        <v/>
      </c>
      <c r="FK30" s="778" t="str">
        <f t="shared" si="116"/>
        <v/>
      </c>
      <c r="FL30" s="778" t="str">
        <f t="shared" si="117"/>
        <v/>
      </c>
      <c r="FM30" s="778" t="str">
        <f t="shared" si="118"/>
        <v/>
      </c>
      <c r="FN30" s="778" t="str">
        <f t="shared" si="119"/>
        <v/>
      </c>
      <c r="FO30" s="778" t="str">
        <f t="shared" si="120"/>
        <v/>
      </c>
      <c r="FP30" s="778" t="str">
        <f t="shared" si="121"/>
        <v/>
      </c>
      <c r="FQ30" s="778" t="str">
        <f t="shared" si="122"/>
        <v/>
      </c>
      <c r="FR30" s="778" t="str">
        <f t="shared" si="123"/>
        <v/>
      </c>
      <c r="FS30" s="778" t="str">
        <f t="shared" si="124"/>
        <v/>
      </c>
      <c r="FT30" s="778" t="str">
        <f t="shared" si="125"/>
        <v/>
      </c>
      <c r="FU30" s="778" t="str">
        <f t="shared" si="126"/>
        <v/>
      </c>
      <c r="FV30" s="778" t="str">
        <f t="shared" si="127"/>
        <v/>
      </c>
      <c r="FW30" s="778" t="str">
        <f t="shared" si="128"/>
        <v/>
      </c>
      <c r="FX30" s="778" t="str">
        <f t="shared" si="129"/>
        <v/>
      </c>
      <c r="FY30" s="778" t="str">
        <f t="shared" si="130"/>
        <v/>
      </c>
      <c r="FZ30" s="778" t="str">
        <f t="shared" si="131"/>
        <v/>
      </c>
      <c r="GA30" s="778" t="str">
        <f t="shared" si="132"/>
        <v/>
      </c>
      <c r="GB30" s="778" t="str">
        <f t="shared" si="133"/>
        <v/>
      </c>
      <c r="GC30" s="778" t="str">
        <f t="shared" si="134"/>
        <v/>
      </c>
      <c r="GD30" s="778" t="str">
        <f t="shared" si="135"/>
        <v/>
      </c>
      <c r="GE30" s="778" t="str">
        <f t="shared" si="136"/>
        <v/>
      </c>
      <c r="GF30" s="778" t="str">
        <f t="shared" si="137"/>
        <v/>
      </c>
      <c r="GG30" s="778" t="str">
        <f t="shared" si="138"/>
        <v/>
      </c>
      <c r="GH30" s="778" t="str">
        <f t="shared" si="139"/>
        <v/>
      </c>
      <c r="GI30" s="778" t="str">
        <f t="shared" si="140"/>
        <v/>
      </c>
      <c r="GJ30" s="778" t="str">
        <f t="shared" si="141"/>
        <v/>
      </c>
      <c r="GK30" s="778" t="str">
        <f t="shared" si="142"/>
        <v/>
      </c>
      <c r="GL30" s="778" t="str">
        <f t="shared" si="143"/>
        <v/>
      </c>
      <c r="GM30" s="778" t="str">
        <f t="shared" si="144"/>
        <v/>
      </c>
      <c r="GN30" s="778" t="str">
        <f t="shared" si="145"/>
        <v/>
      </c>
      <c r="GO30" s="779" t="str">
        <f t="shared" si="146"/>
        <v/>
      </c>
      <c r="GP30" s="779" t="str">
        <f t="shared" si="147"/>
        <v/>
      </c>
      <c r="GQ30" s="779" t="str">
        <f t="shared" si="148"/>
        <v/>
      </c>
      <c r="GR30" s="779" t="str">
        <f t="shared" si="149"/>
        <v/>
      </c>
      <c r="GS30" s="779" t="str">
        <f t="shared" si="150"/>
        <v/>
      </c>
      <c r="GT30" s="758" t="str">
        <f t="shared" si="151"/>
        <v/>
      </c>
      <c r="GU30" s="758" t="str">
        <f t="shared" si="152"/>
        <v/>
      </c>
      <c r="GV30" s="758" t="str">
        <f t="shared" si="153"/>
        <v/>
      </c>
      <c r="GW30" s="758" t="str">
        <f t="shared" si="154"/>
        <v/>
      </c>
      <c r="GX30" s="758" t="str">
        <f t="shared" si="155"/>
        <v/>
      </c>
      <c r="GY30" s="758" t="str">
        <f t="shared" si="156"/>
        <v/>
      </c>
      <c r="GZ30" s="758" t="str">
        <f t="shared" si="157"/>
        <v/>
      </c>
      <c r="HA30" s="758" t="str">
        <f t="shared" si="158"/>
        <v/>
      </c>
      <c r="HB30" s="758" t="str">
        <f t="shared" si="159"/>
        <v/>
      </c>
      <c r="HC30" s="758" t="str">
        <f t="shared" si="160"/>
        <v/>
      </c>
      <c r="HD30" s="758" t="str">
        <f t="shared" si="161"/>
        <v/>
      </c>
      <c r="HE30" s="758" t="str">
        <f t="shared" si="162"/>
        <v/>
      </c>
      <c r="HF30" s="758" t="str">
        <f t="shared" si="163"/>
        <v/>
      </c>
      <c r="HG30" s="758" t="str">
        <f t="shared" si="164"/>
        <v/>
      </c>
      <c r="HH30" s="758" t="str">
        <f t="shared" si="165"/>
        <v/>
      </c>
      <c r="HI30" s="758" t="str">
        <f t="shared" si="166"/>
        <v/>
      </c>
      <c r="HJ30" s="758" t="str">
        <f t="shared" si="167"/>
        <v/>
      </c>
      <c r="HK30" s="758" t="str">
        <f t="shared" si="168"/>
        <v/>
      </c>
      <c r="HL30" s="758" t="str">
        <f t="shared" si="169"/>
        <v/>
      </c>
      <c r="HM30" s="758" t="str">
        <f t="shared" si="170"/>
        <v/>
      </c>
    </row>
    <row r="31" spans="1:221" ht="13.35" customHeight="1">
      <c r="A31" s="148" t="str">
        <f t="shared" si="171"/>
        <v/>
      </c>
      <c r="B31" s="1515" t="s">
        <v>1533</v>
      </c>
      <c r="C31" s="1516"/>
      <c r="D31" s="1517"/>
      <c r="E31" s="1518"/>
      <c r="F31" s="1518"/>
      <c r="G31" s="1518"/>
      <c r="H31" s="1518"/>
      <c r="I31" s="1518"/>
      <c r="J31" s="1519"/>
      <c r="K31" s="225">
        <f t="shared" si="204"/>
        <v>0</v>
      </c>
      <c r="L31" s="225">
        <f t="shared" si="0"/>
        <v>0</v>
      </c>
      <c r="M31" s="1520"/>
      <c r="N31" s="1520"/>
      <c r="O31" s="1520"/>
      <c r="P31" s="674" t="str">
        <f t="shared" si="203"/>
        <v/>
      </c>
      <c r="Q31" s="675" t="str">
        <f>IF(H31="","",P31/($P$6*VLOOKUP(C31,'DCA Underwriting Assumptions'!$J$84:$K$89,2,FALSE)))</f>
        <v/>
      </c>
      <c r="R31" s="821"/>
      <c r="S31" s="675"/>
      <c r="T31" s="1455"/>
      <c r="U31" s="1456"/>
      <c r="V31" s="758" t="str">
        <f t="shared" si="1"/>
        <v/>
      </c>
      <c r="W31" s="758" t="str">
        <f t="shared" si="2"/>
        <v/>
      </c>
      <c r="X31" s="758" t="str">
        <f t="shared" si="3"/>
        <v/>
      </c>
      <c r="Y31" s="758" t="str">
        <f t="shared" si="4"/>
        <v/>
      </c>
      <c r="Z31" s="758" t="str">
        <f t="shared" si="5"/>
        <v/>
      </c>
      <c r="AA31" s="758" t="str">
        <f t="shared" si="6"/>
        <v/>
      </c>
      <c r="AB31" s="758" t="str">
        <f t="shared" si="7"/>
        <v/>
      </c>
      <c r="AC31" s="758" t="str">
        <f t="shared" si="8"/>
        <v/>
      </c>
      <c r="AD31" s="758" t="str">
        <f t="shared" si="9"/>
        <v/>
      </c>
      <c r="AE31" s="758" t="str">
        <f t="shared" si="10"/>
        <v/>
      </c>
      <c r="AF31" s="758" t="str">
        <f t="shared" si="11"/>
        <v/>
      </c>
      <c r="AG31" s="758" t="str">
        <f t="shared" si="12"/>
        <v/>
      </c>
      <c r="AH31" s="758" t="str">
        <f t="shared" si="13"/>
        <v/>
      </c>
      <c r="AI31" s="758" t="str">
        <f t="shared" si="14"/>
        <v/>
      </c>
      <c r="AJ31" s="758" t="str">
        <f t="shared" si="15"/>
        <v/>
      </c>
      <c r="AK31" s="758" t="str">
        <f t="shared" si="16"/>
        <v/>
      </c>
      <c r="AL31" s="758" t="str">
        <f t="shared" si="17"/>
        <v/>
      </c>
      <c r="AM31" s="758" t="str">
        <f t="shared" si="18"/>
        <v/>
      </c>
      <c r="AN31" s="758" t="str">
        <f t="shared" si="19"/>
        <v/>
      </c>
      <c r="AO31" s="758" t="str">
        <f t="shared" si="20"/>
        <v/>
      </c>
      <c r="AP31" s="758" t="str">
        <f t="shared" si="173"/>
        <v/>
      </c>
      <c r="AQ31" s="758" t="str">
        <f t="shared" si="174"/>
        <v/>
      </c>
      <c r="AR31" s="758" t="str">
        <f t="shared" si="175"/>
        <v/>
      </c>
      <c r="AS31" s="758" t="str">
        <f t="shared" si="176"/>
        <v/>
      </c>
      <c r="AT31" s="758" t="str">
        <f t="shared" si="177"/>
        <v/>
      </c>
      <c r="AU31" s="758" t="str">
        <f t="shared" si="178"/>
        <v/>
      </c>
      <c r="AV31" s="758" t="str">
        <f t="shared" si="179"/>
        <v/>
      </c>
      <c r="AW31" s="758" t="str">
        <f t="shared" si="180"/>
        <v/>
      </c>
      <c r="AX31" s="758" t="str">
        <f t="shared" si="181"/>
        <v/>
      </c>
      <c r="AY31" s="758" t="str">
        <f t="shared" si="182"/>
        <v/>
      </c>
      <c r="AZ31" s="758" t="str">
        <f t="shared" si="183"/>
        <v/>
      </c>
      <c r="BA31" s="758" t="str">
        <f t="shared" si="184"/>
        <v/>
      </c>
      <c r="BB31" s="758" t="str">
        <f t="shared" si="185"/>
        <v/>
      </c>
      <c r="BC31" s="758" t="str">
        <f t="shared" si="186"/>
        <v/>
      </c>
      <c r="BD31" s="758" t="str">
        <f t="shared" si="187"/>
        <v/>
      </c>
      <c r="BE31" s="758" t="str">
        <f t="shared" si="188"/>
        <v/>
      </c>
      <c r="BF31" s="758" t="str">
        <f t="shared" si="189"/>
        <v/>
      </c>
      <c r="BG31" s="758" t="str">
        <f t="shared" si="190"/>
        <v/>
      </c>
      <c r="BH31" s="758" t="str">
        <f t="shared" si="191"/>
        <v/>
      </c>
      <c r="BI31" s="758" t="str">
        <f t="shared" si="192"/>
        <v/>
      </c>
      <c r="BJ31" s="758" t="str">
        <f t="shared" si="193"/>
        <v/>
      </c>
      <c r="BK31" s="758" t="str">
        <f t="shared" si="194"/>
        <v/>
      </c>
      <c r="BL31" s="758" t="str">
        <f t="shared" si="195"/>
        <v/>
      </c>
      <c r="BM31" s="758" t="str">
        <f t="shared" si="196"/>
        <v/>
      </c>
      <c r="BN31" s="758" t="str">
        <f t="shared" si="197"/>
        <v/>
      </c>
      <c r="BO31" s="758" t="str">
        <f t="shared" si="198"/>
        <v/>
      </c>
      <c r="BP31" s="758" t="str">
        <f t="shared" si="199"/>
        <v/>
      </c>
      <c r="BQ31" s="758" t="str">
        <f t="shared" si="200"/>
        <v/>
      </c>
      <c r="BR31" s="758" t="str">
        <f t="shared" si="201"/>
        <v/>
      </c>
      <c r="BS31" s="758" t="str">
        <f t="shared" si="202"/>
        <v/>
      </c>
      <c r="BT31" s="758" t="str">
        <f t="shared" si="21"/>
        <v/>
      </c>
      <c r="BU31" s="758" t="str">
        <f t="shared" si="22"/>
        <v/>
      </c>
      <c r="BV31" s="758" t="str">
        <f t="shared" si="23"/>
        <v/>
      </c>
      <c r="BW31" s="758" t="str">
        <f t="shared" si="24"/>
        <v/>
      </c>
      <c r="BX31" s="758" t="str">
        <f t="shared" si="25"/>
        <v/>
      </c>
      <c r="BY31" s="758" t="str">
        <f t="shared" si="26"/>
        <v/>
      </c>
      <c r="BZ31" s="758" t="str">
        <f t="shared" si="27"/>
        <v/>
      </c>
      <c r="CA31" s="758" t="str">
        <f t="shared" si="28"/>
        <v/>
      </c>
      <c r="CB31" s="758" t="str">
        <f t="shared" si="29"/>
        <v/>
      </c>
      <c r="CC31" s="758" t="str">
        <f t="shared" si="30"/>
        <v/>
      </c>
      <c r="CD31" s="758" t="str">
        <f t="shared" si="31"/>
        <v/>
      </c>
      <c r="CE31" s="758" t="str">
        <f t="shared" si="32"/>
        <v/>
      </c>
      <c r="CF31" s="758" t="str">
        <f t="shared" si="33"/>
        <v/>
      </c>
      <c r="CG31" s="758" t="str">
        <f t="shared" si="34"/>
        <v/>
      </c>
      <c r="CH31" s="758" t="str">
        <f t="shared" si="35"/>
        <v/>
      </c>
      <c r="CI31" s="758" t="str">
        <f t="shared" si="36"/>
        <v/>
      </c>
      <c r="CJ31" s="758" t="str">
        <f t="shared" si="37"/>
        <v/>
      </c>
      <c r="CK31" s="758" t="str">
        <f t="shared" si="38"/>
        <v/>
      </c>
      <c r="CL31" s="758" t="str">
        <f t="shared" si="39"/>
        <v/>
      </c>
      <c r="CM31" s="758" t="str">
        <f t="shared" si="40"/>
        <v/>
      </c>
      <c r="CN31" s="758" t="str">
        <f t="shared" si="41"/>
        <v/>
      </c>
      <c r="CO31" s="758" t="str">
        <f t="shared" si="42"/>
        <v/>
      </c>
      <c r="CP31" s="758" t="str">
        <f t="shared" si="43"/>
        <v/>
      </c>
      <c r="CQ31" s="758" t="str">
        <f t="shared" si="44"/>
        <v/>
      </c>
      <c r="CR31" s="758" t="str">
        <f t="shared" si="45"/>
        <v/>
      </c>
      <c r="CS31" s="758" t="str">
        <f t="shared" si="46"/>
        <v/>
      </c>
      <c r="CT31" s="758" t="str">
        <f t="shared" si="47"/>
        <v/>
      </c>
      <c r="CU31" s="758" t="str">
        <f t="shared" si="48"/>
        <v/>
      </c>
      <c r="CV31" s="758" t="str">
        <f t="shared" si="49"/>
        <v/>
      </c>
      <c r="CW31" s="758" t="str">
        <f t="shared" si="50"/>
        <v/>
      </c>
      <c r="CX31" s="758" t="str">
        <f t="shared" si="51"/>
        <v/>
      </c>
      <c r="CY31" s="758" t="str">
        <f t="shared" si="52"/>
        <v/>
      </c>
      <c r="CZ31" s="758" t="str">
        <f t="shared" si="53"/>
        <v/>
      </c>
      <c r="DA31" s="758" t="str">
        <f t="shared" si="54"/>
        <v/>
      </c>
      <c r="DB31" s="758" t="str">
        <f t="shared" si="55"/>
        <v/>
      </c>
      <c r="DC31" s="758" t="str">
        <f t="shared" si="56"/>
        <v/>
      </c>
      <c r="DD31" s="758" t="str">
        <f t="shared" si="57"/>
        <v/>
      </c>
      <c r="DE31" s="758" t="str">
        <f t="shared" si="58"/>
        <v/>
      </c>
      <c r="DF31" s="758" t="str">
        <f t="shared" si="59"/>
        <v/>
      </c>
      <c r="DG31" s="758" t="str">
        <f t="shared" si="60"/>
        <v/>
      </c>
      <c r="DH31" s="758" t="str">
        <f t="shared" si="61"/>
        <v/>
      </c>
      <c r="DI31" s="758" t="str">
        <f t="shared" si="62"/>
        <v/>
      </c>
      <c r="DJ31" s="758" t="str">
        <f t="shared" si="63"/>
        <v/>
      </c>
      <c r="DK31" s="758" t="str">
        <f t="shared" si="64"/>
        <v/>
      </c>
      <c r="DL31" s="758" t="str">
        <f t="shared" si="65"/>
        <v/>
      </c>
      <c r="DM31" s="758" t="str">
        <f t="shared" si="66"/>
        <v/>
      </c>
      <c r="DN31" s="758" t="str">
        <f t="shared" si="67"/>
        <v/>
      </c>
      <c r="DO31" s="758" t="str">
        <f t="shared" si="68"/>
        <v/>
      </c>
      <c r="DP31" s="758" t="str">
        <f t="shared" si="69"/>
        <v/>
      </c>
      <c r="DQ31" s="758" t="str">
        <f t="shared" si="70"/>
        <v/>
      </c>
      <c r="DR31" s="758" t="str">
        <f t="shared" si="71"/>
        <v/>
      </c>
      <c r="DS31" s="758" t="str">
        <f t="shared" si="72"/>
        <v/>
      </c>
      <c r="DT31" s="758" t="str">
        <f t="shared" si="73"/>
        <v/>
      </c>
      <c r="DU31" s="758" t="str">
        <f t="shared" si="74"/>
        <v/>
      </c>
      <c r="DV31" s="758" t="str">
        <f t="shared" si="75"/>
        <v/>
      </c>
      <c r="DW31" s="758" t="str">
        <f t="shared" si="76"/>
        <v/>
      </c>
      <c r="DX31" s="758" t="str">
        <f t="shared" si="77"/>
        <v/>
      </c>
      <c r="DY31" s="758" t="str">
        <f t="shared" si="78"/>
        <v/>
      </c>
      <c r="DZ31" s="758" t="str">
        <f t="shared" si="79"/>
        <v/>
      </c>
      <c r="EA31" s="758" t="str">
        <f t="shared" si="80"/>
        <v/>
      </c>
      <c r="EB31" s="758" t="str">
        <f t="shared" si="81"/>
        <v/>
      </c>
      <c r="EC31" s="758" t="str">
        <f t="shared" si="82"/>
        <v/>
      </c>
      <c r="ED31" s="758" t="str">
        <f t="shared" si="83"/>
        <v/>
      </c>
      <c r="EE31" s="758" t="str">
        <f t="shared" si="84"/>
        <v/>
      </c>
      <c r="EF31" s="758" t="str">
        <f t="shared" si="85"/>
        <v/>
      </c>
      <c r="EG31" s="758" t="str">
        <f t="shared" si="86"/>
        <v/>
      </c>
      <c r="EH31" s="758" t="str">
        <f t="shared" si="87"/>
        <v/>
      </c>
      <c r="EI31" s="758" t="str">
        <f t="shared" si="88"/>
        <v/>
      </c>
      <c r="EJ31" s="758" t="str">
        <f t="shared" si="89"/>
        <v/>
      </c>
      <c r="EK31" s="758" t="str">
        <f t="shared" si="90"/>
        <v/>
      </c>
      <c r="EL31" s="758" t="str">
        <f t="shared" si="91"/>
        <v/>
      </c>
      <c r="EM31" s="758" t="str">
        <f t="shared" si="92"/>
        <v/>
      </c>
      <c r="EN31" s="758" t="str">
        <f t="shared" si="93"/>
        <v/>
      </c>
      <c r="EO31" s="758" t="str">
        <f t="shared" si="94"/>
        <v/>
      </c>
      <c r="EP31" s="758" t="str">
        <f t="shared" si="95"/>
        <v/>
      </c>
      <c r="EQ31" s="758" t="str">
        <f t="shared" si="96"/>
        <v/>
      </c>
      <c r="ER31" s="758" t="str">
        <f t="shared" si="97"/>
        <v/>
      </c>
      <c r="ES31" s="758" t="str">
        <f t="shared" si="98"/>
        <v/>
      </c>
      <c r="ET31" s="758" t="str">
        <f t="shared" si="99"/>
        <v/>
      </c>
      <c r="EU31" s="758" t="str">
        <f t="shared" si="100"/>
        <v/>
      </c>
      <c r="EV31" s="778" t="str">
        <f t="shared" si="101"/>
        <v/>
      </c>
      <c r="EW31" s="778" t="str">
        <f t="shared" si="102"/>
        <v/>
      </c>
      <c r="EX31" s="778" t="str">
        <f t="shared" si="103"/>
        <v/>
      </c>
      <c r="EY31" s="778" t="str">
        <f t="shared" si="104"/>
        <v/>
      </c>
      <c r="EZ31" s="778" t="str">
        <f t="shared" si="105"/>
        <v/>
      </c>
      <c r="FA31" s="778" t="str">
        <f t="shared" si="106"/>
        <v/>
      </c>
      <c r="FB31" s="778" t="str">
        <f t="shared" si="107"/>
        <v/>
      </c>
      <c r="FC31" s="778" t="str">
        <f t="shared" si="108"/>
        <v/>
      </c>
      <c r="FD31" s="778" t="str">
        <f t="shared" si="109"/>
        <v/>
      </c>
      <c r="FE31" s="778" t="str">
        <f t="shared" si="110"/>
        <v/>
      </c>
      <c r="FF31" s="778" t="str">
        <f t="shared" si="111"/>
        <v/>
      </c>
      <c r="FG31" s="778" t="str">
        <f t="shared" si="112"/>
        <v/>
      </c>
      <c r="FH31" s="778" t="str">
        <f t="shared" si="113"/>
        <v/>
      </c>
      <c r="FI31" s="778" t="str">
        <f t="shared" si="114"/>
        <v/>
      </c>
      <c r="FJ31" s="778" t="str">
        <f t="shared" si="115"/>
        <v/>
      </c>
      <c r="FK31" s="778" t="str">
        <f t="shared" si="116"/>
        <v/>
      </c>
      <c r="FL31" s="778" t="str">
        <f t="shared" si="117"/>
        <v/>
      </c>
      <c r="FM31" s="778" t="str">
        <f t="shared" si="118"/>
        <v/>
      </c>
      <c r="FN31" s="778" t="str">
        <f t="shared" si="119"/>
        <v/>
      </c>
      <c r="FO31" s="778" t="str">
        <f t="shared" si="120"/>
        <v/>
      </c>
      <c r="FP31" s="778" t="str">
        <f t="shared" si="121"/>
        <v/>
      </c>
      <c r="FQ31" s="778" t="str">
        <f t="shared" si="122"/>
        <v/>
      </c>
      <c r="FR31" s="778" t="str">
        <f t="shared" si="123"/>
        <v/>
      </c>
      <c r="FS31" s="778" t="str">
        <f t="shared" si="124"/>
        <v/>
      </c>
      <c r="FT31" s="778" t="str">
        <f t="shared" si="125"/>
        <v/>
      </c>
      <c r="FU31" s="778" t="str">
        <f t="shared" si="126"/>
        <v/>
      </c>
      <c r="FV31" s="778" t="str">
        <f t="shared" si="127"/>
        <v/>
      </c>
      <c r="FW31" s="778" t="str">
        <f t="shared" si="128"/>
        <v/>
      </c>
      <c r="FX31" s="778" t="str">
        <f t="shared" si="129"/>
        <v/>
      </c>
      <c r="FY31" s="778" t="str">
        <f t="shared" si="130"/>
        <v/>
      </c>
      <c r="FZ31" s="778" t="str">
        <f t="shared" si="131"/>
        <v/>
      </c>
      <c r="GA31" s="778" t="str">
        <f t="shared" si="132"/>
        <v/>
      </c>
      <c r="GB31" s="778" t="str">
        <f t="shared" si="133"/>
        <v/>
      </c>
      <c r="GC31" s="778" t="str">
        <f t="shared" si="134"/>
        <v/>
      </c>
      <c r="GD31" s="778" t="str">
        <f t="shared" si="135"/>
        <v/>
      </c>
      <c r="GE31" s="778" t="str">
        <f t="shared" si="136"/>
        <v/>
      </c>
      <c r="GF31" s="778" t="str">
        <f t="shared" si="137"/>
        <v/>
      </c>
      <c r="GG31" s="778" t="str">
        <f t="shared" si="138"/>
        <v/>
      </c>
      <c r="GH31" s="778" t="str">
        <f t="shared" si="139"/>
        <v/>
      </c>
      <c r="GI31" s="778" t="str">
        <f t="shared" si="140"/>
        <v/>
      </c>
      <c r="GJ31" s="778" t="str">
        <f t="shared" si="141"/>
        <v/>
      </c>
      <c r="GK31" s="778" t="str">
        <f t="shared" si="142"/>
        <v/>
      </c>
      <c r="GL31" s="778" t="str">
        <f t="shared" si="143"/>
        <v/>
      </c>
      <c r="GM31" s="778" t="str">
        <f t="shared" si="144"/>
        <v/>
      </c>
      <c r="GN31" s="778" t="str">
        <f t="shared" si="145"/>
        <v/>
      </c>
      <c r="GO31" s="779" t="str">
        <f t="shared" si="146"/>
        <v/>
      </c>
      <c r="GP31" s="779" t="str">
        <f t="shared" si="147"/>
        <v/>
      </c>
      <c r="GQ31" s="779" t="str">
        <f t="shared" si="148"/>
        <v/>
      </c>
      <c r="GR31" s="779" t="str">
        <f t="shared" si="149"/>
        <v/>
      </c>
      <c r="GS31" s="779" t="str">
        <f t="shared" si="150"/>
        <v/>
      </c>
      <c r="GT31" s="758" t="str">
        <f t="shared" si="151"/>
        <v/>
      </c>
      <c r="GU31" s="758" t="str">
        <f t="shared" si="152"/>
        <v/>
      </c>
      <c r="GV31" s="758" t="str">
        <f t="shared" si="153"/>
        <v/>
      </c>
      <c r="GW31" s="758" t="str">
        <f t="shared" si="154"/>
        <v/>
      </c>
      <c r="GX31" s="758" t="str">
        <f t="shared" si="155"/>
        <v/>
      </c>
      <c r="GY31" s="758" t="str">
        <f t="shared" si="156"/>
        <v/>
      </c>
      <c r="GZ31" s="758" t="str">
        <f t="shared" si="157"/>
        <v/>
      </c>
      <c r="HA31" s="758" t="str">
        <f t="shared" si="158"/>
        <v/>
      </c>
      <c r="HB31" s="758" t="str">
        <f t="shared" si="159"/>
        <v/>
      </c>
      <c r="HC31" s="758" t="str">
        <f t="shared" si="160"/>
        <v/>
      </c>
      <c r="HD31" s="758" t="str">
        <f t="shared" si="161"/>
        <v/>
      </c>
      <c r="HE31" s="758" t="str">
        <f t="shared" si="162"/>
        <v/>
      </c>
      <c r="HF31" s="758" t="str">
        <f t="shared" si="163"/>
        <v/>
      </c>
      <c r="HG31" s="758" t="str">
        <f t="shared" si="164"/>
        <v/>
      </c>
      <c r="HH31" s="758" t="str">
        <f t="shared" si="165"/>
        <v/>
      </c>
      <c r="HI31" s="758" t="str">
        <f t="shared" si="166"/>
        <v/>
      </c>
      <c r="HJ31" s="758" t="str">
        <f t="shared" si="167"/>
        <v/>
      </c>
      <c r="HK31" s="758" t="str">
        <f t="shared" si="168"/>
        <v/>
      </c>
      <c r="HL31" s="758" t="str">
        <f t="shared" si="169"/>
        <v/>
      </c>
      <c r="HM31" s="758" t="str">
        <f t="shared" si="170"/>
        <v/>
      </c>
    </row>
    <row r="32" spans="1:221" ht="13.35" customHeight="1">
      <c r="A32" s="148" t="str">
        <f t="shared" si="171"/>
        <v/>
      </c>
      <c r="B32" s="1515" t="s">
        <v>1533</v>
      </c>
      <c r="C32" s="1516"/>
      <c r="D32" s="1517"/>
      <c r="E32" s="1518"/>
      <c r="F32" s="1518"/>
      <c r="G32" s="1518"/>
      <c r="H32" s="1518"/>
      <c r="I32" s="1518"/>
      <c r="J32" s="1519"/>
      <c r="K32" s="225">
        <f t="shared" si="204"/>
        <v>0</v>
      </c>
      <c r="L32" s="225">
        <f t="shared" si="0"/>
        <v>0</v>
      </c>
      <c r="M32" s="1520"/>
      <c r="N32" s="1520"/>
      <c r="O32" s="1520"/>
      <c r="P32" s="674" t="str">
        <f t="shared" si="203"/>
        <v/>
      </c>
      <c r="Q32" s="675" t="str">
        <f>IF(H32="","",P32/($P$6*VLOOKUP(C32,'DCA Underwriting Assumptions'!$J$84:$K$89,2,FALSE)))</f>
        <v/>
      </c>
      <c r="R32" s="821"/>
      <c r="S32" s="675"/>
      <c r="T32" s="1455"/>
      <c r="U32" s="1456"/>
      <c r="V32" s="758" t="str">
        <f t="shared" si="1"/>
        <v/>
      </c>
      <c r="W32" s="758" t="str">
        <f t="shared" si="2"/>
        <v/>
      </c>
      <c r="X32" s="758" t="str">
        <f t="shared" si="3"/>
        <v/>
      </c>
      <c r="Y32" s="758" t="str">
        <f t="shared" si="4"/>
        <v/>
      </c>
      <c r="Z32" s="758" t="str">
        <f t="shared" si="5"/>
        <v/>
      </c>
      <c r="AA32" s="758" t="str">
        <f t="shared" si="6"/>
        <v/>
      </c>
      <c r="AB32" s="758" t="str">
        <f t="shared" si="7"/>
        <v/>
      </c>
      <c r="AC32" s="758" t="str">
        <f t="shared" si="8"/>
        <v/>
      </c>
      <c r="AD32" s="758" t="str">
        <f t="shared" si="9"/>
        <v/>
      </c>
      <c r="AE32" s="758" t="str">
        <f t="shared" si="10"/>
        <v/>
      </c>
      <c r="AF32" s="758" t="str">
        <f t="shared" si="11"/>
        <v/>
      </c>
      <c r="AG32" s="758" t="str">
        <f t="shared" si="12"/>
        <v/>
      </c>
      <c r="AH32" s="758" t="str">
        <f t="shared" si="13"/>
        <v/>
      </c>
      <c r="AI32" s="758" t="str">
        <f t="shared" si="14"/>
        <v/>
      </c>
      <c r="AJ32" s="758" t="str">
        <f t="shared" si="15"/>
        <v/>
      </c>
      <c r="AK32" s="758" t="str">
        <f t="shared" si="16"/>
        <v/>
      </c>
      <c r="AL32" s="758" t="str">
        <f t="shared" si="17"/>
        <v/>
      </c>
      <c r="AM32" s="758" t="str">
        <f t="shared" si="18"/>
        <v/>
      </c>
      <c r="AN32" s="758" t="str">
        <f t="shared" si="19"/>
        <v/>
      </c>
      <c r="AO32" s="758" t="str">
        <f t="shared" si="20"/>
        <v/>
      </c>
      <c r="AP32" s="758" t="str">
        <f t="shared" si="173"/>
        <v/>
      </c>
      <c r="AQ32" s="758" t="str">
        <f t="shared" si="174"/>
        <v/>
      </c>
      <c r="AR32" s="758" t="str">
        <f t="shared" si="175"/>
        <v/>
      </c>
      <c r="AS32" s="758" t="str">
        <f t="shared" si="176"/>
        <v/>
      </c>
      <c r="AT32" s="758" t="str">
        <f t="shared" si="177"/>
        <v/>
      </c>
      <c r="AU32" s="758" t="str">
        <f t="shared" si="178"/>
        <v/>
      </c>
      <c r="AV32" s="758" t="str">
        <f t="shared" si="179"/>
        <v/>
      </c>
      <c r="AW32" s="758" t="str">
        <f t="shared" si="180"/>
        <v/>
      </c>
      <c r="AX32" s="758" t="str">
        <f t="shared" si="181"/>
        <v/>
      </c>
      <c r="AY32" s="758" t="str">
        <f t="shared" si="182"/>
        <v/>
      </c>
      <c r="AZ32" s="758" t="str">
        <f t="shared" si="183"/>
        <v/>
      </c>
      <c r="BA32" s="758" t="str">
        <f t="shared" si="184"/>
        <v/>
      </c>
      <c r="BB32" s="758" t="str">
        <f t="shared" si="185"/>
        <v/>
      </c>
      <c r="BC32" s="758" t="str">
        <f t="shared" si="186"/>
        <v/>
      </c>
      <c r="BD32" s="758" t="str">
        <f t="shared" si="187"/>
        <v/>
      </c>
      <c r="BE32" s="758" t="str">
        <f t="shared" si="188"/>
        <v/>
      </c>
      <c r="BF32" s="758" t="str">
        <f t="shared" si="189"/>
        <v/>
      </c>
      <c r="BG32" s="758" t="str">
        <f t="shared" si="190"/>
        <v/>
      </c>
      <c r="BH32" s="758" t="str">
        <f t="shared" si="191"/>
        <v/>
      </c>
      <c r="BI32" s="758" t="str">
        <f t="shared" si="192"/>
        <v/>
      </c>
      <c r="BJ32" s="758" t="str">
        <f t="shared" si="193"/>
        <v/>
      </c>
      <c r="BK32" s="758" t="str">
        <f t="shared" si="194"/>
        <v/>
      </c>
      <c r="BL32" s="758" t="str">
        <f t="shared" si="195"/>
        <v/>
      </c>
      <c r="BM32" s="758" t="str">
        <f t="shared" si="196"/>
        <v/>
      </c>
      <c r="BN32" s="758" t="str">
        <f t="shared" si="197"/>
        <v/>
      </c>
      <c r="BO32" s="758" t="str">
        <f t="shared" si="198"/>
        <v/>
      </c>
      <c r="BP32" s="758" t="str">
        <f t="shared" si="199"/>
        <v/>
      </c>
      <c r="BQ32" s="758" t="str">
        <f t="shared" si="200"/>
        <v/>
      </c>
      <c r="BR32" s="758" t="str">
        <f t="shared" si="201"/>
        <v/>
      </c>
      <c r="BS32" s="758" t="str">
        <f t="shared" si="202"/>
        <v/>
      </c>
      <c r="BT32" s="758" t="str">
        <f t="shared" si="21"/>
        <v/>
      </c>
      <c r="BU32" s="758" t="str">
        <f t="shared" si="22"/>
        <v/>
      </c>
      <c r="BV32" s="758" t="str">
        <f t="shared" si="23"/>
        <v/>
      </c>
      <c r="BW32" s="758" t="str">
        <f t="shared" si="24"/>
        <v/>
      </c>
      <c r="BX32" s="758" t="str">
        <f t="shared" si="25"/>
        <v/>
      </c>
      <c r="BY32" s="758" t="str">
        <f t="shared" si="26"/>
        <v/>
      </c>
      <c r="BZ32" s="758" t="str">
        <f t="shared" si="27"/>
        <v/>
      </c>
      <c r="CA32" s="758" t="str">
        <f t="shared" si="28"/>
        <v/>
      </c>
      <c r="CB32" s="758" t="str">
        <f t="shared" si="29"/>
        <v/>
      </c>
      <c r="CC32" s="758" t="str">
        <f t="shared" si="30"/>
        <v/>
      </c>
      <c r="CD32" s="758" t="str">
        <f t="shared" si="31"/>
        <v/>
      </c>
      <c r="CE32" s="758" t="str">
        <f t="shared" si="32"/>
        <v/>
      </c>
      <c r="CF32" s="758" t="str">
        <f t="shared" si="33"/>
        <v/>
      </c>
      <c r="CG32" s="758" t="str">
        <f t="shared" si="34"/>
        <v/>
      </c>
      <c r="CH32" s="758" t="str">
        <f t="shared" si="35"/>
        <v/>
      </c>
      <c r="CI32" s="758" t="str">
        <f t="shared" si="36"/>
        <v/>
      </c>
      <c r="CJ32" s="758" t="str">
        <f t="shared" si="37"/>
        <v/>
      </c>
      <c r="CK32" s="758" t="str">
        <f t="shared" si="38"/>
        <v/>
      </c>
      <c r="CL32" s="758" t="str">
        <f t="shared" si="39"/>
        <v/>
      </c>
      <c r="CM32" s="758" t="str">
        <f t="shared" si="40"/>
        <v/>
      </c>
      <c r="CN32" s="758" t="str">
        <f t="shared" si="41"/>
        <v/>
      </c>
      <c r="CO32" s="758" t="str">
        <f t="shared" si="42"/>
        <v/>
      </c>
      <c r="CP32" s="758" t="str">
        <f t="shared" si="43"/>
        <v/>
      </c>
      <c r="CQ32" s="758" t="str">
        <f t="shared" si="44"/>
        <v/>
      </c>
      <c r="CR32" s="758" t="str">
        <f t="shared" si="45"/>
        <v/>
      </c>
      <c r="CS32" s="758" t="str">
        <f t="shared" si="46"/>
        <v/>
      </c>
      <c r="CT32" s="758" t="str">
        <f t="shared" si="47"/>
        <v/>
      </c>
      <c r="CU32" s="758" t="str">
        <f t="shared" si="48"/>
        <v/>
      </c>
      <c r="CV32" s="758" t="str">
        <f t="shared" si="49"/>
        <v/>
      </c>
      <c r="CW32" s="758" t="str">
        <f t="shared" si="50"/>
        <v/>
      </c>
      <c r="CX32" s="758" t="str">
        <f t="shared" si="51"/>
        <v/>
      </c>
      <c r="CY32" s="758" t="str">
        <f t="shared" si="52"/>
        <v/>
      </c>
      <c r="CZ32" s="758" t="str">
        <f t="shared" si="53"/>
        <v/>
      </c>
      <c r="DA32" s="758" t="str">
        <f t="shared" si="54"/>
        <v/>
      </c>
      <c r="DB32" s="758" t="str">
        <f t="shared" si="55"/>
        <v/>
      </c>
      <c r="DC32" s="758" t="str">
        <f t="shared" si="56"/>
        <v/>
      </c>
      <c r="DD32" s="758" t="str">
        <f t="shared" si="57"/>
        <v/>
      </c>
      <c r="DE32" s="758" t="str">
        <f t="shared" si="58"/>
        <v/>
      </c>
      <c r="DF32" s="758" t="str">
        <f t="shared" si="59"/>
        <v/>
      </c>
      <c r="DG32" s="758" t="str">
        <f t="shared" si="60"/>
        <v/>
      </c>
      <c r="DH32" s="758" t="str">
        <f t="shared" si="61"/>
        <v/>
      </c>
      <c r="DI32" s="758" t="str">
        <f t="shared" si="62"/>
        <v/>
      </c>
      <c r="DJ32" s="758" t="str">
        <f t="shared" si="63"/>
        <v/>
      </c>
      <c r="DK32" s="758" t="str">
        <f t="shared" si="64"/>
        <v/>
      </c>
      <c r="DL32" s="758" t="str">
        <f t="shared" si="65"/>
        <v/>
      </c>
      <c r="DM32" s="758" t="str">
        <f t="shared" si="66"/>
        <v/>
      </c>
      <c r="DN32" s="758" t="str">
        <f t="shared" si="67"/>
        <v/>
      </c>
      <c r="DO32" s="758" t="str">
        <f t="shared" si="68"/>
        <v/>
      </c>
      <c r="DP32" s="758" t="str">
        <f t="shared" si="69"/>
        <v/>
      </c>
      <c r="DQ32" s="758" t="str">
        <f t="shared" si="70"/>
        <v/>
      </c>
      <c r="DR32" s="758" t="str">
        <f t="shared" si="71"/>
        <v/>
      </c>
      <c r="DS32" s="758" t="str">
        <f t="shared" si="72"/>
        <v/>
      </c>
      <c r="DT32" s="758" t="str">
        <f t="shared" si="73"/>
        <v/>
      </c>
      <c r="DU32" s="758" t="str">
        <f t="shared" si="74"/>
        <v/>
      </c>
      <c r="DV32" s="758" t="str">
        <f t="shared" si="75"/>
        <v/>
      </c>
      <c r="DW32" s="758" t="str">
        <f t="shared" si="76"/>
        <v/>
      </c>
      <c r="DX32" s="758" t="str">
        <f t="shared" si="77"/>
        <v/>
      </c>
      <c r="DY32" s="758" t="str">
        <f t="shared" si="78"/>
        <v/>
      </c>
      <c r="DZ32" s="758" t="str">
        <f t="shared" si="79"/>
        <v/>
      </c>
      <c r="EA32" s="758" t="str">
        <f t="shared" si="80"/>
        <v/>
      </c>
      <c r="EB32" s="758" t="str">
        <f t="shared" si="81"/>
        <v/>
      </c>
      <c r="EC32" s="758" t="str">
        <f t="shared" si="82"/>
        <v/>
      </c>
      <c r="ED32" s="758" t="str">
        <f t="shared" si="83"/>
        <v/>
      </c>
      <c r="EE32" s="758" t="str">
        <f t="shared" si="84"/>
        <v/>
      </c>
      <c r="EF32" s="758" t="str">
        <f t="shared" si="85"/>
        <v/>
      </c>
      <c r="EG32" s="758" t="str">
        <f t="shared" si="86"/>
        <v/>
      </c>
      <c r="EH32" s="758" t="str">
        <f t="shared" si="87"/>
        <v/>
      </c>
      <c r="EI32" s="758" t="str">
        <f t="shared" si="88"/>
        <v/>
      </c>
      <c r="EJ32" s="758" t="str">
        <f t="shared" si="89"/>
        <v/>
      </c>
      <c r="EK32" s="758" t="str">
        <f t="shared" si="90"/>
        <v/>
      </c>
      <c r="EL32" s="758" t="str">
        <f t="shared" si="91"/>
        <v/>
      </c>
      <c r="EM32" s="758" t="str">
        <f t="shared" si="92"/>
        <v/>
      </c>
      <c r="EN32" s="758" t="str">
        <f t="shared" si="93"/>
        <v/>
      </c>
      <c r="EO32" s="758" t="str">
        <f t="shared" si="94"/>
        <v/>
      </c>
      <c r="EP32" s="758" t="str">
        <f t="shared" si="95"/>
        <v/>
      </c>
      <c r="EQ32" s="758" t="str">
        <f t="shared" si="96"/>
        <v/>
      </c>
      <c r="ER32" s="758" t="str">
        <f t="shared" si="97"/>
        <v/>
      </c>
      <c r="ES32" s="758" t="str">
        <f t="shared" si="98"/>
        <v/>
      </c>
      <c r="ET32" s="758" t="str">
        <f t="shared" si="99"/>
        <v/>
      </c>
      <c r="EU32" s="758" t="str">
        <f t="shared" si="100"/>
        <v/>
      </c>
      <c r="EV32" s="778" t="str">
        <f t="shared" si="101"/>
        <v/>
      </c>
      <c r="EW32" s="778" t="str">
        <f t="shared" si="102"/>
        <v/>
      </c>
      <c r="EX32" s="778" t="str">
        <f t="shared" si="103"/>
        <v/>
      </c>
      <c r="EY32" s="778" t="str">
        <f t="shared" si="104"/>
        <v/>
      </c>
      <c r="EZ32" s="778" t="str">
        <f t="shared" si="105"/>
        <v/>
      </c>
      <c r="FA32" s="778" t="str">
        <f t="shared" si="106"/>
        <v/>
      </c>
      <c r="FB32" s="778" t="str">
        <f t="shared" si="107"/>
        <v/>
      </c>
      <c r="FC32" s="778" t="str">
        <f t="shared" si="108"/>
        <v/>
      </c>
      <c r="FD32" s="778" t="str">
        <f t="shared" si="109"/>
        <v/>
      </c>
      <c r="FE32" s="778" t="str">
        <f t="shared" si="110"/>
        <v/>
      </c>
      <c r="FF32" s="778" t="str">
        <f t="shared" si="111"/>
        <v/>
      </c>
      <c r="FG32" s="778" t="str">
        <f t="shared" si="112"/>
        <v/>
      </c>
      <c r="FH32" s="778" t="str">
        <f t="shared" si="113"/>
        <v/>
      </c>
      <c r="FI32" s="778" t="str">
        <f t="shared" si="114"/>
        <v/>
      </c>
      <c r="FJ32" s="778" t="str">
        <f t="shared" si="115"/>
        <v/>
      </c>
      <c r="FK32" s="778" t="str">
        <f t="shared" si="116"/>
        <v/>
      </c>
      <c r="FL32" s="778" t="str">
        <f t="shared" si="117"/>
        <v/>
      </c>
      <c r="FM32" s="778" t="str">
        <f t="shared" si="118"/>
        <v/>
      </c>
      <c r="FN32" s="778" t="str">
        <f t="shared" si="119"/>
        <v/>
      </c>
      <c r="FO32" s="778" t="str">
        <f t="shared" si="120"/>
        <v/>
      </c>
      <c r="FP32" s="778" t="str">
        <f t="shared" si="121"/>
        <v/>
      </c>
      <c r="FQ32" s="778" t="str">
        <f t="shared" si="122"/>
        <v/>
      </c>
      <c r="FR32" s="778" t="str">
        <f t="shared" si="123"/>
        <v/>
      </c>
      <c r="FS32" s="778" t="str">
        <f t="shared" si="124"/>
        <v/>
      </c>
      <c r="FT32" s="778" t="str">
        <f t="shared" si="125"/>
        <v/>
      </c>
      <c r="FU32" s="778" t="str">
        <f t="shared" si="126"/>
        <v/>
      </c>
      <c r="FV32" s="778" t="str">
        <f t="shared" si="127"/>
        <v/>
      </c>
      <c r="FW32" s="778" t="str">
        <f t="shared" si="128"/>
        <v/>
      </c>
      <c r="FX32" s="778" t="str">
        <f t="shared" si="129"/>
        <v/>
      </c>
      <c r="FY32" s="778" t="str">
        <f t="shared" si="130"/>
        <v/>
      </c>
      <c r="FZ32" s="778" t="str">
        <f t="shared" si="131"/>
        <v/>
      </c>
      <c r="GA32" s="778" t="str">
        <f t="shared" si="132"/>
        <v/>
      </c>
      <c r="GB32" s="778" t="str">
        <f t="shared" si="133"/>
        <v/>
      </c>
      <c r="GC32" s="778" t="str">
        <f t="shared" si="134"/>
        <v/>
      </c>
      <c r="GD32" s="778" t="str">
        <f t="shared" si="135"/>
        <v/>
      </c>
      <c r="GE32" s="778" t="str">
        <f t="shared" si="136"/>
        <v/>
      </c>
      <c r="GF32" s="778" t="str">
        <f t="shared" si="137"/>
        <v/>
      </c>
      <c r="GG32" s="778" t="str">
        <f t="shared" si="138"/>
        <v/>
      </c>
      <c r="GH32" s="778" t="str">
        <f t="shared" si="139"/>
        <v/>
      </c>
      <c r="GI32" s="778" t="str">
        <f t="shared" si="140"/>
        <v/>
      </c>
      <c r="GJ32" s="778" t="str">
        <f t="shared" si="141"/>
        <v/>
      </c>
      <c r="GK32" s="778" t="str">
        <f t="shared" si="142"/>
        <v/>
      </c>
      <c r="GL32" s="778" t="str">
        <f t="shared" si="143"/>
        <v/>
      </c>
      <c r="GM32" s="778" t="str">
        <f t="shared" si="144"/>
        <v/>
      </c>
      <c r="GN32" s="778" t="str">
        <f t="shared" si="145"/>
        <v/>
      </c>
      <c r="GO32" s="779" t="str">
        <f t="shared" si="146"/>
        <v/>
      </c>
      <c r="GP32" s="779" t="str">
        <f t="shared" si="147"/>
        <v/>
      </c>
      <c r="GQ32" s="779" t="str">
        <f t="shared" si="148"/>
        <v/>
      </c>
      <c r="GR32" s="779" t="str">
        <f t="shared" si="149"/>
        <v/>
      </c>
      <c r="GS32" s="779" t="str">
        <f t="shared" si="150"/>
        <v/>
      </c>
      <c r="GT32" s="758" t="str">
        <f t="shared" si="151"/>
        <v/>
      </c>
      <c r="GU32" s="758" t="str">
        <f t="shared" si="152"/>
        <v/>
      </c>
      <c r="GV32" s="758" t="str">
        <f t="shared" si="153"/>
        <v/>
      </c>
      <c r="GW32" s="758" t="str">
        <f t="shared" si="154"/>
        <v/>
      </c>
      <c r="GX32" s="758" t="str">
        <f t="shared" si="155"/>
        <v/>
      </c>
      <c r="GY32" s="758" t="str">
        <f t="shared" si="156"/>
        <v/>
      </c>
      <c r="GZ32" s="758" t="str">
        <f t="shared" si="157"/>
        <v/>
      </c>
      <c r="HA32" s="758" t="str">
        <f t="shared" si="158"/>
        <v/>
      </c>
      <c r="HB32" s="758" t="str">
        <f t="shared" si="159"/>
        <v/>
      </c>
      <c r="HC32" s="758" t="str">
        <f t="shared" si="160"/>
        <v/>
      </c>
      <c r="HD32" s="758" t="str">
        <f t="shared" si="161"/>
        <v/>
      </c>
      <c r="HE32" s="758" t="str">
        <f t="shared" si="162"/>
        <v/>
      </c>
      <c r="HF32" s="758" t="str">
        <f t="shared" si="163"/>
        <v/>
      </c>
      <c r="HG32" s="758" t="str">
        <f t="shared" si="164"/>
        <v/>
      </c>
      <c r="HH32" s="758" t="str">
        <f t="shared" si="165"/>
        <v/>
      </c>
      <c r="HI32" s="758" t="str">
        <f t="shared" si="166"/>
        <v/>
      </c>
      <c r="HJ32" s="758" t="str">
        <f t="shared" si="167"/>
        <v/>
      </c>
      <c r="HK32" s="758" t="str">
        <f t="shared" si="168"/>
        <v/>
      </c>
      <c r="HL32" s="758" t="str">
        <f t="shared" si="169"/>
        <v/>
      </c>
      <c r="HM32" s="758" t="str">
        <f t="shared" si="170"/>
        <v/>
      </c>
    </row>
    <row r="33" spans="1:221" ht="13.35" customHeight="1">
      <c r="A33" s="148" t="str">
        <f t="shared" si="171"/>
        <v/>
      </c>
      <c r="B33" s="1515" t="s">
        <v>1533</v>
      </c>
      <c r="C33" s="1516"/>
      <c r="D33" s="1517"/>
      <c r="E33" s="1518"/>
      <c r="F33" s="1518"/>
      <c r="G33" s="1518"/>
      <c r="H33" s="1518"/>
      <c r="I33" s="1518"/>
      <c r="J33" s="1519"/>
      <c r="K33" s="225">
        <f t="shared" si="204"/>
        <v>0</v>
      </c>
      <c r="L33" s="225">
        <f t="shared" si="0"/>
        <v>0</v>
      </c>
      <c r="M33" s="1520"/>
      <c r="N33" s="1520"/>
      <c r="O33" s="1520"/>
      <c r="P33" s="674" t="str">
        <f t="shared" si="203"/>
        <v/>
      </c>
      <c r="Q33" s="675" t="str">
        <f>IF(H33="","",P33/($P$6*VLOOKUP(C33,'DCA Underwriting Assumptions'!$J$84:$K$89,2,FALSE)))</f>
        <v/>
      </c>
      <c r="R33" s="821"/>
      <c r="S33" s="675"/>
      <c r="T33" s="1455"/>
      <c r="U33" s="1456"/>
      <c r="V33" s="758" t="str">
        <f t="shared" si="1"/>
        <v/>
      </c>
      <c r="W33" s="758" t="str">
        <f t="shared" si="2"/>
        <v/>
      </c>
      <c r="X33" s="758" t="str">
        <f t="shared" si="3"/>
        <v/>
      </c>
      <c r="Y33" s="758" t="str">
        <f t="shared" si="4"/>
        <v/>
      </c>
      <c r="Z33" s="758" t="str">
        <f t="shared" si="5"/>
        <v/>
      </c>
      <c r="AA33" s="758" t="str">
        <f t="shared" si="6"/>
        <v/>
      </c>
      <c r="AB33" s="758" t="str">
        <f t="shared" si="7"/>
        <v/>
      </c>
      <c r="AC33" s="758" t="str">
        <f t="shared" si="8"/>
        <v/>
      </c>
      <c r="AD33" s="758" t="str">
        <f t="shared" si="9"/>
        <v/>
      </c>
      <c r="AE33" s="758" t="str">
        <f t="shared" si="10"/>
        <v/>
      </c>
      <c r="AF33" s="758" t="str">
        <f t="shared" si="11"/>
        <v/>
      </c>
      <c r="AG33" s="758" t="str">
        <f t="shared" si="12"/>
        <v/>
      </c>
      <c r="AH33" s="758" t="str">
        <f t="shared" si="13"/>
        <v/>
      </c>
      <c r="AI33" s="758" t="str">
        <f t="shared" si="14"/>
        <v/>
      </c>
      <c r="AJ33" s="758" t="str">
        <f t="shared" si="15"/>
        <v/>
      </c>
      <c r="AK33" s="758" t="str">
        <f t="shared" si="16"/>
        <v/>
      </c>
      <c r="AL33" s="758" t="str">
        <f t="shared" si="17"/>
        <v/>
      </c>
      <c r="AM33" s="758" t="str">
        <f t="shared" si="18"/>
        <v/>
      </c>
      <c r="AN33" s="758" t="str">
        <f t="shared" si="19"/>
        <v/>
      </c>
      <c r="AO33" s="758" t="str">
        <f t="shared" si="20"/>
        <v/>
      </c>
      <c r="AP33" s="758" t="str">
        <f t="shared" si="173"/>
        <v/>
      </c>
      <c r="AQ33" s="758" t="str">
        <f t="shared" si="174"/>
        <v/>
      </c>
      <c r="AR33" s="758" t="str">
        <f t="shared" si="175"/>
        <v/>
      </c>
      <c r="AS33" s="758" t="str">
        <f t="shared" si="176"/>
        <v/>
      </c>
      <c r="AT33" s="758" t="str">
        <f t="shared" si="177"/>
        <v/>
      </c>
      <c r="AU33" s="758" t="str">
        <f t="shared" si="178"/>
        <v/>
      </c>
      <c r="AV33" s="758" t="str">
        <f t="shared" si="179"/>
        <v/>
      </c>
      <c r="AW33" s="758" t="str">
        <f t="shared" si="180"/>
        <v/>
      </c>
      <c r="AX33" s="758" t="str">
        <f t="shared" si="181"/>
        <v/>
      </c>
      <c r="AY33" s="758" t="str">
        <f t="shared" si="182"/>
        <v/>
      </c>
      <c r="AZ33" s="758" t="str">
        <f t="shared" si="183"/>
        <v/>
      </c>
      <c r="BA33" s="758" t="str">
        <f t="shared" si="184"/>
        <v/>
      </c>
      <c r="BB33" s="758" t="str">
        <f t="shared" si="185"/>
        <v/>
      </c>
      <c r="BC33" s="758" t="str">
        <f t="shared" si="186"/>
        <v/>
      </c>
      <c r="BD33" s="758" t="str">
        <f t="shared" si="187"/>
        <v/>
      </c>
      <c r="BE33" s="758" t="str">
        <f t="shared" si="188"/>
        <v/>
      </c>
      <c r="BF33" s="758" t="str">
        <f t="shared" si="189"/>
        <v/>
      </c>
      <c r="BG33" s="758" t="str">
        <f t="shared" si="190"/>
        <v/>
      </c>
      <c r="BH33" s="758" t="str">
        <f t="shared" si="191"/>
        <v/>
      </c>
      <c r="BI33" s="758" t="str">
        <f t="shared" si="192"/>
        <v/>
      </c>
      <c r="BJ33" s="758" t="str">
        <f t="shared" si="193"/>
        <v/>
      </c>
      <c r="BK33" s="758" t="str">
        <f t="shared" si="194"/>
        <v/>
      </c>
      <c r="BL33" s="758" t="str">
        <f t="shared" si="195"/>
        <v/>
      </c>
      <c r="BM33" s="758" t="str">
        <f t="shared" si="196"/>
        <v/>
      </c>
      <c r="BN33" s="758" t="str">
        <f t="shared" si="197"/>
        <v/>
      </c>
      <c r="BO33" s="758" t="str">
        <f t="shared" si="198"/>
        <v/>
      </c>
      <c r="BP33" s="758" t="str">
        <f t="shared" si="199"/>
        <v/>
      </c>
      <c r="BQ33" s="758" t="str">
        <f t="shared" si="200"/>
        <v/>
      </c>
      <c r="BR33" s="758" t="str">
        <f t="shared" si="201"/>
        <v/>
      </c>
      <c r="BS33" s="758" t="str">
        <f t="shared" si="202"/>
        <v/>
      </c>
      <c r="BT33" s="758" t="str">
        <f t="shared" si="21"/>
        <v/>
      </c>
      <c r="BU33" s="758" t="str">
        <f t="shared" si="22"/>
        <v/>
      </c>
      <c r="BV33" s="758" t="str">
        <f t="shared" si="23"/>
        <v/>
      </c>
      <c r="BW33" s="758" t="str">
        <f t="shared" si="24"/>
        <v/>
      </c>
      <c r="BX33" s="758" t="str">
        <f t="shared" si="25"/>
        <v/>
      </c>
      <c r="BY33" s="758" t="str">
        <f t="shared" si="26"/>
        <v/>
      </c>
      <c r="BZ33" s="758" t="str">
        <f t="shared" si="27"/>
        <v/>
      </c>
      <c r="CA33" s="758" t="str">
        <f t="shared" si="28"/>
        <v/>
      </c>
      <c r="CB33" s="758" t="str">
        <f t="shared" si="29"/>
        <v/>
      </c>
      <c r="CC33" s="758" t="str">
        <f t="shared" si="30"/>
        <v/>
      </c>
      <c r="CD33" s="758" t="str">
        <f t="shared" si="31"/>
        <v/>
      </c>
      <c r="CE33" s="758" t="str">
        <f t="shared" si="32"/>
        <v/>
      </c>
      <c r="CF33" s="758" t="str">
        <f t="shared" si="33"/>
        <v/>
      </c>
      <c r="CG33" s="758" t="str">
        <f t="shared" si="34"/>
        <v/>
      </c>
      <c r="CH33" s="758" t="str">
        <f t="shared" si="35"/>
        <v/>
      </c>
      <c r="CI33" s="758" t="str">
        <f t="shared" si="36"/>
        <v/>
      </c>
      <c r="CJ33" s="758" t="str">
        <f t="shared" si="37"/>
        <v/>
      </c>
      <c r="CK33" s="758" t="str">
        <f t="shared" si="38"/>
        <v/>
      </c>
      <c r="CL33" s="758" t="str">
        <f t="shared" si="39"/>
        <v/>
      </c>
      <c r="CM33" s="758" t="str">
        <f t="shared" si="40"/>
        <v/>
      </c>
      <c r="CN33" s="758" t="str">
        <f t="shared" si="41"/>
        <v/>
      </c>
      <c r="CO33" s="758" t="str">
        <f t="shared" si="42"/>
        <v/>
      </c>
      <c r="CP33" s="758" t="str">
        <f t="shared" si="43"/>
        <v/>
      </c>
      <c r="CQ33" s="758" t="str">
        <f t="shared" si="44"/>
        <v/>
      </c>
      <c r="CR33" s="758" t="str">
        <f t="shared" si="45"/>
        <v/>
      </c>
      <c r="CS33" s="758" t="str">
        <f t="shared" si="46"/>
        <v/>
      </c>
      <c r="CT33" s="758" t="str">
        <f t="shared" si="47"/>
        <v/>
      </c>
      <c r="CU33" s="758" t="str">
        <f t="shared" si="48"/>
        <v/>
      </c>
      <c r="CV33" s="758" t="str">
        <f t="shared" si="49"/>
        <v/>
      </c>
      <c r="CW33" s="758" t="str">
        <f t="shared" si="50"/>
        <v/>
      </c>
      <c r="CX33" s="758" t="str">
        <f t="shared" si="51"/>
        <v/>
      </c>
      <c r="CY33" s="758" t="str">
        <f t="shared" si="52"/>
        <v/>
      </c>
      <c r="CZ33" s="758" t="str">
        <f t="shared" si="53"/>
        <v/>
      </c>
      <c r="DA33" s="758" t="str">
        <f t="shared" si="54"/>
        <v/>
      </c>
      <c r="DB33" s="758" t="str">
        <f t="shared" si="55"/>
        <v/>
      </c>
      <c r="DC33" s="758" t="str">
        <f t="shared" si="56"/>
        <v/>
      </c>
      <c r="DD33" s="758" t="str">
        <f t="shared" si="57"/>
        <v/>
      </c>
      <c r="DE33" s="758" t="str">
        <f t="shared" si="58"/>
        <v/>
      </c>
      <c r="DF33" s="758" t="str">
        <f t="shared" si="59"/>
        <v/>
      </c>
      <c r="DG33" s="758" t="str">
        <f t="shared" si="60"/>
        <v/>
      </c>
      <c r="DH33" s="758" t="str">
        <f t="shared" si="61"/>
        <v/>
      </c>
      <c r="DI33" s="758" t="str">
        <f t="shared" si="62"/>
        <v/>
      </c>
      <c r="DJ33" s="758" t="str">
        <f t="shared" si="63"/>
        <v/>
      </c>
      <c r="DK33" s="758" t="str">
        <f t="shared" si="64"/>
        <v/>
      </c>
      <c r="DL33" s="758" t="str">
        <f t="shared" si="65"/>
        <v/>
      </c>
      <c r="DM33" s="758" t="str">
        <f t="shared" si="66"/>
        <v/>
      </c>
      <c r="DN33" s="758" t="str">
        <f t="shared" si="67"/>
        <v/>
      </c>
      <c r="DO33" s="758" t="str">
        <f t="shared" si="68"/>
        <v/>
      </c>
      <c r="DP33" s="758" t="str">
        <f t="shared" si="69"/>
        <v/>
      </c>
      <c r="DQ33" s="758" t="str">
        <f t="shared" si="70"/>
        <v/>
      </c>
      <c r="DR33" s="758" t="str">
        <f t="shared" si="71"/>
        <v/>
      </c>
      <c r="DS33" s="758" t="str">
        <f t="shared" si="72"/>
        <v/>
      </c>
      <c r="DT33" s="758" t="str">
        <f t="shared" si="73"/>
        <v/>
      </c>
      <c r="DU33" s="758" t="str">
        <f t="shared" si="74"/>
        <v/>
      </c>
      <c r="DV33" s="758" t="str">
        <f t="shared" si="75"/>
        <v/>
      </c>
      <c r="DW33" s="758" t="str">
        <f t="shared" si="76"/>
        <v/>
      </c>
      <c r="DX33" s="758" t="str">
        <f t="shared" si="77"/>
        <v/>
      </c>
      <c r="DY33" s="758" t="str">
        <f t="shared" si="78"/>
        <v/>
      </c>
      <c r="DZ33" s="758" t="str">
        <f t="shared" si="79"/>
        <v/>
      </c>
      <c r="EA33" s="758" t="str">
        <f t="shared" si="80"/>
        <v/>
      </c>
      <c r="EB33" s="758" t="str">
        <f t="shared" si="81"/>
        <v/>
      </c>
      <c r="EC33" s="758" t="str">
        <f t="shared" si="82"/>
        <v/>
      </c>
      <c r="ED33" s="758" t="str">
        <f t="shared" si="83"/>
        <v/>
      </c>
      <c r="EE33" s="758" t="str">
        <f t="shared" si="84"/>
        <v/>
      </c>
      <c r="EF33" s="758" t="str">
        <f t="shared" si="85"/>
        <v/>
      </c>
      <c r="EG33" s="758" t="str">
        <f t="shared" si="86"/>
        <v/>
      </c>
      <c r="EH33" s="758" t="str">
        <f t="shared" si="87"/>
        <v/>
      </c>
      <c r="EI33" s="758" t="str">
        <f t="shared" si="88"/>
        <v/>
      </c>
      <c r="EJ33" s="758" t="str">
        <f t="shared" si="89"/>
        <v/>
      </c>
      <c r="EK33" s="758" t="str">
        <f t="shared" si="90"/>
        <v/>
      </c>
      <c r="EL33" s="758" t="str">
        <f t="shared" si="91"/>
        <v/>
      </c>
      <c r="EM33" s="758" t="str">
        <f t="shared" si="92"/>
        <v/>
      </c>
      <c r="EN33" s="758" t="str">
        <f t="shared" si="93"/>
        <v/>
      </c>
      <c r="EO33" s="758" t="str">
        <f t="shared" si="94"/>
        <v/>
      </c>
      <c r="EP33" s="758" t="str">
        <f t="shared" si="95"/>
        <v/>
      </c>
      <c r="EQ33" s="758" t="str">
        <f t="shared" si="96"/>
        <v/>
      </c>
      <c r="ER33" s="758" t="str">
        <f t="shared" si="97"/>
        <v/>
      </c>
      <c r="ES33" s="758" t="str">
        <f t="shared" si="98"/>
        <v/>
      </c>
      <c r="ET33" s="758" t="str">
        <f t="shared" si="99"/>
        <v/>
      </c>
      <c r="EU33" s="758" t="str">
        <f t="shared" si="100"/>
        <v/>
      </c>
      <c r="EV33" s="778" t="str">
        <f t="shared" si="101"/>
        <v/>
      </c>
      <c r="EW33" s="778" t="str">
        <f t="shared" si="102"/>
        <v/>
      </c>
      <c r="EX33" s="778" t="str">
        <f t="shared" si="103"/>
        <v/>
      </c>
      <c r="EY33" s="778" t="str">
        <f t="shared" si="104"/>
        <v/>
      </c>
      <c r="EZ33" s="778" t="str">
        <f t="shared" si="105"/>
        <v/>
      </c>
      <c r="FA33" s="778" t="str">
        <f t="shared" si="106"/>
        <v/>
      </c>
      <c r="FB33" s="778" t="str">
        <f t="shared" si="107"/>
        <v/>
      </c>
      <c r="FC33" s="778" t="str">
        <f t="shared" si="108"/>
        <v/>
      </c>
      <c r="FD33" s="778" t="str">
        <f t="shared" si="109"/>
        <v/>
      </c>
      <c r="FE33" s="778" t="str">
        <f t="shared" si="110"/>
        <v/>
      </c>
      <c r="FF33" s="778" t="str">
        <f t="shared" si="111"/>
        <v/>
      </c>
      <c r="FG33" s="778" t="str">
        <f t="shared" si="112"/>
        <v/>
      </c>
      <c r="FH33" s="778" t="str">
        <f t="shared" si="113"/>
        <v/>
      </c>
      <c r="FI33" s="778" t="str">
        <f t="shared" si="114"/>
        <v/>
      </c>
      <c r="FJ33" s="778" t="str">
        <f t="shared" si="115"/>
        <v/>
      </c>
      <c r="FK33" s="778" t="str">
        <f t="shared" si="116"/>
        <v/>
      </c>
      <c r="FL33" s="778" t="str">
        <f t="shared" si="117"/>
        <v/>
      </c>
      <c r="FM33" s="778" t="str">
        <f t="shared" si="118"/>
        <v/>
      </c>
      <c r="FN33" s="778" t="str">
        <f t="shared" si="119"/>
        <v/>
      </c>
      <c r="FO33" s="778" t="str">
        <f t="shared" si="120"/>
        <v/>
      </c>
      <c r="FP33" s="778" t="str">
        <f t="shared" si="121"/>
        <v/>
      </c>
      <c r="FQ33" s="778" t="str">
        <f t="shared" si="122"/>
        <v/>
      </c>
      <c r="FR33" s="778" t="str">
        <f t="shared" si="123"/>
        <v/>
      </c>
      <c r="FS33" s="778" t="str">
        <f t="shared" si="124"/>
        <v/>
      </c>
      <c r="FT33" s="778" t="str">
        <f t="shared" si="125"/>
        <v/>
      </c>
      <c r="FU33" s="778" t="str">
        <f t="shared" si="126"/>
        <v/>
      </c>
      <c r="FV33" s="778" t="str">
        <f t="shared" si="127"/>
        <v/>
      </c>
      <c r="FW33" s="778" t="str">
        <f t="shared" si="128"/>
        <v/>
      </c>
      <c r="FX33" s="778" t="str">
        <f t="shared" si="129"/>
        <v/>
      </c>
      <c r="FY33" s="778" t="str">
        <f t="shared" si="130"/>
        <v/>
      </c>
      <c r="FZ33" s="778" t="str">
        <f t="shared" si="131"/>
        <v/>
      </c>
      <c r="GA33" s="778" t="str">
        <f t="shared" si="132"/>
        <v/>
      </c>
      <c r="GB33" s="778" t="str">
        <f t="shared" si="133"/>
        <v/>
      </c>
      <c r="GC33" s="778" t="str">
        <f t="shared" si="134"/>
        <v/>
      </c>
      <c r="GD33" s="778" t="str">
        <f t="shared" si="135"/>
        <v/>
      </c>
      <c r="GE33" s="778" t="str">
        <f t="shared" si="136"/>
        <v/>
      </c>
      <c r="GF33" s="778" t="str">
        <f t="shared" si="137"/>
        <v/>
      </c>
      <c r="GG33" s="778" t="str">
        <f t="shared" si="138"/>
        <v/>
      </c>
      <c r="GH33" s="778" t="str">
        <f t="shared" si="139"/>
        <v/>
      </c>
      <c r="GI33" s="778" t="str">
        <f t="shared" si="140"/>
        <v/>
      </c>
      <c r="GJ33" s="778" t="str">
        <f t="shared" si="141"/>
        <v/>
      </c>
      <c r="GK33" s="778" t="str">
        <f t="shared" si="142"/>
        <v/>
      </c>
      <c r="GL33" s="778" t="str">
        <f t="shared" si="143"/>
        <v/>
      </c>
      <c r="GM33" s="778" t="str">
        <f t="shared" si="144"/>
        <v/>
      </c>
      <c r="GN33" s="778" t="str">
        <f t="shared" si="145"/>
        <v/>
      </c>
      <c r="GO33" s="779" t="str">
        <f t="shared" si="146"/>
        <v/>
      </c>
      <c r="GP33" s="779" t="str">
        <f t="shared" si="147"/>
        <v/>
      </c>
      <c r="GQ33" s="779" t="str">
        <f t="shared" si="148"/>
        <v/>
      </c>
      <c r="GR33" s="779" t="str">
        <f t="shared" si="149"/>
        <v/>
      </c>
      <c r="GS33" s="779" t="str">
        <f t="shared" si="150"/>
        <v/>
      </c>
      <c r="GT33" s="758" t="str">
        <f t="shared" si="151"/>
        <v/>
      </c>
      <c r="GU33" s="758" t="str">
        <f t="shared" si="152"/>
        <v/>
      </c>
      <c r="GV33" s="758" t="str">
        <f t="shared" si="153"/>
        <v/>
      </c>
      <c r="GW33" s="758" t="str">
        <f t="shared" si="154"/>
        <v/>
      </c>
      <c r="GX33" s="758" t="str">
        <f t="shared" si="155"/>
        <v/>
      </c>
      <c r="GY33" s="758" t="str">
        <f t="shared" si="156"/>
        <v/>
      </c>
      <c r="GZ33" s="758" t="str">
        <f t="shared" si="157"/>
        <v/>
      </c>
      <c r="HA33" s="758" t="str">
        <f t="shared" si="158"/>
        <v/>
      </c>
      <c r="HB33" s="758" t="str">
        <f t="shared" si="159"/>
        <v/>
      </c>
      <c r="HC33" s="758" t="str">
        <f t="shared" si="160"/>
        <v/>
      </c>
      <c r="HD33" s="758" t="str">
        <f t="shared" si="161"/>
        <v/>
      </c>
      <c r="HE33" s="758" t="str">
        <f t="shared" si="162"/>
        <v/>
      </c>
      <c r="HF33" s="758" t="str">
        <f t="shared" si="163"/>
        <v/>
      </c>
      <c r="HG33" s="758" t="str">
        <f t="shared" si="164"/>
        <v/>
      </c>
      <c r="HH33" s="758" t="str">
        <f t="shared" si="165"/>
        <v/>
      </c>
      <c r="HI33" s="758" t="str">
        <f t="shared" si="166"/>
        <v/>
      </c>
      <c r="HJ33" s="758" t="str">
        <f t="shared" si="167"/>
        <v/>
      </c>
      <c r="HK33" s="758" t="str">
        <f t="shared" si="168"/>
        <v/>
      </c>
      <c r="HL33" s="758" t="str">
        <f t="shared" si="169"/>
        <v/>
      </c>
      <c r="HM33" s="758" t="str">
        <f t="shared" si="170"/>
        <v/>
      </c>
    </row>
    <row r="34" spans="1:221" ht="13.35" customHeight="1">
      <c r="A34" s="148" t="str">
        <f t="shared" si="171"/>
        <v/>
      </c>
      <c r="B34" s="1515" t="s">
        <v>1533</v>
      </c>
      <c r="C34" s="1516"/>
      <c r="D34" s="1517"/>
      <c r="E34" s="1518"/>
      <c r="F34" s="1518"/>
      <c r="G34" s="1518"/>
      <c r="H34" s="1518"/>
      <c r="I34" s="1518"/>
      <c r="J34" s="1519"/>
      <c r="K34" s="225">
        <f t="shared" si="204"/>
        <v>0</v>
      </c>
      <c r="L34" s="225">
        <f t="shared" si="0"/>
        <v>0</v>
      </c>
      <c r="M34" s="1520"/>
      <c r="N34" s="1520"/>
      <c r="O34" s="1520"/>
      <c r="P34" s="674" t="str">
        <f t="shared" si="203"/>
        <v/>
      </c>
      <c r="Q34" s="675" t="str">
        <f>IF(H34="","",P34/($P$6*VLOOKUP(C34,'DCA Underwriting Assumptions'!$J$84:$K$89,2,FALSE)))</f>
        <v/>
      </c>
      <c r="R34" s="821"/>
      <c r="S34" s="675"/>
      <c r="T34" s="1455"/>
      <c r="U34" s="1456"/>
      <c r="V34" s="758" t="str">
        <f t="shared" si="1"/>
        <v/>
      </c>
      <c r="W34" s="758" t="str">
        <f t="shared" si="2"/>
        <v/>
      </c>
      <c r="X34" s="758" t="str">
        <f t="shared" si="3"/>
        <v/>
      </c>
      <c r="Y34" s="758" t="str">
        <f t="shared" si="4"/>
        <v/>
      </c>
      <c r="Z34" s="758" t="str">
        <f t="shared" si="5"/>
        <v/>
      </c>
      <c r="AA34" s="758" t="str">
        <f t="shared" si="6"/>
        <v/>
      </c>
      <c r="AB34" s="758" t="str">
        <f t="shared" si="7"/>
        <v/>
      </c>
      <c r="AC34" s="758" t="str">
        <f t="shared" si="8"/>
        <v/>
      </c>
      <c r="AD34" s="758" t="str">
        <f t="shared" si="9"/>
        <v/>
      </c>
      <c r="AE34" s="758" t="str">
        <f t="shared" si="10"/>
        <v/>
      </c>
      <c r="AF34" s="758" t="str">
        <f t="shared" si="11"/>
        <v/>
      </c>
      <c r="AG34" s="758" t="str">
        <f t="shared" si="12"/>
        <v/>
      </c>
      <c r="AH34" s="758" t="str">
        <f t="shared" si="13"/>
        <v/>
      </c>
      <c r="AI34" s="758" t="str">
        <f t="shared" si="14"/>
        <v/>
      </c>
      <c r="AJ34" s="758" t="str">
        <f t="shared" si="15"/>
        <v/>
      </c>
      <c r="AK34" s="758" t="str">
        <f t="shared" si="16"/>
        <v/>
      </c>
      <c r="AL34" s="758" t="str">
        <f t="shared" si="17"/>
        <v/>
      </c>
      <c r="AM34" s="758" t="str">
        <f t="shared" si="18"/>
        <v/>
      </c>
      <c r="AN34" s="758" t="str">
        <f t="shared" si="19"/>
        <v/>
      </c>
      <c r="AO34" s="758" t="str">
        <f t="shared" si="20"/>
        <v/>
      </c>
      <c r="AP34" s="758" t="str">
        <f t="shared" si="173"/>
        <v/>
      </c>
      <c r="AQ34" s="758" t="str">
        <f t="shared" si="174"/>
        <v/>
      </c>
      <c r="AR34" s="758" t="str">
        <f t="shared" si="175"/>
        <v/>
      </c>
      <c r="AS34" s="758" t="str">
        <f t="shared" si="176"/>
        <v/>
      </c>
      <c r="AT34" s="758" t="str">
        <f t="shared" si="177"/>
        <v/>
      </c>
      <c r="AU34" s="758" t="str">
        <f t="shared" si="178"/>
        <v/>
      </c>
      <c r="AV34" s="758" t="str">
        <f t="shared" si="179"/>
        <v/>
      </c>
      <c r="AW34" s="758" t="str">
        <f t="shared" si="180"/>
        <v/>
      </c>
      <c r="AX34" s="758" t="str">
        <f t="shared" si="181"/>
        <v/>
      </c>
      <c r="AY34" s="758" t="str">
        <f t="shared" si="182"/>
        <v/>
      </c>
      <c r="AZ34" s="758" t="str">
        <f t="shared" si="183"/>
        <v/>
      </c>
      <c r="BA34" s="758" t="str">
        <f t="shared" si="184"/>
        <v/>
      </c>
      <c r="BB34" s="758" t="str">
        <f t="shared" si="185"/>
        <v/>
      </c>
      <c r="BC34" s="758" t="str">
        <f t="shared" si="186"/>
        <v/>
      </c>
      <c r="BD34" s="758" t="str">
        <f t="shared" si="187"/>
        <v/>
      </c>
      <c r="BE34" s="758" t="str">
        <f t="shared" si="188"/>
        <v/>
      </c>
      <c r="BF34" s="758" t="str">
        <f t="shared" si="189"/>
        <v/>
      </c>
      <c r="BG34" s="758" t="str">
        <f t="shared" si="190"/>
        <v/>
      </c>
      <c r="BH34" s="758" t="str">
        <f t="shared" si="191"/>
        <v/>
      </c>
      <c r="BI34" s="758" t="str">
        <f t="shared" si="192"/>
        <v/>
      </c>
      <c r="BJ34" s="758" t="str">
        <f t="shared" si="193"/>
        <v/>
      </c>
      <c r="BK34" s="758" t="str">
        <f t="shared" si="194"/>
        <v/>
      </c>
      <c r="BL34" s="758" t="str">
        <f t="shared" si="195"/>
        <v/>
      </c>
      <c r="BM34" s="758" t="str">
        <f t="shared" si="196"/>
        <v/>
      </c>
      <c r="BN34" s="758" t="str">
        <f t="shared" si="197"/>
        <v/>
      </c>
      <c r="BO34" s="758" t="str">
        <f t="shared" si="198"/>
        <v/>
      </c>
      <c r="BP34" s="758" t="str">
        <f t="shared" si="199"/>
        <v/>
      </c>
      <c r="BQ34" s="758" t="str">
        <f t="shared" si="200"/>
        <v/>
      </c>
      <c r="BR34" s="758" t="str">
        <f t="shared" si="201"/>
        <v/>
      </c>
      <c r="BS34" s="758" t="str">
        <f t="shared" si="202"/>
        <v/>
      </c>
      <c r="BT34" s="758" t="str">
        <f t="shared" si="21"/>
        <v/>
      </c>
      <c r="BU34" s="758" t="str">
        <f t="shared" si="22"/>
        <v/>
      </c>
      <c r="BV34" s="758" t="str">
        <f t="shared" si="23"/>
        <v/>
      </c>
      <c r="BW34" s="758" t="str">
        <f t="shared" si="24"/>
        <v/>
      </c>
      <c r="BX34" s="758" t="str">
        <f t="shared" si="25"/>
        <v/>
      </c>
      <c r="BY34" s="758" t="str">
        <f t="shared" si="26"/>
        <v/>
      </c>
      <c r="BZ34" s="758" t="str">
        <f t="shared" si="27"/>
        <v/>
      </c>
      <c r="CA34" s="758" t="str">
        <f t="shared" si="28"/>
        <v/>
      </c>
      <c r="CB34" s="758" t="str">
        <f t="shared" si="29"/>
        <v/>
      </c>
      <c r="CC34" s="758" t="str">
        <f t="shared" si="30"/>
        <v/>
      </c>
      <c r="CD34" s="758" t="str">
        <f t="shared" si="31"/>
        <v/>
      </c>
      <c r="CE34" s="758" t="str">
        <f t="shared" si="32"/>
        <v/>
      </c>
      <c r="CF34" s="758" t="str">
        <f t="shared" si="33"/>
        <v/>
      </c>
      <c r="CG34" s="758" t="str">
        <f t="shared" si="34"/>
        <v/>
      </c>
      <c r="CH34" s="758" t="str">
        <f t="shared" si="35"/>
        <v/>
      </c>
      <c r="CI34" s="758" t="str">
        <f t="shared" si="36"/>
        <v/>
      </c>
      <c r="CJ34" s="758" t="str">
        <f t="shared" si="37"/>
        <v/>
      </c>
      <c r="CK34" s="758" t="str">
        <f t="shared" si="38"/>
        <v/>
      </c>
      <c r="CL34" s="758" t="str">
        <f t="shared" si="39"/>
        <v/>
      </c>
      <c r="CM34" s="758" t="str">
        <f t="shared" si="40"/>
        <v/>
      </c>
      <c r="CN34" s="758" t="str">
        <f t="shared" si="41"/>
        <v/>
      </c>
      <c r="CO34" s="758" t="str">
        <f t="shared" si="42"/>
        <v/>
      </c>
      <c r="CP34" s="758" t="str">
        <f t="shared" si="43"/>
        <v/>
      </c>
      <c r="CQ34" s="758" t="str">
        <f t="shared" si="44"/>
        <v/>
      </c>
      <c r="CR34" s="758" t="str">
        <f t="shared" si="45"/>
        <v/>
      </c>
      <c r="CS34" s="758" t="str">
        <f t="shared" si="46"/>
        <v/>
      </c>
      <c r="CT34" s="758" t="str">
        <f t="shared" si="47"/>
        <v/>
      </c>
      <c r="CU34" s="758" t="str">
        <f t="shared" si="48"/>
        <v/>
      </c>
      <c r="CV34" s="758" t="str">
        <f t="shared" si="49"/>
        <v/>
      </c>
      <c r="CW34" s="758" t="str">
        <f t="shared" si="50"/>
        <v/>
      </c>
      <c r="CX34" s="758" t="str">
        <f t="shared" si="51"/>
        <v/>
      </c>
      <c r="CY34" s="758" t="str">
        <f t="shared" si="52"/>
        <v/>
      </c>
      <c r="CZ34" s="758" t="str">
        <f t="shared" si="53"/>
        <v/>
      </c>
      <c r="DA34" s="758" t="str">
        <f t="shared" si="54"/>
        <v/>
      </c>
      <c r="DB34" s="758" t="str">
        <f t="shared" si="55"/>
        <v/>
      </c>
      <c r="DC34" s="758" t="str">
        <f t="shared" si="56"/>
        <v/>
      </c>
      <c r="DD34" s="758" t="str">
        <f t="shared" si="57"/>
        <v/>
      </c>
      <c r="DE34" s="758" t="str">
        <f t="shared" si="58"/>
        <v/>
      </c>
      <c r="DF34" s="758" t="str">
        <f t="shared" si="59"/>
        <v/>
      </c>
      <c r="DG34" s="758" t="str">
        <f t="shared" si="60"/>
        <v/>
      </c>
      <c r="DH34" s="758" t="str">
        <f t="shared" si="61"/>
        <v/>
      </c>
      <c r="DI34" s="758" t="str">
        <f t="shared" si="62"/>
        <v/>
      </c>
      <c r="DJ34" s="758" t="str">
        <f t="shared" si="63"/>
        <v/>
      </c>
      <c r="DK34" s="758" t="str">
        <f t="shared" si="64"/>
        <v/>
      </c>
      <c r="DL34" s="758" t="str">
        <f t="shared" si="65"/>
        <v/>
      </c>
      <c r="DM34" s="758" t="str">
        <f t="shared" si="66"/>
        <v/>
      </c>
      <c r="DN34" s="758" t="str">
        <f t="shared" si="67"/>
        <v/>
      </c>
      <c r="DO34" s="758" t="str">
        <f t="shared" si="68"/>
        <v/>
      </c>
      <c r="DP34" s="758" t="str">
        <f t="shared" si="69"/>
        <v/>
      </c>
      <c r="DQ34" s="758" t="str">
        <f t="shared" si="70"/>
        <v/>
      </c>
      <c r="DR34" s="758" t="str">
        <f t="shared" si="71"/>
        <v/>
      </c>
      <c r="DS34" s="758" t="str">
        <f t="shared" si="72"/>
        <v/>
      </c>
      <c r="DT34" s="758" t="str">
        <f t="shared" si="73"/>
        <v/>
      </c>
      <c r="DU34" s="758" t="str">
        <f t="shared" si="74"/>
        <v/>
      </c>
      <c r="DV34" s="758" t="str">
        <f t="shared" si="75"/>
        <v/>
      </c>
      <c r="DW34" s="758" t="str">
        <f t="shared" si="76"/>
        <v/>
      </c>
      <c r="DX34" s="758" t="str">
        <f t="shared" si="77"/>
        <v/>
      </c>
      <c r="DY34" s="758" t="str">
        <f t="shared" si="78"/>
        <v/>
      </c>
      <c r="DZ34" s="758" t="str">
        <f t="shared" si="79"/>
        <v/>
      </c>
      <c r="EA34" s="758" t="str">
        <f t="shared" si="80"/>
        <v/>
      </c>
      <c r="EB34" s="758" t="str">
        <f t="shared" si="81"/>
        <v/>
      </c>
      <c r="EC34" s="758" t="str">
        <f t="shared" si="82"/>
        <v/>
      </c>
      <c r="ED34" s="758" t="str">
        <f t="shared" si="83"/>
        <v/>
      </c>
      <c r="EE34" s="758" t="str">
        <f t="shared" si="84"/>
        <v/>
      </c>
      <c r="EF34" s="758" t="str">
        <f t="shared" si="85"/>
        <v/>
      </c>
      <c r="EG34" s="758" t="str">
        <f t="shared" si="86"/>
        <v/>
      </c>
      <c r="EH34" s="758" t="str">
        <f t="shared" si="87"/>
        <v/>
      </c>
      <c r="EI34" s="758" t="str">
        <f t="shared" si="88"/>
        <v/>
      </c>
      <c r="EJ34" s="758" t="str">
        <f t="shared" si="89"/>
        <v/>
      </c>
      <c r="EK34" s="758" t="str">
        <f t="shared" si="90"/>
        <v/>
      </c>
      <c r="EL34" s="758" t="str">
        <f t="shared" si="91"/>
        <v/>
      </c>
      <c r="EM34" s="758" t="str">
        <f t="shared" si="92"/>
        <v/>
      </c>
      <c r="EN34" s="758" t="str">
        <f t="shared" si="93"/>
        <v/>
      </c>
      <c r="EO34" s="758" t="str">
        <f t="shared" si="94"/>
        <v/>
      </c>
      <c r="EP34" s="758" t="str">
        <f t="shared" si="95"/>
        <v/>
      </c>
      <c r="EQ34" s="758" t="str">
        <f t="shared" si="96"/>
        <v/>
      </c>
      <c r="ER34" s="758" t="str">
        <f t="shared" si="97"/>
        <v/>
      </c>
      <c r="ES34" s="758" t="str">
        <f t="shared" si="98"/>
        <v/>
      </c>
      <c r="ET34" s="758" t="str">
        <f t="shared" si="99"/>
        <v/>
      </c>
      <c r="EU34" s="758" t="str">
        <f t="shared" si="100"/>
        <v/>
      </c>
      <c r="EV34" s="778" t="str">
        <f t="shared" si="101"/>
        <v/>
      </c>
      <c r="EW34" s="778" t="str">
        <f t="shared" si="102"/>
        <v/>
      </c>
      <c r="EX34" s="778" t="str">
        <f t="shared" si="103"/>
        <v/>
      </c>
      <c r="EY34" s="778" t="str">
        <f t="shared" si="104"/>
        <v/>
      </c>
      <c r="EZ34" s="778" t="str">
        <f t="shared" si="105"/>
        <v/>
      </c>
      <c r="FA34" s="778" t="str">
        <f t="shared" si="106"/>
        <v/>
      </c>
      <c r="FB34" s="778" t="str">
        <f t="shared" si="107"/>
        <v/>
      </c>
      <c r="FC34" s="778" t="str">
        <f t="shared" si="108"/>
        <v/>
      </c>
      <c r="FD34" s="778" t="str">
        <f t="shared" si="109"/>
        <v/>
      </c>
      <c r="FE34" s="778" t="str">
        <f t="shared" si="110"/>
        <v/>
      </c>
      <c r="FF34" s="778" t="str">
        <f t="shared" si="111"/>
        <v/>
      </c>
      <c r="FG34" s="778" t="str">
        <f t="shared" si="112"/>
        <v/>
      </c>
      <c r="FH34" s="778" t="str">
        <f t="shared" si="113"/>
        <v/>
      </c>
      <c r="FI34" s="778" t="str">
        <f t="shared" si="114"/>
        <v/>
      </c>
      <c r="FJ34" s="778" t="str">
        <f t="shared" si="115"/>
        <v/>
      </c>
      <c r="FK34" s="778" t="str">
        <f t="shared" si="116"/>
        <v/>
      </c>
      <c r="FL34" s="778" t="str">
        <f t="shared" si="117"/>
        <v/>
      </c>
      <c r="FM34" s="778" t="str">
        <f t="shared" si="118"/>
        <v/>
      </c>
      <c r="FN34" s="778" t="str">
        <f t="shared" si="119"/>
        <v/>
      </c>
      <c r="FO34" s="778" t="str">
        <f t="shared" si="120"/>
        <v/>
      </c>
      <c r="FP34" s="778" t="str">
        <f t="shared" si="121"/>
        <v/>
      </c>
      <c r="FQ34" s="778" t="str">
        <f t="shared" si="122"/>
        <v/>
      </c>
      <c r="FR34" s="778" t="str">
        <f t="shared" si="123"/>
        <v/>
      </c>
      <c r="FS34" s="778" t="str">
        <f t="shared" si="124"/>
        <v/>
      </c>
      <c r="FT34" s="778" t="str">
        <f t="shared" si="125"/>
        <v/>
      </c>
      <c r="FU34" s="778" t="str">
        <f t="shared" si="126"/>
        <v/>
      </c>
      <c r="FV34" s="778" t="str">
        <f t="shared" si="127"/>
        <v/>
      </c>
      <c r="FW34" s="778" t="str">
        <f t="shared" si="128"/>
        <v/>
      </c>
      <c r="FX34" s="778" t="str">
        <f t="shared" si="129"/>
        <v/>
      </c>
      <c r="FY34" s="778" t="str">
        <f t="shared" si="130"/>
        <v/>
      </c>
      <c r="FZ34" s="778" t="str">
        <f t="shared" si="131"/>
        <v/>
      </c>
      <c r="GA34" s="778" t="str">
        <f t="shared" si="132"/>
        <v/>
      </c>
      <c r="GB34" s="778" t="str">
        <f t="shared" si="133"/>
        <v/>
      </c>
      <c r="GC34" s="778" t="str">
        <f t="shared" si="134"/>
        <v/>
      </c>
      <c r="GD34" s="778" t="str">
        <f t="shared" si="135"/>
        <v/>
      </c>
      <c r="GE34" s="778" t="str">
        <f t="shared" si="136"/>
        <v/>
      </c>
      <c r="GF34" s="778" t="str">
        <f t="shared" si="137"/>
        <v/>
      </c>
      <c r="GG34" s="778" t="str">
        <f t="shared" si="138"/>
        <v/>
      </c>
      <c r="GH34" s="778" t="str">
        <f t="shared" si="139"/>
        <v/>
      </c>
      <c r="GI34" s="778" t="str">
        <f t="shared" si="140"/>
        <v/>
      </c>
      <c r="GJ34" s="778" t="str">
        <f t="shared" si="141"/>
        <v/>
      </c>
      <c r="GK34" s="778" t="str">
        <f t="shared" si="142"/>
        <v/>
      </c>
      <c r="GL34" s="778" t="str">
        <f t="shared" si="143"/>
        <v/>
      </c>
      <c r="GM34" s="778" t="str">
        <f t="shared" si="144"/>
        <v/>
      </c>
      <c r="GN34" s="778" t="str">
        <f t="shared" si="145"/>
        <v/>
      </c>
      <c r="GO34" s="779" t="str">
        <f t="shared" si="146"/>
        <v/>
      </c>
      <c r="GP34" s="779" t="str">
        <f t="shared" si="147"/>
        <v/>
      </c>
      <c r="GQ34" s="779" t="str">
        <f t="shared" si="148"/>
        <v/>
      </c>
      <c r="GR34" s="779" t="str">
        <f t="shared" si="149"/>
        <v/>
      </c>
      <c r="GS34" s="779" t="str">
        <f t="shared" si="150"/>
        <v/>
      </c>
      <c r="GT34" s="758" t="str">
        <f t="shared" si="151"/>
        <v/>
      </c>
      <c r="GU34" s="758" t="str">
        <f t="shared" si="152"/>
        <v/>
      </c>
      <c r="GV34" s="758" t="str">
        <f t="shared" si="153"/>
        <v/>
      </c>
      <c r="GW34" s="758" t="str">
        <f t="shared" si="154"/>
        <v/>
      </c>
      <c r="GX34" s="758" t="str">
        <f t="shared" si="155"/>
        <v/>
      </c>
      <c r="GY34" s="758" t="str">
        <f t="shared" si="156"/>
        <v/>
      </c>
      <c r="GZ34" s="758" t="str">
        <f t="shared" si="157"/>
        <v/>
      </c>
      <c r="HA34" s="758" t="str">
        <f t="shared" si="158"/>
        <v/>
      </c>
      <c r="HB34" s="758" t="str">
        <f t="shared" si="159"/>
        <v/>
      </c>
      <c r="HC34" s="758" t="str">
        <f t="shared" si="160"/>
        <v/>
      </c>
      <c r="HD34" s="758" t="str">
        <f t="shared" si="161"/>
        <v/>
      </c>
      <c r="HE34" s="758" t="str">
        <f t="shared" si="162"/>
        <v/>
      </c>
      <c r="HF34" s="758" t="str">
        <f t="shared" si="163"/>
        <v/>
      </c>
      <c r="HG34" s="758" t="str">
        <f t="shared" si="164"/>
        <v/>
      </c>
      <c r="HH34" s="758" t="str">
        <f t="shared" si="165"/>
        <v/>
      </c>
      <c r="HI34" s="758" t="str">
        <f t="shared" si="166"/>
        <v/>
      </c>
      <c r="HJ34" s="758" t="str">
        <f t="shared" si="167"/>
        <v/>
      </c>
      <c r="HK34" s="758" t="str">
        <f t="shared" si="168"/>
        <v/>
      </c>
      <c r="HL34" s="758" t="str">
        <f t="shared" si="169"/>
        <v/>
      </c>
      <c r="HM34" s="758" t="str">
        <f t="shared" si="170"/>
        <v/>
      </c>
    </row>
    <row r="35" spans="1:221" ht="13.35" customHeight="1">
      <c r="A35" s="148" t="str">
        <f t="shared" si="171"/>
        <v/>
      </c>
      <c r="B35" s="1515" t="s">
        <v>1533</v>
      </c>
      <c r="C35" s="1516"/>
      <c r="D35" s="1517"/>
      <c r="E35" s="1518"/>
      <c r="F35" s="1518"/>
      <c r="G35" s="1518"/>
      <c r="H35" s="1518"/>
      <c r="I35" s="1518"/>
      <c r="J35" s="1519"/>
      <c r="K35" s="225">
        <f t="shared" si="204"/>
        <v>0</v>
      </c>
      <c r="L35" s="225">
        <f t="shared" si="0"/>
        <v>0</v>
      </c>
      <c r="M35" s="1520"/>
      <c r="N35" s="1520"/>
      <c r="O35" s="1520"/>
      <c r="P35" s="674" t="str">
        <f t="shared" si="203"/>
        <v/>
      </c>
      <c r="Q35" s="675" t="str">
        <f>IF(H35="","",P35/($P$6*VLOOKUP(C35,'DCA Underwriting Assumptions'!$J$84:$K$89,2,FALSE)))</f>
        <v/>
      </c>
      <c r="R35" s="821"/>
      <c r="S35" s="675"/>
      <c r="T35" s="1455"/>
      <c r="U35" s="1456"/>
      <c r="V35" s="758" t="str">
        <f t="shared" si="1"/>
        <v/>
      </c>
      <c r="W35" s="758" t="str">
        <f t="shared" si="2"/>
        <v/>
      </c>
      <c r="X35" s="758" t="str">
        <f t="shared" si="3"/>
        <v/>
      </c>
      <c r="Y35" s="758" t="str">
        <f t="shared" si="4"/>
        <v/>
      </c>
      <c r="Z35" s="758" t="str">
        <f t="shared" si="5"/>
        <v/>
      </c>
      <c r="AA35" s="758" t="str">
        <f t="shared" si="6"/>
        <v/>
      </c>
      <c r="AB35" s="758" t="str">
        <f t="shared" si="7"/>
        <v/>
      </c>
      <c r="AC35" s="758" t="str">
        <f t="shared" si="8"/>
        <v/>
      </c>
      <c r="AD35" s="758" t="str">
        <f t="shared" si="9"/>
        <v/>
      </c>
      <c r="AE35" s="758" t="str">
        <f t="shared" si="10"/>
        <v/>
      </c>
      <c r="AF35" s="758" t="str">
        <f t="shared" si="11"/>
        <v/>
      </c>
      <c r="AG35" s="758" t="str">
        <f t="shared" si="12"/>
        <v/>
      </c>
      <c r="AH35" s="758" t="str">
        <f t="shared" si="13"/>
        <v/>
      </c>
      <c r="AI35" s="758" t="str">
        <f t="shared" si="14"/>
        <v/>
      </c>
      <c r="AJ35" s="758" t="str">
        <f t="shared" si="15"/>
        <v/>
      </c>
      <c r="AK35" s="758" t="str">
        <f t="shared" si="16"/>
        <v/>
      </c>
      <c r="AL35" s="758" t="str">
        <f t="shared" si="17"/>
        <v/>
      </c>
      <c r="AM35" s="758" t="str">
        <f t="shared" si="18"/>
        <v/>
      </c>
      <c r="AN35" s="758" t="str">
        <f t="shared" si="19"/>
        <v/>
      </c>
      <c r="AO35" s="758" t="str">
        <f t="shared" si="20"/>
        <v/>
      </c>
      <c r="AP35" s="758" t="str">
        <f t="shared" si="173"/>
        <v/>
      </c>
      <c r="AQ35" s="758" t="str">
        <f t="shared" si="174"/>
        <v/>
      </c>
      <c r="AR35" s="758" t="str">
        <f t="shared" si="175"/>
        <v/>
      </c>
      <c r="AS35" s="758" t="str">
        <f t="shared" si="176"/>
        <v/>
      </c>
      <c r="AT35" s="758" t="str">
        <f t="shared" si="177"/>
        <v/>
      </c>
      <c r="AU35" s="758" t="str">
        <f t="shared" si="178"/>
        <v/>
      </c>
      <c r="AV35" s="758" t="str">
        <f t="shared" si="179"/>
        <v/>
      </c>
      <c r="AW35" s="758" t="str">
        <f t="shared" si="180"/>
        <v/>
      </c>
      <c r="AX35" s="758" t="str">
        <f t="shared" si="181"/>
        <v/>
      </c>
      <c r="AY35" s="758" t="str">
        <f t="shared" si="182"/>
        <v/>
      </c>
      <c r="AZ35" s="758" t="str">
        <f t="shared" si="183"/>
        <v/>
      </c>
      <c r="BA35" s="758" t="str">
        <f t="shared" si="184"/>
        <v/>
      </c>
      <c r="BB35" s="758" t="str">
        <f t="shared" si="185"/>
        <v/>
      </c>
      <c r="BC35" s="758" t="str">
        <f t="shared" si="186"/>
        <v/>
      </c>
      <c r="BD35" s="758" t="str">
        <f t="shared" si="187"/>
        <v/>
      </c>
      <c r="BE35" s="758" t="str">
        <f t="shared" si="188"/>
        <v/>
      </c>
      <c r="BF35" s="758" t="str">
        <f t="shared" si="189"/>
        <v/>
      </c>
      <c r="BG35" s="758" t="str">
        <f t="shared" si="190"/>
        <v/>
      </c>
      <c r="BH35" s="758" t="str">
        <f t="shared" si="191"/>
        <v/>
      </c>
      <c r="BI35" s="758" t="str">
        <f t="shared" si="192"/>
        <v/>
      </c>
      <c r="BJ35" s="758" t="str">
        <f t="shared" si="193"/>
        <v/>
      </c>
      <c r="BK35" s="758" t="str">
        <f t="shared" si="194"/>
        <v/>
      </c>
      <c r="BL35" s="758" t="str">
        <f t="shared" si="195"/>
        <v/>
      </c>
      <c r="BM35" s="758" t="str">
        <f t="shared" si="196"/>
        <v/>
      </c>
      <c r="BN35" s="758" t="str">
        <f t="shared" si="197"/>
        <v/>
      </c>
      <c r="BO35" s="758" t="str">
        <f t="shared" si="198"/>
        <v/>
      </c>
      <c r="BP35" s="758" t="str">
        <f t="shared" si="199"/>
        <v/>
      </c>
      <c r="BQ35" s="758" t="str">
        <f t="shared" si="200"/>
        <v/>
      </c>
      <c r="BR35" s="758" t="str">
        <f t="shared" si="201"/>
        <v/>
      </c>
      <c r="BS35" s="758" t="str">
        <f t="shared" si="202"/>
        <v/>
      </c>
      <c r="BT35" s="758" t="str">
        <f t="shared" si="21"/>
        <v/>
      </c>
      <c r="BU35" s="758" t="str">
        <f t="shared" si="22"/>
        <v/>
      </c>
      <c r="BV35" s="758" t="str">
        <f t="shared" si="23"/>
        <v/>
      </c>
      <c r="BW35" s="758" t="str">
        <f t="shared" si="24"/>
        <v/>
      </c>
      <c r="BX35" s="758" t="str">
        <f t="shared" si="25"/>
        <v/>
      </c>
      <c r="BY35" s="758" t="str">
        <f t="shared" si="26"/>
        <v/>
      </c>
      <c r="BZ35" s="758" t="str">
        <f t="shared" si="27"/>
        <v/>
      </c>
      <c r="CA35" s="758" t="str">
        <f t="shared" si="28"/>
        <v/>
      </c>
      <c r="CB35" s="758" t="str">
        <f t="shared" si="29"/>
        <v/>
      </c>
      <c r="CC35" s="758" t="str">
        <f t="shared" si="30"/>
        <v/>
      </c>
      <c r="CD35" s="758" t="str">
        <f t="shared" si="31"/>
        <v/>
      </c>
      <c r="CE35" s="758" t="str">
        <f t="shared" si="32"/>
        <v/>
      </c>
      <c r="CF35" s="758" t="str">
        <f t="shared" si="33"/>
        <v/>
      </c>
      <c r="CG35" s="758" t="str">
        <f t="shared" si="34"/>
        <v/>
      </c>
      <c r="CH35" s="758" t="str">
        <f t="shared" si="35"/>
        <v/>
      </c>
      <c r="CI35" s="758" t="str">
        <f t="shared" si="36"/>
        <v/>
      </c>
      <c r="CJ35" s="758" t="str">
        <f t="shared" si="37"/>
        <v/>
      </c>
      <c r="CK35" s="758" t="str">
        <f t="shared" si="38"/>
        <v/>
      </c>
      <c r="CL35" s="758" t="str">
        <f t="shared" si="39"/>
        <v/>
      </c>
      <c r="CM35" s="758" t="str">
        <f t="shared" si="40"/>
        <v/>
      </c>
      <c r="CN35" s="758" t="str">
        <f t="shared" si="41"/>
        <v/>
      </c>
      <c r="CO35" s="758" t="str">
        <f t="shared" si="42"/>
        <v/>
      </c>
      <c r="CP35" s="758" t="str">
        <f t="shared" si="43"/>
        <v/>
      </c>
      <c r="CQ35" s="758" t="str">
        <f t="shared" si="44"/>
        <v/>
      </c>
      <c r="CR35" s="758" t="str">
        <f t="shared" si="45"/>
        <v/>
      </c>
      <c r="CS35" s="758" t="str">
        <f t="shared" si="46"/>
        <v/>
      </c>
      <c r="CT35" s="758" t="str">
        <f t="shared" si="47"/>
        <v/>
      </c>
      <c r="CU35" s="758" t="str">
        <f t="shared" si="48"/>
        <v/>
      </c>
      <c r="CV35" s="758" t="str">
        <f t="shared" si="49"/>
        <v/>
      </c>
      <c r="CW35" s="758" t="str">
        <f t="shared" si="50"/>
        <v/>
      </c>
      <c r="CX35" s="758" t="str">
        <f t="shared" si="51"/>
        <v/>
      </c>
      <c r="CY35" s="758" t="str">
        <f t="shared" si="52"/>
        <v/>
      </c>
      <c r="CZ35" s="758" t="str">
        <f t="shared" si="53"/>
        <v/>
      </c>
      <c r="DA35" s="758" t="str">
        <f t="shared" si="54"/>
        <v/>
      </c>
      <c r="DB35" s="758" t="str">
        <f t="shared" si="55"/>
        <v/>
      </c>
      <c r="DC35" s="758" t="str">
        <f t="shared" si="56"/>
        <v/>
      </c>
      <c r="DD35" s="758" t="str">
        <f t="shared" si="57"/>
        <v/>
      </c>
      <c r="DE35" s="758" t="str">
        <f t="shared" si="58"/>
        <v/>
      </c>
      <c r="DF35" s="758" t="str">
        <f t="shared" si="59"/>
        <v/>
      </c>
      <c r="DG35" s="758" t="str">
        <f t="shared" si="60"/>
        <v/>
      </c>
      <c r="DH35" s="758" t="str">
        <f t="shared" si="61"/>
        <v/>
      </c>
      <c r="DI35" s="758" t="str">
        <f t="shared" si="62"/>
        <v/>
      </c>
      <c r="DJ35" s="758" t="str">
        <f t="shared" si="63"/>
        <v/>
      </c>
      <c r="DK35" s="758" t="str">
        <f t="shared" si="64"/>
        <v/>
      </c>
      <c r="DL35" s="758" t="str">
        <f t="shared" si="65"/>
        <v/>
      </c>
      <c r="DM35" s="758" t="str">
        <f t="shared" si="66"/>
        <v/>
      </c>
      <c r="DN35" s="758" t="str">
        <f t="shared" si="67"/>
        <v/>
      </c>
      <c r="DO35" s="758" t="str">
        <f t="shared" si="68"/>
        <v/>
      </c>
      <c r="DP35" s="758" t="str">
        <f t="shared" si="69"/>
        <v/>
      </c>
      <c r="DQ35" s="758" t="str">
        <f t="shared" si="70"/>
        <v/>
      </c>
      <c r="DR35" s="758" t="str">
        <f t="shared" si="71"/>
        <v/>
      </c>
      <c r="DS35" s="758" t="str">
        <f t="shared" si="72"/>
        <v/>
      </c>
      <c r="DT35" s="758" t="str">
        <f t="shared" si="73"/>
        <v/>
      </c>
      <c r="DU35" s="758" t="str">
        <f t="shared" si="74"/>
        <v/>
      </c>
      <c r="DV35" s="758" t="str">
        <f t="shared" si="75"/>
        <v/>
      </c>
      <c r="DW35" s="758" t="str">
        <f t="shared" si="76"/>
        <v/>
      </c>
      <c r="DX35" s="758" t="str">
        <f t="shared" si="77"/>
        <v/>
      </c>
      <c r="DY35" s="758" t="str">
        <f t="shared" si="78"/>
        <v/>
      </c>
      <c r="DZ35" s="758" t="str">
        <f t="shared" si="79"/>
        <v/>
      </c>
      <c r="EA35" s="758" t="str">
        <f t="shared" si="80"/>
        <v/>
      </c>
      <c r="EB35" s="758" t="str">
        <f t="shared" si="81"/>
        <v/>
      </c>
      <c r="EC35" s="758" t="str">
        <f t="shared" si="82"/>
        <v/>
      </c>
      <c r="ED35" s="758" t="str">
        <f t="shared" si="83"/>
        <v/>
      </c>
      <c r="EE35" s="758" t="str">
        <f t="shared" si="84"/>
        <v/>
      </c>
      <c r="EF35" s="758" t="str">
        <f t="shared" si="85"/>
        <v/>
      </c>
      <c r="EG35" s="758" t="str">
        <f t="shared" si="86"/>
        <v/>
      </c>
      <c r="EH35" s="758" t="str">
        <f t="shared" si="87"/>
        <v/>
      </c>
      <c r="EI35" s="758" t="str">
        <f t="shared" si="88"/>
        <v/>
      </c>
      <c r="EJ35" s="758" t="str">
        <f t="shared" si="89"/>
        <v/>
      </c>
      <c r="EK35" s="758" t="str">
        <f t="shared" si="90"/>
        <v/>
      </c>
      <c r="EL35" s="758" t="str">
        <f t="shared" si="91"/>
        <v/>
      </c>
      <c r="EM35" s="758" t="str">
        <f t="shared" si="92"/>
        <v/>
      </c>
      <c r="EN35" s="758" t="str">
        <f t="shared" si="93"/>
        <v/>
      </c>
      <c r="EO35" s="758" t="str">
        <f t="shared" si="94"/>
        <v/>
      </c>
      <c r="EP35" s="758" t="str">
        <f t="shared" si="95"/>
        <v/>
      </c>
      <c r="EQ35" s="758" t="str">
        <f t="shared" si="96"/>
        <v/>
      </c>
      <c r="ER35" s="758" t="str">
        <f t="shared" si="97"/>
        <v/>
      </c>
      <c r="ES35" s="758" t="str">
        <f t="shared" si="98"/>
        <v/>
      </c>
      <c r="ET35" s="758" t="str">
        <f t="shared" si="99"/>
        <v/>
      </c>
      <c r="EU35" s="758" t="str">
        <f t="shared" si="100"/>
        <v/>
      </c>
      <c r="EV35" s="778" t="str">
        <f t="shared" si="101"/>
        <v/>
      </c>
      <c r="EW35" s="778" t="str">
        <f t="shared" si="102"/>
        <v/>
      </c>
      <c r="EX35" s="778" t="str">
        <f t="shared" si="103"/>
        <v/>
      </c>
      <c r="EY35" s="778" t="str">
        <f t="shared" si="104"/>
        <v/>
      </c>
      <c r="EZ35" s="778" t="str">
        <f t="shared" si="105"/>
        <v/>
      </c>
      <c r="FA35" s="778" t="str">
        <f t="shared" si="106"/>
        <v/>
      </c>
      <c r="FB35" s="778" t="str">
        <f t="shared" si="107"/>
        <v/>
      </c>
      <c r="FC35" s="778" t="str">
        <f t="shared" si="108"/>
        <v/>
      </c>
      <c r="FD35" s="778" t="str">
        <f t="shared" si="109"/>
        <v/>
      </c>
      <c r="FE35" s="778" t="str">
        <f t="shared" si="110"/>
        <v/>
      </c>
      <c r="FF35" s="778" t="str">
        <f t="shared" si="111"/>
        <v/>
      </c>
      <c r="FG35" s="778" t="str">
        <f t="shared" si="112"/>
        <v/>
      </c>
      <c r="FH35" s="778" t="str">
        <f t="shared" si="113"/>
        <v/>
      </c>
      <c r="FI35" s="778" t="str">
        <f t="shared" si="114"/>
        <v/>
      </c>
      <c r="FJ35" s="778" t="str">
        <f t="shared" si="115"/>
        <v/>
      </c>
      <c r="FK35" s="778" t="str">
        <f t="shared" si="116"/>
        <v/>
      </c>
      <c r="FL35" s="778" t="str">
        <f t="shared" si="117"/>
        <v/>
      </c>
      <c r="FM35" s="778" t="str">
        <f t="shared" si="118"/>
        <v/>
      </c>
      <c r="FN35" s="778" t="str">
        <f t="shared" si="119"/>
        <v/>
      </c>
      <c r="FO35" s="778" t="str">
        <f t="shared" si="120"/>
        <v/>
      </c>
      <c r="FP35" s="778" t="str">
        <f t="shared" si="121"/>
        <v/>
      </c>
      <c r="FQ35" s="778" t="str">
        <f t="shared" si="122"/>
        <v/>
      </c>
      <c r="FR35" s="778" t="str">
        <f t="shared" si="123"/>
        <v/>
      </c>
      <c r="FS35" s="778" t="str">
        <f t="shared" si="124"/>
        <v/>
      </c>
      <c r="FT35" s="778" t="str">
        <f t="shared" si="125"/>
        <v/>
      </c>
      <c r="FU35" s="778" t="str">
        <f t="shared" si="126"/>
        <v/>
      </c>
      <c r="FV35" s="778" t="str">
        <f t="shared" si="127"/>
        <v/>
      </c>
      <c r="FW35" s="778" t="str">
        <f t="shared" si="128"/>
        <v/>
      </c>
      <c r="FX35" s="778" t="str">
        <f t="shared" si="129"/>
        <v/>
      </c>
      <c r="FY35" s="778" t="str">
        <f t="shared" si="130"/>
        <v/>
      </c>
      <c r="FZ35" s="778" t="str">
        <f t="shared" si="131"/>
        <v/>
      </c>
      <c r="GA35" s="778" t="str">
        <f t="shared" si="132"/>
        <v/>
      </c>
      <c r="GB35" s="778" t="str">
        <f t="shared" si="133"/>
        <v/>
      </c>
      <c r="GC35" s="778" t="str">
        <f t="shared" si="134"/>
        <v/>
      </c>
      <c r="GD35" s="778" t="str">
        <f t="shared" si="135"/>
        <v/>
      </c>
      <c r="GE35" s="778" t="str">
        <f t="shared" si="136"/>
        <v/>
      </c>
      <c r="GF35" s="778" t="str">
        <f t="shared" si="137"/>
        <v/>
      </c>
      <c r="GG35" s="778" t="str">
        <f t="shared" si="138"/>
        <v/>
      </c>
      <c r="GH35" s="778" t="str">
        <f t="shared" si="139"/>
        <v/>
      </c>
      <c r="GI35" s="778" t="str">
        <f t="shared" si="140"/>
        <v/>
      </c>
      <c r="GJ35" s="778" t="str">
        <f t="shared" si="141"/>
        <v/>
      </c>
      <c r="GK35" s="778" t="str">
        <f t="shared" si="142"/>
        <v/>
      </c>
      <c r="GL35" s="778" t="str">
        <f t="shared" si="143"/>
        <v/>
      </c>
      <c r="GM35" s="778" t="str">
        <f t="shared" si="144"/>
        <v/>
      </c>
      <c r="GN35" s="778" t="str">
        <f t="shared" si="145"/>
        <v/>
      </c>
      <c r="GO35" s="779" t="str">
        <f t="shared" si="146"/>
        <v/>
      </c>
      <c r="GP35" s="779" t="str">
        <f t="shared" si="147"/>
        <v/>
      </c>
      <c r="GQ35" s="779" t="str">
        <f t="shared" si="148"/>
        <v/>
      </c>
      <c r="GR35" s="779" t="str">
        <f t="shared" si="149"/>
        <v/>
      </c>
      <c r="GS35" s="779" t="str">
        <f t="shared" si="150"/>
        <v/>
      </c>
      <c r="GT35" s="758" t="str">
        <f t="shared" si="151"/>
        <v/>
      </c>
      <c r="GU35" s="758" t="str">
        <f t="shared" si="152"/>
        <v/>
      </c>
      <c r="GV35" s="758" t="str">
        <f t="shared" si="153"/>
        <v/>
      </c>
      <c r="GW35" s="758" t="str">
        <f t="shared" si="154"/>
        <v/>
      </c>
      <c r="GX35" s="758" t="str">
        <f t="shared" si="155"/>
        <v/>
      </c>
      <c r="GY35" s="758" t="str">
        <f t="shared" si="156"/>
        <v/>
      </c>
      <c r="GZ35" s="758" t="str">
        <f t="shared" si="157"/>
        <v/>
      </c>
      <c r="HA35" s="758" t="str">
        <f t="shared" si="158"/>
        <v/>
      </c>
      <c r="HB35" s="758" t="str">
        <f t="shared" si="159"/>
        <v/>
      </c>
      <c r="HC35" s="758" t="str">
        <f t="shared" si="160"/>
        <v/>
      </c>
      <c r="HD35" s="758" t="str">
        <f t="shared" si="161"/>
        <v/>
      </c>
      <c r="HE35" s="758" t="str">
        <f t="shared" si="162"/>
        <v/>
      </c>
      <c r="HF35" s="758" t="str">
        <f t="shared" si="163"/>
        <v/>
      </c>
      <c r="HG35" s="758" t="str">
        <f t="shared" si="164"/>
        <v/>
      </c>
      <c r="HH35" s="758" t="str">
        <f t="shared" si="165"/>
        <v/>
      </c>
      <c r="HI35" s="758" t="str">
        <f t="shared" si="166"/>
        <v/>
      </c>
      <c r="HJ35" s="758" t="str">
        <f t="shared" si="167"/>
        <v/>
      </c>
      <c r="HK35" s="758" t="str">
        <f t="shared" si="168"/>
        <v/>
      </c>
      <c r="HL35" s="758" t="str">
        <f t="shared" si="169"/>
        <v/>
      </c>
      <c r="HM35" s="758" t="str">
        <f t="shared" si="170"/>
        <v/>
      </c>
    </row>
    <row r="36" spans="1:221" ht="13.35" customHeight="1">
      <c r="A36" s="148" t="str">
        <f t="shared" si="171"/>
        <v/>
      </c>
      <c r="B36" s="1515" t="s">
        <v>1533</v>
      </c>
      <c r="C36" s="1516"/>
      <c r="D36" s="1517"/>
      <c r="E36" s="1518"/>
      <c r="F36" s="1518"/>
      <c r="G36" s="1518"/>
      <c r="H36" s="1518"/>
      <c r="I36" s="1518"/>
      <c r="J36" s="1519"/>
      <c r="K36" s="225">
        <f t="shared" si="204"/>
        <v>0</v>
      </c>
      <c r="L36" s="225">
        <f t="shared" si="0"/>
        <v>0</v>
      </c>
      <c r="M36" s="1520"/>
      <c r="N36" s="1520"/>
      <c r="O36" s="1520"/>
      <c r="P36" s="674" t="str">
        <f t="shared" si="203"/>
        <v/>
      </c>
      <c r="Q36" s="675" t="str">
        <f>IF(H36="","",P36/($P$6*VLOOKUP(C36,'DCA Underwriting Assumptions'!$J$84:$K$89,2,FALSE)))</f>
        <v/>
      </c>
      <c r="R36" s="821"/>
      <c r="S36" s="675"/>
      <c r="T36" s="1455"/>
      <c r="U36" s="1456"/>
      <c r="V36" s="758" t="str">
        <f t="shared" si="1"/>
        <v/>
      </c>
      <c r="W36" s="758" t="str">
        <f t="shared" si="2"/>
        <v/>
      </c>
      <c r="X36" s="758" t="str">
        <f t="shared" si="3"/>
        <v/>
      </c>
      <c r="Y36" s="758" t="str">
        <f t="shared" si="4"/>
        <v/>
      </c>
      <c r="Z36" s="758" t="str">
        <f t="shared" si="5"/>
        <v/>
      </c>
      <c r="AA36" s="758" t="str">
        <f t="shared" si="6"/>
        <v/>
      </c>
      <c r="AB36" s="758" t="str">
        <f t="shared" si="7"/>
        <v/>
      </c>
      <c r="AC36" s="758" t="str">
        <f t="shared" si="8"/>
        <v/>
      </c>
      <c r="AD36" s="758" t="str">
        <f t="shared" si="9"/>
        <v/>
      </c>
      <c r="AE36" s="758" t="str">
        <f t="shared" si="10"/>
        <v/>
      </c>
      <c r="AF36" s="758" t="str">
        <f t="shared" si="11"/>
        <v/>
      </c>
      <c r="AG36" s="758" t="str">
        <f t="shared" si="12"/>
        <v/>
      </c>
      <c r="AH36" s="758" t="str">
        <f t="shared" si="13"/>
        <v/>
      </c>
      <c r="AI36" s="758" t="str">
        <f t="shared" si="14"/>
        <v/>
      </c>
      <c r="AJ36" s="758" t="str">
        <f t="shared" si="15"/>
        <v/>
      </c>
      <c r="AK36" s="758" t="str">
        <f t="shared" si="16"/>
        <v/>
      </c>
      <c r="AL36" s="758" t="str">
        <f t="shared" si="17"/>
        <v/>
      </c>
      <c r="AM36" s="758" t="str">
        <f t="shared" si="18"/>
        <v/>
      </c>
      <c r="AN36" s="758" t="str">
        <f t="shared" si="19"/>
        <v/>
      </c>
      <c r="AO36" s="758" t="str">
        <f t="shared" si="20"/>
        <v/>
      </c>
      <c r="AP36" s="758" t="str">
        <f t="shared" si="173"/>
        <v/>
      </c>
      <c r="AQ36" s="758" t="str">
        <f t="shared" si="174"/>
        <v/>
      </c>
      <c r="AR36" s="758" t="str">
        <f t="shared" si="175"/>
        <v/>
      </c>
      <c r="AS36" s="758" t="str">
        <f t="shared" si="176"/>
        <v/>
      </c>
      <c r="AT36" s="758" t="str">
        <f t="shared" si="177"/>
        <v/>
      </c>
      <c r="AU36" s="758" t="str">
        <f t="shared" si="178"/>
        <v/>
      </c>
      <c r="AV36" s="758" t="str">
        <f t="shared" si="179"/>
        <v/>
      </c>
      <c r="AW36" s="758" t="str">
        <f t="shared" si="180"/>
        <v/>
      </c>
      <c r="AX36" s="758" t="str">
        <f t="shared" si="181"/>
        <v/>
      </c>
      <c r="AY36" s="758" t="str">
        <f t="shared" si="182"/>
        <v/>
      </c>
      <c r="AZ36" s="758" t="str">
        <f t="shared" si="183"/>
        <v/>
      </c>
      <c r="BA36" s="758" t="str">
        <f t="shared" si="184"/>
        <v/>
      </c>
      <c r="BB36" s="758" t="str">
        <f t="shared" si="185"/>
        <v/>
      </c>
      <c r="BC36" s="758" t="str">
        <f t="shared" si="186"/>
        <v/>
      </c>
      <c r="BD36" s="758" t="str">
        <f t="shared" si="187"/>
        <v/>
      </c>
      <c r="BE36" s="758" t="str">
        <f t="shared" si="188"/>
        <v/>
      </c>
      <c r="BF36" s="758" t="str">
        <f t="shared" si="189"/>
        <v/>
      </c>
      <c r="BG36" s="758" t="str">
        <f t="shared" si="190"/>
        <v/>
      </c>
      <c r="BH36" s="758" t="str">
        <f t="shared" si="191"/>
        <v/>
      </c>
      <c r="BI36" s="758" t="str">
        <f t="shared" si="192"/>
        <v/>
      </c>
      <c r="BJ36" s="758" t="str">
        <f t="shared" si="193"/>
        <v/>
      </c>
      <c r="BK36" s="758" t="str">
        <f t="shared" si="194"/>
        <v/>
      </c>
      <c r="BL36" s="758" t="str">
        <f t="shared" si="195"/>
        <v/>
      </c>
      <c r="BM36" s="758" t="str">
        <f t="shared" si="196"/>
        <v/>
      </c>
      <c r="BN36" s="758" t="str">
        <f t="shared" si="197"/>
        <v/>
      </c>
      <c r="BO36" s="758" t="str">
        <f t="shared" si="198"/>
        <v/>
      </c>
      <c r="BP36" s="758" t="str">
        <f t="shared" si="199"/>
        <v/>
      </c>
      <c r="BQ36" s="758" t="str">
        <f t="shared" si="200"/>
        <v/>
      </c>
      <c r="BR36" s="758" t="str">
        <f t="shared" si="201"/>
        <v/>
      </c>
      <c r="BS36" s="758" t="str">
        <f t="shared" si="202"/>
        <v/>
      </c>
      <c r="BT36" s="758" t="str">
        <f t="shared" si="21"/>
        <v/>
      </c>
      <c r="BU36" s="758" t="str">
        <f t="shared" si="22"/>
        <v/>
      </c>
      <c r="BV36" s="758" t="str">
        <f t="shared" si="23"/>
        <v/>
      </c>
      <c r="BW36" s="758" t="str">
        <f t="shared" si="24"/>
        <v/>
      </c>
      <c r="BX36" s="758" t="str">
        <f t="shared" si="25"/>
        <v/>
      </c>
      <c r="BY36" s="758" t="str">
        <f t="shared" si="26"/>
        <v/>
      </c>
      <c r="BZ36" s="758" t="str">
        <f t="shared" si="27"/>
        <v/>
      </c>
      <c r="CA36" s="758" t="str">
        <f t="shared" si="28"/>
        <v/>
      </c>
      <c r="CB36" s="758" t="str">
        <f t="shared" si="29"/>
        <v/>
      </c>
      <c r="CC36" s="758" t="str">
        <f t="shared" si="30"/>
        <v/>
      </c>
      <c r="CD36" s="758" t="str">
        <f t="shared" si="31"/>
        <v/>
      </c>
      <c r="CE36" s="758" t="str">
        <f t="shared" si="32"/>
        <v/>
      </c>
      <c r="CF36" s="758" t="str">
        <f t="shared" si="33"/>
        <v/>
      </c>
      <c r="CG36" s="758" t="str">
        <f t="shared" si="34"/>
        <v/>
      </c>
      <c r="CH36" s="758" t="str">
        <f t="shared" si="35"/>
        <v/>
      </c>
      <c r="CI36" s="758" t="str">
        <f t="shared" si="36"/>
        <v/>
      </c>
      <c r="CJ36" s="758" t="str">
        <f t="shared" si="37"/>
        <v/>
      </c>
      <c r="CK36" s="758" t="str">
        <f t="shared" si="38"/>
        <v/>
      </c>
      <c r="CL36" s="758" t="str">
        <f t="shared" si="39"/>
        <v/>
      </c>
      <c r="CM36" s="758" t="str">
        <f t="shared" si="40"/>
        <v/>
      </c>
      <c r="CN36" s="758" t="str">
        <f t="shared" si="41"/>
        <v/>
      </c>
      <c r="CO36" s="758" t="str">
        <f t="shared" si="42"/>
        <v/>
      </c>
      <c r="CP36" s="758" t="str">
        <f t="shared" si="43"/>
        <v/>
      </c>
      <c r="CQ36" s="758" t="str">
        <f t="shared" si="44"/>
        <v/>
      </c>
      <c r="CR36" s="758" t="str">
        <f t="shared" si="45"/>
        <v/>
      </c>
      <c r="CS36" s="758" t="str">
        <f t="shared" si="46"/>
        <v/>
      </c>
      <c r="CT36" s="758" t="str">
        <f t="shared" si="47"/>
        <v/>
      </c>
      <c r="CU36" s="758" t="str">
        <f t="shared" si="48"/>
        <v/>
      </c>
      <c r="CV36" s="758" t="str">
        <f t="shared" si="49"/>
        <v/>
      </c>
      <c r="CW36" s="758" t="str">
        <f t="shared" si="50"/>
        <v/>
      </c>
      <c r="CX36" s="758" t="str">
        <f t="shared" si="51"/>
        <v/>
      </c>
      <c r="CY36" s="758" t="str">
        <f t="shared" si="52"/>
        <v/>
      </c>
      <c r="CZ36" s="758" t="str">
        <f t="shared" si="53"/>
        <v/>
      </c>
      <c r="DA36" s="758" t="str">
        <f t="shared" si="54"/>
        <v/>
      </c>
      <c r="DB36" s="758" t="str">
        <f t="shared" si="55"/>
        <v/>
      </c>
      <c r="DC36" s="758" t="str">
        <f t="shared" si="56"/>
        <v/>
      </c>
      <c r="DD36" s="758" t="str">
        <f t="shared" si="57"/>
        <v/>
      </c>
      <c r="DE36" s="758" t="str">
        <f t="shared" si="58"/>
        <v/>
      </c>
      <c r="DF36" s="758" t="str">
        <f t="shared" si="59"/>
        <v/>
      </c>
      <c r="DG36" s="758" t="str">
        <f t="shared" si="60"/>
        <v/>
      </c>
      <c r="DH36" s="758" t="str">
        <f t="shared" si="61"/>
        <v/>
      </c>
      <c r="DI36" s="758" t="str">
        <f t="shared" si="62"/>
        <v/>
      </c>
      <c r="DJ36" s="758" t="str">
        <f t="shared" si="63"/>
        <v/>
      </c>
      <c r="DK36" s="758" t="str">
        <f t="shared" si="64"/>
        <v/>
      </c>
      <c r="DL36" s="758" t="str">
        <f t="shared" si="65"/>
        <v/>
      </c>
      <c r="DM36" s="758" t="str">
        <f t="shared" si="66"/>
        <v/>
      </c>
      <c r="DN36" s="758" t="str">
        <f t="shared" si="67"/>
        <v/>
      </c>
      <c r="DO36" s="758" t="str">
        <f t="shared" si="68"/>
        <v/>
      </c>
      <c r="DP36" s="758" t="str">
        <f t="shared" si="69"/>
        <v/>
      </c>
      <c r="DQ36" s="758" t="str">
        <f t="shared" si="70"/>
        <v/>
      </c>
      <c r="DR36" s="758" t="str">
        <f t="shared" si="71"/>
        <v/>
      </c>
      <c r="DS36" s="758" t="str">
        <f t="shared" si="72"/>
        <v/>
      </c>
      <c r="DT36" s="758" t="str">
        <f t="shared" si="73"/>
        <v/>
      </c>
      <c r="DU36" s="758" t="str">
        <f t="shared" si="74"/>
        <v/>
      </c>
      <c r="DV36" s="758" t="str">
        <f t="shared" si="75"/>
        <v/>
      </c>
      <c r="DW36" s="758" t="str">
        <f t="shared" si="76"/>
        <v/>
      </c>
      <c r="DX36" s="758" t="str">
        <f t="shared" si="77"/>
        <v/>
      </c>
      <c r="DY36" s="758" t="str">
        <f t="shared" si="78"/>
        <v/>
      </c>
      <c r="DZ36" s="758" t="str">
        <f t="shared" si="79"/>
        <v/>
      </c>
      <c r="EA36" s="758" t="str">
        <f t="shared" si="80"/>
        <v/>
      </c>
      <c r="EB36" s="758" t="str">
        <f t="shared" si="81"/>
        <v/>
      </c>
      <c r="EC36" s="758" t="str">
        <f t="shared" si="82"/>
        <v/>
      </c>
      <c r="ED36" s="758" t="str">
        <f t="shared" si="83"/>
        <v/>
      </c>
      <c r="EE36" s="758" t="str">
        <f t="shared" si="84"/>
        <v/>
      </c>
      <c r="EF36" s="758" t="str">
        <f t="shared" si="85"/>
        <v/>
      </c>
      <c r="EG36" s="758" t="str">
        <f t="shared" si="86"/>
        <v/>
      </c>
      <c r="EH36" s="758" t="str">
        <f t="shared" si="87"/>
        <v/>
      </c>
      <c r="EI36" s="758" t="str">
        <f t="shared" si="88"/>
        <v/>
      </c>
      <c r="EJ36" s="758" t="str">
        <f t="shared" si="89"/>
        <v/>
      </c>
      <c r="EK36" s="758" t="str">
        <f t="shared" si="90"/>
        <v/>
      </c>
      <c r="EL36" s="758" t="str">
        <f t="shared" si="91"/>
        <v/>
      </c>
      <c r="EM36" s="758" t="str">
        <f t="shared" si="92"/>
        <v/>
      </c>
      <c r="EN36" s="758" t="str">
        <f t="shared" si="93"/>
        <v/>
      </c>
      <c r="EO36" s="758" t="str">
        <f t="shared" si="94"/>
        <v/>
      </c>
      <c r="EP36" s="758" t="str">
        <f t="shared" si="95"/>
        <v/>
      </c>
      <c r="EQ36" s="758" t="str">
        <f t="shared" si="96"/>
        <v/>
      </c>
      <c r="ER36" s="758" t="str">
        <f t="shared" si="97"/>
        <v/>
      </c>
      <c r="ES36" s="758" t="str">
        <f t="shared" si="98"/>
        <v/>
      </c>
      <c r="ET36" s="758" t="str">
        <f t="shared" si="99"/>
        <v/>
      </c>
      <c r="EU36" s="758" t="str">
        <f t="shared" si="100"/>
        <v/>
      </c>
      <c r="EV36" s="778" t="str">
        <f t="shared" si="101"/>
        <v/>
      </c>
      <c r="EW36" s="778" t="str">
        <f t="shared" si="102"/>
        <v/>
      </c>
      <c r="EX36" s="778" t="str">
        <f t="shared" si="103"/>
        <v/>
      </c>
      <c r="EY36" s="778" t="str">
        <f t="shared" si="104"/>
        <v/>
      </c>
      <c r="EZ36" s="778" t="str">
        <f t="shared" si="105"/>
        <v/>
      </c>
      <c r="FA36" s="778" t="str">
        <f t="shared" si="106"/>
        <v/>
      </c>
      <c r="FB36" s="778" t="str">
        <f t="shared" si="107"/>
        <v/>
      </c>
      <c r="FC36" s="778" t="str">
        <f t="shared" si="108"/>
        <v/>
      </c>
      <c r="FD36" s="778" t="str">
        <f t="shared" si="109"/>
        <v/>
      </c>
      <c r="FE36" s="778" t="str">
        <f t="shared" si="110"/>
        <v/>
      </c>
      <c r="FF36" s="778" t="str">
        <f t="shared" si="111"/>
        <v/>
      </c>
      <c r="FG36" s="778" t="str">
        <f t="shared" si="112"/>
        <v/>
      </c>
      <c r="FH36" s="778" t="str">
        <f t="shared" si="113"/>
        <v/>
      </c>
      <c r="FI36" s="778" t="str">
        <f t="shared" si="114"/>
        <v/>
      </c>
      <c r="FJ36" s="778" t="str">
        <f t="shared" si="115"/>
        <v/>
      </c>
      <c r="FK36" s="778" t="str">
        <f t="shared" si="116"/>
        <v/>
      </c>
      <c r="FL36" s="778" t="str">
        <f t="shared" si="117"/>
        <v/>
      </c>
      <c r="FM36" s="778" t="str">
        <f t="shared" si="118"/>
        <v/>
      </c>
      <c r="FN36" s="778" t="str">
        <f t="shared" si="119"/>
        <v/>
      </c>
      <c r="FO36" s="778" t="str">
        <f t="shared" si="120"/>
        <v/>
      </c>
      <c r="FP36" s="778" t="str">
        <f t="shared" si="121"/>
        <v/>
      </c>
      <c r="FQ36" s="778" t="str">
        <f t="shared" si="122"/>
        <v/>
      </c>
      <c r="FR36" s="778" t="str">
        <f t="shared" si="123"/>
        <v/>
      </c>
      <c r="FS36" s="778" t="str">
        <f t="shared" si="124"/>
        <v/>
      </c>
      <c r="FT36" s="778" t="str">
        <f t="shared" si="125"/>
        <v/>
      </c>
      <c r="FU36" s="778" t="str">
        <f t="shared" si="126"/>
        <v/>
      </c>
      <c r="FV36" s="778" t="str">
        <f t="shared" si="127"/>
        <v/>
      </c>
      <c r="FW36" s="778" t="str">
        <f t="shared" si="128"/>
        <v/>
      </c>
      <c r="FX36" s="778" t="str">
        <f t="shared" si="129"/>
        <v/>
      </c>
      <c r="FY36" s="778" t="str">
        <f t="shared" si="130"/>
        <v/>
      </c>
      <c r="FZ36" s="778" t="str">
        <f t="shared" si="131"/>
        <v/>
      </c>
      <c r="GA36" s="778" t="str">
        <f t="shared" si="132"/>
        <v/>
      </c>
      <c r="GB36" s="778" t="str">
        <f t="shared" si="133"/>
        <v/>
      </c>
      <c r="GC36" s="778" t="str">
        <f t="shared" si="134"/>
        <v/>
      </c>
      <c r="GD36" s="778" t="str">
        <f t="shared" si="135"/>
        <v/>
      </c>
      <c r="GE36" s="778" t="str">
        <f t="shared" si="136"/>
        <v/>
      </c>
      <c r="GF36" s="778" t="str">
        <f t="shared" si="137"/>
        <v/>
      </c>
      <c r="GG36" s="778" t="str">
        <f t="shared" si="138"/>
        <v/>
      </c>
      <c r="GH36" s="778" t="str">
        <f t="shared" si="139"/>
        <v/>
      </c>
      <c r="GI36" s="778" t="str">
        <f t="shared" si="140"/>
        <v/>
      </c>
      <c r="GJ36" s="778" t="str">
        <f t="shared" si="141"/>
        <v/>
      </c>
      <c r="GK36" s="778" t="str">
        <f t="shared" si="142"/>
        <v/>
      </c>
      <c r="GL36" s="778" t="str">
        <f t="shared" si="143"/>
        <v/>
      </c>
      <c r="GM36" s="778" t="str">
        <f t="shared" si="144"/>
        <v/>
      </c>
      <c r="GN36" s="778" t="str">
        <f t="shared" si="145"/>
        <v/>
      </c>
      <c r="GO36" s="779" t="str">
        <f t="shared" si="146"/>
        <v/>
      </c>
      <c r="GP36" s="779" t="str">
        <f t="shared" si="147"/>
        <v/>
      </c>
      <c r="GQ36" s="779" t="str">
        <f t="shared" si="148"/>
        <v/>
      </c>
      <c r="GR36" s="779" t="str">
        <f t="shared" si="149"/>
        <v/>
      </c>
      <c r="GS36" s="779" t="str">
        <f t="shared" si="150"/>
        <v/>
      </c>
      <c r="GT36" s="758" t="str">
        <f t="shared" si="151"/>
        <v/>
      </c>
      <c r="GU36" s="758" t="str">
        <f t="shared" si="152"/>
        <v/>
      </c>
      <c r="GV36" s="758" t="str">
        <f t="shared" si="153"/>
        <v/>
      </c>
      <c r="GW36" s="758" t="str">
        <f t="shared" si="154"/>
        <v/>
      </c>
      <c r="GX36" s="758" t="str">
        <f t="shared" si="155"/>
        <v/>
      </c>
      <c r="GY36" s="758" t="str">
        <f t="shared" si="156"/>
        <v/>
      </c>
      <c r="GZ36" s="758" t="str">
        <f t="shared" si="157"/>
        <v/>
      </c>
      <c r="HA36" s="758" t="str">
        <f t="shared" si="158"/>
        <v/>
      </c>
      <c r="HB36" s="758" t="str">
        <f t="shared" si="159"/>
        <v/>
      </c>
      <c r="HC36" s="758" t="str">
        <f t="shared" si="160"/>
        <v/>
      </c>
      <c r="HD36" s="758" t="str">
        <f t="shared" si="161"/>
        <v/>
      </c>
      <c r="HE36" s="758" t="str">
        <f t="shared" si="162"/>
        <v/>
      </c>
      <c r="HF36" s="758" t="str">
        <f t="shared" si="163"/>
        <v/>
      </c>
      <c r="HG36" s="758" t="str">
        <f t="shared" si="164"/>
        <v/>
      </c>
      <c r="HH36" s="758" t="str">
        <f t="shared" si="165"/>
        <v/>
      </c>
      <c r="HI36" s="758" t="str">
        <f t="shared" si="166"/>
        <v/>
      </c>
      <c r="HJ36" s="758" t="str">
        <f t="shared" si="167"/>
        <v/>
      </c>
      <c r="HK36" s="758" t="str">
        <f t="shared" si="168"/>
        <v/>
      </c>
      <c r="HL36" s="758" t="str">
        <f t="shared" si="169"/>
        <v/>
      </c>
      <c r="HM36" s="758" t="str">
        <f t="shared" si="170"/>
        <v/>
      </c>
    </row>
    <row r="37" spans="1:221" ht="13.35" customHeight="1">
      <c r="A37" s="148" t="str">
        <f t="shared" si="171"/>
        <v/>
      </c>
      <c r="B37" s="1515" t="s">
        <v>1533</v>
      </c>
      <c r="C37" s="1516"/>
      <c r="D37" s="1517"/>
      <c r="E37" s="1518"/>
      <c r="F37" s="1518"/>
      <c r="G37" s="1518"/>
      <c r="H37" s="1518"/>
      <c r="I37" s="1518"/>
      <c r="J37" s="1519"/>
      <c r="K37" s="225">
        <f t="shared" si="204"/>
        <v>0</v>
      </c>
      <c r="L37" s="225">
        <f t="shared" si="0"/>
        <v>0</v>
      </c>
      <c r="M37" s="1520"/>
      <c r="N37" s="1520"/>
      <c r="O37" s="1520"/>
      <c r="P37" s="674" t="str">
        <f t="shared" si="203"/>
        <v/>
      </c>
      <c r="Q37" s="675" t="str">
        <f>IF(H37="","",P37/($P$6*VLOOKUP(C37,'DCA Underwriting Assumptions'!$J$84:$K$89,2,FALSE)))</f>
        <v/>
      </c>
      <c r="R37" s="821"/>
      <c r="S37" s="675"/>
      <c r="T37" s="1455"/>
      <c r="U37" s="1456"/>
      <c r="V37" s="758" t="str">
        <f t="shared" si="1"/>
        <v/>
      </c>
      <c r="W37" s="758" t="str">
        <f t="shared" si="2"/>
        <v/>
      </c>
      <c r="X37" s="758" t="str">
        <f t="shared" si="3"/>
        <v/>
      </c>
      <c r="Y37" s="758" t="str">
        <f t="shared" si="4"/>
        <v/>
      </c>
      <c r="Z37" s="758" t="str">
        <f t="shared" si="5"/>
        <v/>
      </c>
      <c r="AA37" s="758" t="str">
        <f t="shared" si="6"/>
        <v/>
      </c>
      <c r="AB37" s="758" t="str">
        <f t="shared" si="7"/>
        <v/>
      </c>
      <c r="AC37" s="758" t="str">
        <f t="shared" si="8"/>
        <v/>
      </c>
      <c r="AD37" s="758" t="str">
        <f t="shared" si="9"/>
        <v/>
      </c>
      <c r="AE37" s="758" t="str">
        <f t="shared" si="10"/>
        <v/>
      </c>
      <c r="AF37" s="758" t="str">
        <f t="shared" si="11"/>
        <v/>
      </c>
      <c r="AG37" s="758" t="str">
        <f t="shared" si="12"/>
        <v/>
      </c>
      <c r="AH37" s="758" t="str">
        <f t="shared" si="13"/>
        <v/>
      </c>
      <c r="AI37" s="758" t="str">
        <f t="shared" si="14"/>
        <v/>
      </c>
      <c r="AJ37" s="758" t="str">
        <f t="shared" si="15"/>
        <v/>
      </c>
      <c r="AK37" s="758" t="str">
        <f t="shared" si="16"/>
        <v/>
      </c>
      <c r="AL37" s="758" t="str">
        <f t="shared" si="17"/>
        <v/>
      </c>
      <c r="AM37" s="758" t="str">
        <f t="shared" si="18"/>
        <v/>
      </c>
      <c r="AN37" s="758" t="str">
        <f t="shared" si="19"/>
        <v/>
      </c>
      <c r="AO37" s="758" t="str">
        <f t="shared" si="20"/>
        <v/>
      </c>
      <c r="AP37" s="758" t="str">
        <f t="shared" si="173"/>
        <v/>
      </c>
      <c r="AQ37" s="758" t="str">
        <f t="shared" si="174"/>
        <v/>
      </c>
      <c r="AR37" s="758" t="str">
        <f t="shared" si="175"/>
        <v/>
      </c>
      <c r="AS37" s="758" t="str">
        <f t="shared" si="176"/>
        <v/>
      </c>
      <c r="AT37" s="758" t="str">
        <f t="shared" si="177"/>
        <v/>
      </c>
      <c r="AU37" s="758" t="str">
        <f t="shared" si="178"/>
        <v/>
      </c>
      <c r="AV37" s="758" t="str">
        <f t="shared" si="179"/>
        <v/>
      </c>
      <c r="AW37" s="758" t="str">
        <f t="shared" si="180"/>
        <v/>
      </c>
      <c r="AX37" s="758" t="str">
        <f t="shared" si="181"/>
        <v/>
      </c>
      <c r="AY37" s="758" t="str">
        <f t="shared" si="182"/>
        <v/>
      </c>
      <c r="AZ37" s="758" t="str">
        <f t="shared" si="183"/>
        <v/>
      </c>
      <c r="BA37" s="758" t="str">
        <f t="shared" si="184"/>
        <v/>
      </c>
      <c r="BB37" s="758" t="str">
        <f t="shared" si="185"/>
        <v/>
      </c>
      <c r="BC37" s="758" t="str">
        <f t="shared" si="186"/>
        <v/>
      </c>
      <c r="BD37" s="758" t="str">
        <f t="shared" si="187"/>
        <v/>
      </c>
      <c r="BE37" s="758" t="str">
        <f t="shared" si="188"/>
        <v/>
      </c>
      <c r="BF37" s="758" t="str">
        <f t="shared" si="189"/>
        <v/>
      </c>
      <c r="BG37" s="758" t="str">
        <f t="shared" si="190"/>
        <v/>
      </c>
      <c r="BH37" s="758" t="str">
        <f t="shared" si="191"/>
        <v/>
      </c>
      <c r="BI37" s="758" t="str">
        <f t="shared" si="192"/>
        <v/>
      </c>
      <c r="BJ37" s="758" t="str">
        <f t="shared" si="193"/>
        <v/>
      </c>
      <c r="BK37" s="758" t="str">
        <f t="shared" si="194"/>
        <v/>
      </c>
      <c r="BL37" s="758" t="str">
        <f t="shared" si="195"/>
        <v/>
      </c>
      <c r="BM37" s="758" t="str">
        <f t="shared" si="196"/>
        <v/>
      </c>
      <c r="BN37" s="758" t="str">
        <f t="shared" si="197"/>
        <v/>
      </c>
      <c r="BO37" s="758" t="str">
        <f t="shared" si="198"/>
        <v/>
      </c>
      <c r="BP37" s="758" t="str">
        <f t="shared" si="199"/>
        <v/>
      </c>
      <c r="BQ37" s="758" t="str">
        <f t="shared" si="200"/>
        <v/>
      </c>
      <c r="BR37" s="758" t="str">
        <f t="shared" si="201"/>
        <v/>
      </c>
      <c r="BS37" s="758" t="str">
        <f t="shared" si="202"/>
        <v/>
      </c>
      <c r="BT37" s="758" t="str">
        <f t="shared" si="21"/>
        <v/>
      </c>
      <c r="BU37" s="758" t="str">
        <f t="shared" si="22"/>
        <v/>
      </c>
      <c r="BV37" s="758" t="str">
        <f t="shared" si="23"/>
        <v/>
      </c>
      <c r="BW37" s="758" t="str">
        <f t="shared" si="24"/>
        <v/>
      </c>
      <c r="BX37" s="758" t="str">
        <f t="shared" si="25"/>
        <v/>
      </c>
      <c r="BY37" s="758" t="str">
        <f t="shared" si="26"/>
        <v/>
      </c>
      <c r="BZ37" s="758" t="str">
        <f t="shared" si="27"/>
        <v/>
      </c>
      <c r="CA37" s="758" t="str">
        <f t="shared" si="28"/>
        <v/>
      </c>
      <c r="CB37" s="758" t="str">
        <f t="shared" si="29"/>
        <v/>
      </c>
      <c r="CC37" s="758" t="str">
        <f t="shared" si="30"/>
        <v/>
      </c>
      <c r="CD37" s="758" t="str">
        <f t="shared" si="31"/>
        <v/>
      </c>
      <c r="CE37" s="758" t="str">
        <f t="shared" si="32"/>
        <v/>
      </c>
      <c r="CF37" s="758" t="str">
        <f t="shared" si="33"/>
        <v/>
      </c>
      <c r="CG37" s="758" t="str">
        <f t="shared" si="34"/>
        <v/>
      </c>
      <c r="CH37" s="758" t="str">
        <f t="shared" si="35"/>
        <v/>
      </c>
      <c r="CI37" s="758" t="str">
        <f t="shared" si="36"/>
        <v/>
      </c>
      <c r="CJ37" s="758" t="str">
        <f t="shared" si="37"/>
        <v/>
      </c>
      <c r="CK37" s="758" t="str">
        <f t="shared" si="38"/>
        <v/>
      </c>
      <c r="CL37" s="758" t="str">
        <f t="shared" si="39"/>
        <v/>
      </c>
      <c r="CM37" s="758" t="str">
        <f t="shared" si="40"/>
        <v/>
      </c>
      <c r="CN37" s="758" t="str">
        <f t="shared" si="41"/>
        <v/>
      </c>
      <c r="CO37" s="758" t="str">
        <f t="shared" si="42"/>
        <v/>
      </c>
      <c r="CP37" s="758" t="str">
        <f t="shared" si="43"/>
        <v/>
      </c>
      <c r="CQ37" s="758" t="str">
        <f t="shared" si="44"/>
        <v/>
      </c>
      <c r="CR37" s="758" t="str">
        <f t="shared" si="45"/>
        <v/>
      </c>
      <c r="CS37" s="758" t="str">
        <f t="shared" si="46"/>
        <v/>
      </c>
      <c r="CT37" s="758" t="str">
        <f t="shared" si="47"/>
        <v/>
      </c>
      <c r="CU37" s="758" t="str">
        <f t="shared" si="48"/>
        <v/>
      </c>
      <c r="CV37" s="758" t="str">
        <f t="shared" si="49"/>
        <v/>
      </c>
      <c r="CW37" s="758" t="str">
        <f t="shared" si="50"/>
        <v/>
      </c>
      <c r="CX37" s="758" t="str">
        <f t="shared" si="51"/>
        <v/>
      </c>
      <c r="CY37" s="758" t="str">
        <f t="shared" si="52"/>
        <v/>
      </c>
      <c r="CZ37" s="758" t="str">
        <f t="shared" si="53"/>
        <v/>
      </c>
      <c r="DA37" s="758" t="str">
        <f t="shared" si="54"/>
        <v/>
      </c>
      <c r="DB37" s="758" t="str">
        <f t="shared" si="55"/>
        <v/>
      </c>
      <c r="DC37" s="758" t="str">
        <f t="shared" si="56"/>
        <v/>
      </c>
      <c r="DD37" s="758" t="str">
        <f t="shared" si="57"/>
        <v/>
      </c>
      <c r="DE37" s="758" t="str">
        <f t="shared" si="58"/>
        <v/>
      </c>
      <c r="DF37" s="758" t="str">
        <f t="shared" si="59"/>
        <v/>
      </c>
      <c r="DG37" s="758" t="str">
        <f t="shared" si="60"/>
        <v/>
      </c>
      <c r="DH37" s="758" t="str">
        <f t="shared" si="61"/>
        <v/>
      </c>
      <c r="DI37" s="758" t="str">
        <f t="shared" si="62"/>
        <v/>
      </c>
      <c r="DJ37" s="758" t="str">
        <f t="shared" si="63"/>
        <v/>
      </c>
      <c r="DK37" s="758" t="str">
        <f t="shared" si="64"/>
        <v/>
      </c>
      <c r="DL37" s="758" t="str">
        <f t="shared" si="65"/>
        <v/>
      </c>
      <c r="DM37" s="758" t="str">
        <f t="shared" si="66"/>
        <v/>
      </c>
      <c r="DN37" s="758" t="str">
        <f t="shared" si="67"/>
        <v/>
      </c>
      <c r="DO37" s="758" t="str">
        <f t="shared" si="68"/>
        <v/>
      </c>
      <c r="DP37" s="758" t="str">
        <f t="shared" si="69"/>
        <v/>
      </c>
      <c r="DQ37" s="758" t="str">
        <f t="shared" si="70"/>
        <v/>
      </c>
      <c r="DR37" s="758" t="str">
        <f t="shared" si="71"/>
        <v/>
      </c>
      <c r="DS37" s="758" t="str">
        <f t="shared" si="72"/>
        <v/>
      </c>
      <c r="DT37" s="758" t="str">
        <f t="shared" si="73"/>
        <v/>
      </c>
      <c r="DU37" s="758" t="str">
        <f t="shared" si="74"/>
        <v/>
      </c>
      <c r="DV37" s="758" t="str">
        <f t="shared" si="75"/>
        <v/>
      </c>
      <c r="DW37" s="758" t="str">
        <f t="shared" si="76"/>
        <v/>
      </c>
      <c r="DX37" s="758" t="str">
        <f t="shared" si="77"/>
        <v/>
      </c>
      <c r="DY37" s="758" t="str">
        <f t="shared" si="78"/>
        <v/>
      </c>
      <c r="DZ37" s="758" t="str">
        <f t="shared" si="79"/>
        <v/>
      </c>
      <c r="EA37" s="758" t="str">
        <f t="shared" si="80"/>
        <v/>
      </c>
      <c r="EB37" s="758" t="str">
        <f t="shared" si="81"/>
        <v/>
      </c>
      <c r="EC37" s="758" t="str">
        <f t="shared" si="82"/>
        <v/>
      </c>
      <c r="ED37" s="758" t="str">
        <f t="shared" si="83"/>
        <v/>
      </c>
      <c r="EE37" s="758" t="str">
        <f t="shared" si="84"/>
        <v/>
      </c>
      <c r="EF37" s="758" t="str">
        <f t="shared" si="85"/>
        <v/>
      </c>
      <c r="EG37" s="758" t="str">
        <f t="shared" si="86"/>
        <v/>
      </c>
      <c r="EH37" s="758" t="str">
        <f t="shared" si="87"/>
        <v/>
      </c>
      <c r="EI37" s="758" t="str">
        <f t="shared" si="88"/>
        <v/>
      </c>
      <c r="EJ37" s="758" t="str">
        <f t="shared" si="89"/>
        <v/>
      </c>
      <c r="EK37" s="758" t="str">
        <f t="shared" si="90"/>
        <v/>
      </c>
      <c r="EL37" s="758" t="str">
        <f t="shared" si="91"/>
        <v/>
      </c>
      <c r="EM37" s="758" t="str">
        <f t="shared" si="92"/>
        <v/>
      </c>
      <c r="EN37" s="758" t="str">
        <f t="shared" si="93"/>
        <v/>
      </c>
      <c r="EO37" s="758" t="str">
        <f t="shared" si="94"/>
        <v/>
      </c>
      <c r="EP37" s="758" t="str">
        <f t="shared" si="95"/>
        <v/>
      </c>
      <c r="EQ37" s="758" t="str">
        <f t="shared" si="96"/>
        <v/>
      </c>
      <c r="ER37" s="758" t="str">
        <f t="shared" si="97"/>
        <v/>
      </c>
      <c r="ES37" s="758" t="str">
        <f t="shared" si="98"/>
        <v/>
      </c>
      <c r="ET37" s="758" t="str">
        <f t="shared" si="99"/>
        <v/>
      </c>
      <c r="EU37" s="758" t="str">
        <f t="shared" si="100"/>
        <v/>
      </c>
      <c r="EV37" s="778" t="str">
        <f t="shared" si="101"/>
        <v/>
      </c>
      <c r="EW37" s="778" t="str">
        <f t="shared" si="102"/>
        <v/>
      </c>
      <c r="EX37" s="778" t="str">
        <f t="shared" si="103"/>
        <v/>
      </c>
      <c r="EY37" s="778" t="str">
        <f t="shared" si="104"/>
        <v/>
      </c>
      <c r="EZ37" s="778" t="str">
        <f t="shared" si="105"/>
        <v/>
      </c>
      <c r="FA37" s="778" t="str">
        <f t="shared" si="106"/>
        <v/>
      </c>
      <c r="FB37" s="778" t="str">
        <f t="shared" si="107"/>
        <v/>
      </c>
      <c r="FC37" s="778" t="str">
        <f t="shared" si="108"/>
        <v/>
      </c>
      <c r="FD37" s="778" t="str">
        <f t="shared" si="109"/>
        <v/>
      </c>
      <c r="FE37" s="778" t="str">
        <f t="shared" si="110"/>
        <v/>
      </c>
      <c r="FF37" s="778" t="str">
        <f t="shared" si="111"/>
        <v/>
      </c>
      <c r="FG37" s="778" t="str">
        <f t="shared" si="112"/>
        <v/>
      </c>
      <c r="FH37" s="778" t="str">
        <f t="shared" si="113"/>
        <v/>
      </c>
      <c r="FI37" s="778" t="str">
        <f t="shared" si="114"/>
        <v/>
      </c>
      <c r="FJ37" s="778" t="str">
        <f t="shared" si="115"/>
        <v/>
      </c>
      <c r="FK37" s="778" t="str">
        <f t="shared" si="116"/>
        <v/>
      </c>
      <c r="FL37" s="778" t="str">
        <f t="shared" si="117"/>
        <v/>
      </c>
      <c r="FM37" s="778" t="str">
        <f t="shared" si="118"/>
        <v/>
      </c>
      <c r="FN37" s="778" t="str">
        <f t="shared" si="119"/>
        <v/>
      </c>
      <c r="FO37" s="778" t="str">
        <f t="shared" si="120"/>
        <v/>
      </c>
      <c r="FP37" s="778" t="str">
        <f t="shared" si="121"/>
        <v/>
      </c>
      <c r="FQ37" s="778" t="str">
        <f t="shared" si="122"/>
        <v/>
      </c>
      <c r="FR37" s="778" t="str">
        <f t="shared" si="123"/>
        <v/>
      </c>
      <c r="FS37" s="778" t="str">
        <f t="shared" si="124"/>
        <v/>
      </c>
      <c r="FT37" s="778" t="str">
        <f t="shared" si="125"/>
        <v/>
      </c>
      <c r="FU37" s="778" t="str">
        <f t="shared" si="126"/>
        <v/>
      </c>
      <c r="FV37" s="778" t="str">
        <f t="shared" si="127"/>
        <v/>
      </c>
      <c r="FW37" s="778" t="str">
        <f t="shared" si="128"/>
        <v/>
      </c>
      <c r="FX37" s="778" t="str">
        <f t="shared" si="129"/>
        <v/>
      </c>
      <c r="FY37" s="778" t="str">
        <f t="shared" si="130"/>
        <v/>
      </c>
      <c r="FZ37" s="778" t="str">
        <f t="shared" si="131"/>
        <v/>
      </c>
      <c r="GA37" s="778" t="str">
        <f t="shared" si="132"/>
        <v/>
      </c>
      <c r="GB37" s="778" t="str">
        <f t="shared" si="133"/>
        <v/>
      </c>
      <c r="GC37" s="778" t="str">
        <f t="shared" si="134"/>
        <v/>
      </c>
      <c r="GD37" s="778" t="str">
        <f t="shared" si="135"/>
        <v/>
      </c>
      <c r="GE37" s="778" t="str">
        <f t="shared" si="136"/>
        <v/>
      </c>
      <c r="GF37" s="778" t="str">
        <f t="shared" si="137"/>
        <v/>
      </c>
      <c r="GG37" s="778" t="str">
        <f t="shared" si="138"/>
        <v/>
      </c>
      <c r="GH37" s="778" t="str">
        <f t="shared" si="139"/>
        <v/>
      </c>
      <c r="GI37" s="778" t="str">
        <f t="shared" si="140"/>
        <v/>
      </c>
      <c r="GJ37" s="778" t="str">
        <f t="shared" si="141"/>
        <v/>
      </c>
      <c r="GK37" s="778" t="str">
        <f t="shared" si="142"/>
        <v/>
      </c>
      <c r="GL37" s="778" t="str">
        <f t="shared" si="143"/>
        <v/>
      </c>
      <c r="GM37" s="778" t="str">
        <f t="shared" si="144"/>
        <v/>
      </c>
      <c r="GN37" s="778" t="str">
        <f t="shared" si="145"/>
        <v/>
      </c>
      <c r="GO37" s="779" t="str">
        <f t="shared" si="146"/>
        <v/>
      </c>
      <c r="GP37" s="779" t="str">
        <f t="shared" si="147"/>
        <v/>
      </c>
      <c r="GQ37" s="779" t="str">
        <f t="shared" si="148"/>
        <v/>
      </c>
      <c r="GR37" s="779" t="str">
        <f t="shared" si="149"/>
        <v/>
      </c>
      <c r="GS37" s="779" t="str">
        <f t="shared" si="150"/>
        <v/>
      </c>
      <c r="GT37" s="758" t="str">
        <f t="shared" si="151"/>
        <v/>
      </c>
      <c r="GU37" s="758" t="str">
        <f t="shared" si="152"/>
        <v/>
      </c>
      <c r="GV37" s="758" t="str">
        <f t="shared" si="153"/>
        <v/>
      </c>
      <c r="GW37" s="758" t="str">
        <f t="shared" si="154"/>
        <v/>
      </c>
      <c r="GX37" s="758" t="str">
        <f t="shared" si="155"/>
        <v/>
      </c>
      <c r="GY37" s="758" t="str">
        <f t="shared" si="156"/>
        <v/>
      </c>
      <c r="GZ37" s="758" t="str">
        <f t="shared" si="157"/>
        <v/>
      </c>
      <c r="HA37" s="758" t="str">
        <f t="shared" si="158"/>
        <v/>
      </c>
      <c r="HB37" s="758" t="str">
        <f t="shared" si="159"/>
        <v/>
      </c>
      <c r="HC37" s="758" t="str">
        <f t="shared" si="160"/>
        <v/>
      </c>
      <c r="HD37" s="758" t="str">
        <f t="shared" si="161"/>
        <v/>
      </c>
      <c r="HE37" s="758" t="str">
        <f t="shared" si="162"/>
        <v/>
      </c>
      <c r="HF37" s="758" t="str">
        <f t="shared" si="163"/>
        <v/>
      </c>
      <c r="HG37" s="758" t="str">
        <f t="shared" si="164"/>
        <v/>
      </c>
      <c r="HH37" s="758" t="str">
        <f t="shared" si="165"/>
        <v/>
      </c>
      <c r="HI37" s="758" t="str">
        <f t="shared" si="166"/>
        <v/>
      </c>
      <c r="HJ37" s="758" t="str">
        <f t="shared" si="167"/>
        <v/>
      </c>
      <c r="HK37" s="758" t="str">
        <f t="shared" si="168"/>
        <v/>
      </c>
      <c r="HL37" s="758" t="str">
        <f t="shared" si="169"/>
        <v/>
      </c>
      <c r="HM37" s="758" t="str">
        <f t="shared" si="170"/>
        <v/>
      </c>
    </row>
    <row r="38" spans="1:221" ht="13.35" customHeight="1">
      <c r="A38" s="148" t="str">
        <f t="shared" si="171"/>
        <v/>
      </c>
      <c r="B38" s="1515" t="s">
        <v>1533</v>
      </c>
      <c r="C38" s="1516"/>
      <c r="D38" s="1517"/>
      <c r="E38" s="1518"/>
      <c r="F38" s="1518"/>
      <c r="G38" s="1518"/>
      <c r="H38" s="1518"/>
      <c r="I38" s="1518"/>
      <c r="J38" s="1519"/>
      <c r="K38" s="225">
        <f>MAX(0,H38-I38)</f>
        <v>0</v>
      </c>
      <c r="L38" s="225">
        <f t="shared" si="0"/>
        <v>0</v>
      </c>
      <c r="M38" s="1520"/>
      <c r="N38" s="1520"/>
      <c r="O38" s="1520"/>
      <c r="P38" s="674" t="str">
        <f t="shared" si="203"/>
        <v/>
      </c>
      <c r="Q38" s="675" t="str">
        <f>IF(H38="","",P38/($P$6*VLOOKUP(C38,'DCA Underwriting Assumptions'!$J$84:$K$89,2,FALSE)))</f>
        <v/>
      </c>
      <c r="R38" s="821"/>
      <c r="S38" s="675"/>
      <c r="T38" s="1455"/>
      <c r="U38" s="1456"/>
      <c r="V38" s="758" t="str">
        <f t="shared" si="1"/>
        <v/>
      </c>
      <c r="W38" s="758" t="str">
        <f t="shared" si="2"/>
        <v/>
      </c>
      <c r="X38" s="758" t="str">
        <f t="shared" si="3"/>
        <v/>
      </c>
      <c r="Y38" s="758" t="str">
        <f t="shared" si="4"/>
        <v/>
      </c>
      <c r="Z38" s="758" t="str">
        <f t="shared" si="5"/>
        <v/>
      </c>
      <c r="AA38" s="758" t="str">
        <f t="shared" si="6"/>
        <v/>
      </c>
      <c r="AB38" s="758" t="str">
        <f t="shared" si="7"/>
        <v/>
      </c>
      <c r="AC38" s="758" t="str">
        <f t="shared" si="8"/>
        <v/>
      </c>
      <c r="AD38" s="758" t="str">
        <f t="shared" si="9"/>
        <v/>
      </c>
      <c r="AE38" s="758" t="str">
        <f t="shared" si="10"/>
        <v/>
      </c>
      <c r="AF38" s="758" t="str">
        <f t="shared" si="11"/>
        <v/>
      </c>
      <c r="AG38" s="758" t="str">
        <f t="shared" si="12"/>
        <v/>
      </c>
      <c r="AH38" s="758" t="str">
        <f t="shared" si="13"/>
        <v/>
      </c>
      <c r="AI38" s="758" t="str">
        <f t="shared" si="14"/>
        <v/>
      </c>
      <c r="AJ38" s="758" t="str">
        <f t="shared" si="15"/>
        <v/>
      </c>
      <c r="AK38" s="758" t="str">
        <f t="shared" si="16"/>
        <v/>
      </c>
      <c r="AL38" s="758" t="str">
        <f t="shared" si="17"/>
        <v/>
      </c>
      <c r="AM38" s="758" t="str">
        <f t="shared" si="18"/>
        <v/>
      </c>
      <c r="AN38" s="758" t="str">
        <f t="shared" si="19"/>
        <v/>
      </c>
      <c r="AO38" s="758" t="str">
        <f t="shared" si="20"/>
        <v/>
      </c>
      <c r="AP38" s="758" t="str">
        <f t="shared" si="173"/>
        <v/>
      </c>
      <c r="AQ38" s="758" t="str">
        <f t="shared" si="174"/>
        <v/>
      </c>
      <c r="AR38" s="758" t="str">
        <f t="shared" si="175"/>
        <v/>
      </c>
      <c r="AS38" s="758" t="str">
        <f t="shared" si="176"/>
        <v/>
      </c>
      <c r="AT38" s="758" t="str">
        <f t="shared" si="177"/>
        <v/>
      </c>
      <c r="AU38" s="758" t="str">
        <f t="shared" si="178"/>
        <v/>
      </c>
      <c r="AV38" s="758" t="str">
        <f t="shared" si="179"/>
        <v/>
      </c>
      <c r="AW38" s="758" t="str">
        <f t="shared" si="180"/>
        <v/>
      </c>
      <c r="AX38" s="758" t="str">
        <f t="shared" si="181"/>
        <v/>
      </c>
      <c r="AY38" s="758" t="str">
        <f t="shared" si="182"/>
        <v/>
      </c>
      <c r="AZ38" s="758" t="str">
        <f t="shared" si="183"/>
        <v/>
      </c>
      <c r="BA38" s="758" t="str">
        <f t="shared" si="184"/>
        <v/>
      </c>
      <c r="BB38" s="758" t="str">
        <f t="shared" si="185"/>
        <v/>
      </c>
      <c r="BC38" s="758" t="str">
        <f t="shared" si="186"/>
        <v/>
      </c>
      <c r="BD38" s="758" t="str">
        <f t="shared" si="187"/>
        <v/>
      </c>
      <c r="BE38" s="758" t="str">
        <f t="shared" si="188"/>
        <v/>
      </c>
      <c r="BF38" s="758" t="str">
        <f t="shared" si="189"/>
        <v/>
      </c>
      <c r="BG38" s="758" t="str">
        <f t="shared" si="190"/>
        <v/>
      </c>
      <c r="BH38" s="758" t="str">
        <f t="shared" si="191"/>
        <v/>
      </c>
      <c r="BI38" s="758" t="str">
        <f t="shared" si="192"/>
        <v/>
      </c>
      <c r="BJ38" s="758" t="str">
        <f t="shared" si="193"/>
        <v/>
      </c>
      <c r="BK38" s="758" t="str">
        <f t="shared" si="194"/>
        <v/>
      </c>
      <c r="BL38" s="758" t="str">
        <f t="shared" si="195"/>
        <v/>
      </c>
      <c r="BM38" s="758" t="str">
        <f t="shared" si="196"/>
        <v/>
      </c>
      <c r="BN38" s="758" t="str">
        <f t="shared" si="197"/>
        <v/>
      </c>
      <c r="BO38" s="758" t="str">
        <f t="shared" si="198"/>
        <v/>
      </c>
      <c r="BP38" s="758" t="str">
        <f t="shared" si="199"/>
        <v/>
      </c>
      <c r="BQ38" s="758" t="str">
        <f t="shared" si="200"/>
        <v/>
      </c>
      <c r="BR38" s="758" t="str">
        <f t="shared" si="201"/>
        <v/>
      </c>
      <c r="BS38" s="758" t="str">
        <f t="shared" si="202"/>
        <v/>
      </c>
      <c r="BT38" s="758" t="str">
        <f t="shared" si="21"/>
        <v/>
      </c>
      <c r="BU38" s="758" t="str">
        <f t="shared" si="22"/>
        <v/>
      </c>
      <c r="BV38" s="758" t="str">
        <f t="shared" si="23"/>
        <v/>
      </c>
      <c r="BW38" s="758" t="str">
        <f t="shared" si="24"/>
        <v/>
      </c>
      <c r="BX38" s="758" t="str">
        <f t="shared" si="25"/>
        <v/>
      </c>
      <c r="BY38" s="758" t="str">
        <f t="shared" si="26"/>
        <v/>
      </c>
      <c r="BZ38" s="758" t="str">
        <f t="shared" si="27"/>
        <v/>
      </c>
      <c r="CA38" s="758" t="str">
        <f t="shared" si="28"/>
        <v/>
      </c>
      <c r="CB38" s="758" t="str">
        <f t="shared" si="29"/>
        <v/>
      </c>
      <c r="CC38" s="758" t="str">
        <f t="shared" si="30"/>
        <v/>
      </c>
      <c r="CD38" s="758" t="str">
        <f t="shared" si="31"/>
        <v/>
      </c>
      <c r="CE38" s="758" t="str">
        <f t="shared" si="32"/>
        <v/>
      </c>
      <c r="CF38" s="758" t="str">
        <f t="shared" si="33"/>
        <v/>
      </c>
      <c r="CG38" s="758" t="str">
        <f t="shared" si="34"/>
        <v/>
      </c>
      <c r="CH38" s="758" t="str">
        <f t="shared" si="35"/>
        <v/>
      </c>
      <c r="CI38" s="758" t="str">
        <f t="shared" si="36"/>
        <v/>
      </c>
      <c r="CJ38" s="758" t="str">
        <f t="shared" si="37"/>
        <v/>
      </c>
      <c r="CK38" s="758" t="str">
        <f t="shared" si="38"/>
        <v/>
      </c>
      <c r="CL38" s="758" t="str">
        <f t="shared" si="39"/>
        <v/>
      </c>
      <c r="CM38" s="758" t="str">
        <f t="shared" si="40"/>
        <v/>
      </c>
      <c r="CN38" s="758" t="str">
        <f t="shared" si="41"/>
        <v/>
      </c>
      <c r="CO38" s="758" t="str">
        <f t="shared" si="42"/>
        <v/>
      </c>
      <c r="CP38" s="758" t="str">
        <f t="shared" si="43"/>
        <v/>
      </c>
      <c r="CQ38" s="758" t="str">
        <f t="shared" si="44"/>
        <v/>
      </c>
      <c r="CR38" s="758" t="str">
        <f t="shared" si="45"/>
        <v/>
      </c>
      <c r="CS38" s="758" t="str">
        <f t="shared" si="46"/>
        <v/>
      </c>
      <c r="CT38" s="758" t="str">
        <f t="shared" si="47"/>
        <v/>
      </c>
      <c r="CU38" s="758" t="str">
        <f t="shared" si="48"/>
        <v/>
      </c>
      <c r="CV38" s="758" t="str">
        <f t="shared" si="49"/>
        <v/>
      </c>
      <c r="CW38" s="758" t="str">
        <f t="shared" si="50"/>
        <v/>
      </c>
      <c r="CX38" s="758" t="str">
        <f t="shared" si="51"/>
        <v/>
      </c>
      <c r="CY38" s="758" t="str">
        <f t="shared" si="52"/>
        <v/>
      </c>
      <c r="CZ38" s="758" t="str">
        <f t="shared" si="53"/>
        <v/>
      </c>
      <c r="DA38" s="758" t="str">
        <f t="shared" si="54"/>
        <v/>
      </c>
      <c r="DB38" s="758" t="str">
        <f t="shared" si="55"/>
        <v/>
      </c>
      <c r="DC38" s="758" t="str">
        <f t="shared" si="56"/>
        <v/>
      </c>
      <c r="DD38" s="758" t="str">
        <f t="shared" si="57"/>
        <v/>
      </c>
      <c r="DE38" s="758" t="str">
        <f t="shared" si="58"/>
        <v/>
      </c>
      <c r="DF38" s="758" t="str">
        <f t="shared" si="59"/>
        <v/>
      </c>
      <c r="DG38" s="758" t="str">
        <f t="shared" si="60"/>
        <v/>
      </c>
      <c r="DH38" s="758" t="str">
        <f t="shared" si="61"/>
        <v/>
      </c>
      <c r="DI38" s="758" t="str">
        <f t="shared" si="62"/>
        <v/>
      </c>
      <c r="DJ38" s="758" t="str">
        <f t="shared" si="63"/>
        <v/>
      </c>
      <c r="DK38" s="758" t="str">
        <f t="shared" si="64"/>
        <v/>
      </c>
      <c r="DL38" s="758" t="str">
        <f t="shared" si="65"/>
        <v/>
      </c>
      <c r="DM38" s="758" t="str">
        <f t="shared" si="66"/>
        <v/>
      </c>
      <c r="DN38" s="758" t="str">
        <f t="shared" si="67"/>
        <v/>
      </c>
      <c r="DO38" s="758" t="str">
        <f t="shared" si="68"/>
        <v/>
      </c>
      <c r="DP38" s="758" t="str">
        <f t="shared" si="69"/>
        <v/>
      </c>
      <c r="DQ38" s="758" t="str">
        <f t="shared" si="70"/>
        <v/>
      </c>
      <c r="DR38" s="758" t="str">
        <f t="shared" si="71"/>
        <v/>
      </c>
      <c r="DS38" s="758" t="str">
        <f t="shared" si="72"/>
        <v/>
      </c>
      <c r="DT38" s="758" t="str">
        <f t="shared" si="73"/>
        <v/>
      </c>
      <c r="DU38" s="758" t="str">
        <f t="shared" si="74"/>
        <v/>
      </c>
      <c r="DV38" s="758" t="str">
        <f t="shared" si="75"/>
        <v/>
      </c>
      <c r="DW38" s="758" t="str">
        <f t="shared" si="76"/>
        <v/>
      </c>
      <c r="DX38" s="758" t="str">
        <f t="shared" si="77"/>
        <v/>
      </c>
      <c r="DY38" s="758" t="str">
        <f t="shared" si="78"/>
        <v/>
      </c>
      <c r="DZ38" s="758" t="str">
        <f t="shared" si="79"/>
        <v/>
      </c>
      <c r="EA38" s="758" t="str">
        <f t="shared" si="80"/>
        <v/>
      </c>
      <c r="EB38" s="758" t="str">
        <f t="shared" si="81"/>
        <v/>
      </c>
      <c r="EC38" s="758" t="str">
        <f t="shared" si="82"/>
        <v/>
      </c>
      <c r="ED38" s="758" t="str">
        <f t="shared" si="83"/>
        <v/>
      </c>
      <c r="EE38" s="758" t="str">
        <f t="shared" si="84"/>
        <v/>
      </c>
      <c r="EF38" s="758" t="str">
        <f t="shared" si="85"/>
        <v/>
      </c>
      <c r="EG38" s="758" t="str">
        <f t="shared" si="86"/>
        <v/>
      </c>
      <c r="EH38" s="758" t="str">
        <f t="shared" si="87"/>
        <v/>
      </c>
      <c r="EI38" s="758" t="str">
        <f t="shared" si="88"/>
        <v/>
      </c>
      <c r="EJ38" s="758" t="str">
        <f t="shared" si="89"/>
        <v/>
      </c>
      <c r="EK38" s="758" t="str">
        <f t="shared" si="90"/>
        <v/>
      </c>
      <c r="EL38" s="758" t="str">
        <f t="shared" si="91"/>
        <v/>
      </c>
      <c r="EM38" s="758" t="str">
        <f t="shared" si="92"/>
        <v/>
      </c>
      <c r="EN38" s="758" t="str">
        <f t="shared" si="93"/>
        <v/>
      </c>
      <c r="EO38" s="758" t="str">
        <f t="shared" si="94"/>
        <v/>
      </c>
      <c r="EP38" s="758" t="str">
        <f t="shared" si="95"/>
        <v/>
      </c>
      <c r="EQ38" s="758" t="str">
        <f t="shared" si="96"/>
        <v/>
      </c>
      <c r="ER38" s="758" t="str">
        <f t="shared" si="97"/>
        <v/>
      </c>
      <c r="ES38" s="758" t="str">
        <f t="shared" si="98"/>
        <v/>
      </c>
      <c r="ET38" s="758" t="str">
        <f t="shared" si="99"/>
        <v/>
      </c>
      <c r="EU38" s="758" t="str">
        <f t="shared" si="100"/>
        <v/>
      </c>
      <c r="EV38" s="778" t="str">
        <f t="shared" si="101"/>
        <v/>
      </c>
      <c r="EW38" s="778" t="str">
        <f t="shared" si="102"/>
        <v/>
      </c>
      <c r="EX38" s="778" t="str">
        <f t="shared" si="103"/>
        <v/>
      </c>
      <c r="EY38" s="778" t="str">
        <f t="shared" si="104"/>
        <v/>
      </c>
      <c r="EZ38" s="778" t="str">
        <f t="shared" si="105"/>
        <v/>
      </c>
      <c r="FA38" s="778" t="str">
        <f t="shared" si="106"/>
        <v/>
      </c>
      <c r="FB38" s="778" t="str">
        <f t="shared" si="107"/>
        <v/>
      </c>
      <c r="FC38" s="778" t="str">
        <f t="shared" si="108"/>
        <v/>
      </c>
      <c r="FD38" s="778" t="str">
        <f t="shared" si="109"/>
        <v/>
      </c>
      <c r="FE38" s="778" t="str">
        <f t="shared" si="110"/>
        <v/>
      </c>
      <c r="FF38" s="778" t="str">
        <f t="shared" si="111"/>
        <v/>
      </c>
      <c r="FG38" s="778" t="str">
        <f t="shared" si="112"/>
        <v/>
      </c>
      <c r="FH38" s="778" t="str">
        <f t="shared" si="113"/>
        <v/>
      </c>
      <c r="FI38" s="778" t="str">
        <f t="shared" si="114"/>
        <v/>
      </c>
      <c r="FJ38" s="778" t="str">
        <f t="shared" si="115"/>
        <v/>
      </c>
      <c r="FK38" s="778" t="str">
        <f t="shared" si="116"/>
        <v/>
      </c>
      <c r="FL38" s="778" t="str">
        <f t="shared" si="117"/>
        <v/>
      </c>
      <c r="FM38" s="778" t="str">
        <f t="shared" si="118"/>
        <v/>
      </c>
      <c r="FN38" s="778" t="str">
        <f t="shared" si="119"/>
        <v/>
      </c>
      <c r="FO38" s="778" t="str">
        <f t="shared" si="120"/>
        <v/>
      </c>
      <c r="FP38" s="778" t="str">
        <f t="shared" si="121"/>
        <v/>
      </c>
      <c r="FQ38" s="778" t="str">
        <f t="shared" si="122"/>
        <v/>
      </c>
      <c r="FR38" s="778" t="str">
        <f t="shared" si="123"/>
        <v/>
      </c>
      <c r="FS38" s="778" t="str">
        <f t="shared" si="124"/>
        <v/>
      </c>
      <c r="FT38" s="778" t="str">
        <f t="shared" si="125"/>
        <v/>
      </c>
      <c r="FU38" s="778" t="str">
        <f t="shared" si="126"/>
        <v/>
      </c>
      <c r="FV38" s="778" t="str">
        <f t="shared" si="127"/>
        <v/>
      </c>
      <c r="FW38" s="778" t="str">
        <f t="shared" si="128"/>
        <v/>
      </c>
      <c r="FX38" s="778" t="str">
        <f t="shared" si="129"/>
        <v/>
      </c>
      <c r="FY38" s="778" t="str">
        <f t="shared" si="130"/>
        <v/>
      </c>
      <c r="FZ38" s="778" t="str">
        <f t="shared" si="131"/>
        <v/>
      </c>
      <c r="GA38" s="778" t="str">
        <f t="shared" si="132"/>
        <v/>
      </c>
      <c r="GB38" s="778" t="str">
        <f t="shared" si="133"/>
        <v/>
      </c>
      <c r="GC38" s="778" t="str">
        <f t="shared" si="134"/>
        <v/>
      </c>
      <c r="GD38" s="778" t="str">
        <f t="shared" si="135"/>
        <v/>
      </c>
      <c r="GE38" s="778" t="str">
        <f t="shared" si="136"/>
        <v/>
      </c>
      <c r="GF38" s="778" t="str">
        <f t="shared" si="137"/>
        <v/>
      </c>
      <c r="GG38" s="778" t="str">
        <f t="shared" si="138"/>
        <v/>
      </c>
      <c r="GH38" s="778" t="str">
        <f t="shared" si="139"/>
        <v/>
      </c>
      <c r="GI38" s="778" t="str">
        <f t="shared" si="140"/>
        <v/>
      </c>
      <c r="GJ38" s="778" t="str">
        <f t="shared" si="141"/>
        <v/>
      </c>
      <c r="GK38" s="778" t="str">
        <f t="shared" si="142"/>
        <v/>
      </c>
      <c r="GL38" s="778" t="str">
        <f t="shared" si="143"/>
        <v/>
      </c>
      <c r="GM38" s="778" t="str">
        <f t="shared" si="144"/>
        <v/>
      </c>
      <c r="GN38" s="778" t="str">
        <f t="shared" si="145"/>
        <v/>
      </c>
      <c r="GO38" s="779" t="str">
        <f t="shared" si="146"/>
        <v/>
      </c>
      <c r="GP38" s="779" t="str">
        <f t="shared" si="147"/>
        <v/>
      </c>
      <c r="GQ38" s="779" t="str">
        <f t="shared" si="148"/>
        <v/>
      </c>
      <c r="GR38" s="779" t="str">
        <f t="shared" si="149"/>
        <v/>
      </c>
      <c r="GS38" s="779" t="str">
        <f t="shared" si="150"/>
        <v/>
      </c>
      <c r="GT38" s="758" t="str">
        <f t="shared" si="151"/>
        <v/>
      </c>
      <c r="GU38" s="758" t="str">
        <f t="shared" si="152"/>
        <v/>
      </c>
      <c r="GV38" s="758" t="str">
        <f t="shared" si="153"/>
        <v/>
      </c>
      <c r="GW38" s="758" t="str">
        <f t="shared" si="154"/>
        <v/>
      </c>
      <c r="GX38" s="758" t="str">
        <f t="shared" si="155"/>
        <v/>
      </c>
      <c r="GY38" s="758" t="str">
        <f t="shared" si="156"/>
        <v/>
      </c>
      <c r="GZ38" s="758" t="str">
        <f t="shared" si="157"/>
        <v/>
      </c>
      <c r="HA38" s="758" t="str">
        <f t="shared" si="158"/>
        <v/>
      </c>
      <c r="HB38" s="758" t="str">
        <f t="shared" si="159"/>
        <v/>
      </c>
      <c r="HC38" s="758" t="str">
        <f t="shared" si="160"/>
        <v/>
      </c>
      <c r="HD38" s="758" t="str">
        <f t="shared" si="161"/>
        <v/>
      </c>
      <c r="HE38" s="758" t="str">
        <f t="shared" si="162"/>
        <v/>
      </c>
      <c r="HF38" s="758" t="str">
        <f t="shared" si="163"/>
        <v/>
      </c>
      <c r="HG38" s="758" t="str">
        <f t="shared" si="164"/>
        <v/>
      </c>
      <c r="HH38" s="758" t="str">
        <f t="shared" si="165"/>
        <v/>
      </c>
      <c r="HI38" s="758" t="str">
        <f t="shared" si="166"/>
        <v/>
      </c>
      <c r="HJ38" s="758" t="str">
        <f t="shared" si="167"/>
        <v/>
      </c>
      <c r="HK38" s="758" t="str">
        <f t="shared" si="168"/>
        <v/>
      </c>
      <c r="HL38" s="758" t="str">
        <f t="shared" si="169"/>
        <v/>
      </c>
      <c r="HM38" s="758" t="str">
        <f t="shared" si="170"/>
        <v/>
      </c>
    </row>
    <row r="39" spans="1:221" ht="13.35" customHeight="1">
      <c r="A39" s="148" t="str">
        <f t="shared" si="171"/>
        <v/>
      </c>
      <c r="B39" s="1515" t="s">
        <v>1533</v>
      </c>
      <c r="C39" s="1516"/>
      <c r="D39" s="1517"/>
      <c r="E39" s="1518"/>
      <c r="F39" s="1518"/>
      <c r="G39" s="1518"/>
      <c r="H39" s="1518"/>
      <c r="I39" s="1518"/>
      <c r="J39" s="1519"/>
      <c r="K39" s="225">
        <f t="shared" ref="K39:K46" si="205">MAX(0,H39-I39)</f>
        <v>0</v>
      </c>
      <c r="L39" s="225">
        <f t="shared" si="0"/>
        <v>0</v>
      </c>
      <c r="M39" s="1520"/>
      <c r="N39" s="1520"/>
      <c r="O39" s="1520"/>
      <c r="P39" s="674" t="str">
        <f t="shared" si="203"/>
        <v/>
      </c>
      <c r="Q39" s="675" t="str">
        <f>IF(H39="","",P39/($P$6*VLOOKUP(C39,'DCA Underwriting Assumptions'!$J$84:$K$89,2,FALSE)))</f>
        <v/>
      </c>
      <c r="R39" s="821"/>
      <c r="S39" s="675"/>
      <c r="T39" s="1455"/>
      <c r="U39" s="1456"/>
      <c r="V39" s="758" t="str">
        <f t="shared" si="1"/>
        <v/>
      </c>
      <c r="W39" s="758" t="str">
        <f t="shared" si="2"/>
        <v/>
      </c>
      <c r="X39" s="758" t="str">
        <f t="shared" si="3"/>
        <v/>
      </c>
      <c r="Y39" s="758" t="str">
        <f t="shared" si="4"/>
        <v/>
      </c>
      <c r="Z39" s="758" t="str">
        <f t="shared" si="5"/>
        <v/>
      </c>
      <c r="AA39" s="758" t="str">
        <f t="shared" si="6"/>
        <v/>
      </c>
      <c r="AB39" s="758" t="str">
        <f t="shared" si="7"/>
        <v/>
      </c>
      <c r="AC39" s="758" t="str">
        <f t="shared" si="8"/>
        <v/>
      </c>
      <c r="AD39" s="758" t="str">
        <f t="shared" si="9"/>
        <v/>
      </c>
      <c r="AE39" s="758" t="str">
        <f t="shared" si="10"/>
        <v/>
      </c>
      <c r="AF39" s="758" t="str">
        <f t="shared" si="11"/>
        <v/>
      </c>
      <c r="AG39" s="758" t="str">
        <f t="shared" si="12"/>
        <v/>
      </c>
      <c r="AH39" s="758" t="str">
        <f t="shared" si="13"/>
        <v/>
      </c>
      <c r="AI39" s="758" t="str">
        <f t="shared" si="14"/>
        <v/>
      </c>
      <c r="AJ39" s="758" t="str">
        <f t="shared" si="15"/>
        <v/>
      </c>
      <c r="AK39" s="758" t="str">
        <f t="shared" si="16"/>
        <v/>
      </c>
      <c r="AL39" s="758" t="str">
        <f t="shared" si="17"/>
        <v/>
      </c>
      <c r="AM39" s="758" t="str">
        <f t="shared" si="18"/>
        <v/>
      </c>
      <c r="AN39" s="758" t="str">
        <f t="shared" si="19"/>
        <v/>
      </c>
      <c r="AO39" s="758" t="str">
        <f t="shared" si="20"/>
        <v/>
      </c>
      <c r="AP39" s="758" t="str">
        <f t="shared" si="173"/>
        <v/>
      </c>
      <c r="AQ39" s="758" t="str">
        <f t="shared" si="174"/>
        <v/>
      </c>
      <c r="AR39" s="758" t="str">
        <f t="shared" si="175"/>
        <v/>
      </c>
      <c r="AS39" s="758" t="str">
        <f t="shared" si="176"/>
        <v/>
      </c>
      <c r="AT39" s="758" t="str">
        <f t="shared" si="177"/>
        <v/>
      </c>
      <c r="AU39" s="758" t="str">
        <f t="shared" si="178"/>
        <v/>
      </c>
      <c r="AV39" s="758" t="str">
        <f t="shared" si="179"/>
        <v/>
      </c>
      <c r="AW39" s="758" t="str">
        <f t="shared" si="180"/>
        <v/>
      </c>
      <c r="AX39" s="758" t="str">
        <f t="shared" si="181"/>
        <v/>
      </c>
      <c r="AY39" s="758" t="str">
        <f t="shared" si="182"/>
        <v/>
      </c>
      <c r="AZ39" s="758" t="str">
        <f t="shared" si="183"/>
        <v/>
      </c>
      <c r="BA39" s="758" t="str">
        <f t="shared" si="184"/>
        <v/>
      </c>
      <c r="BB39" s="758" t="str">
        <f t="shared" si="185"/>
        <v/>
      </c>
      <c r="BC39" s="758" t="str">
        <f t="shared" si="186"/>
        <v/>
      </c>
      <c r="BD39" s="758" t="str">
        <f t="shared" si="187"/>
        <v/>
      </c>
      <c r="BE39" s="758" t="str">
        <f t="shared" si="188"/>
        <v/>
      </c>
      <c r="BF39" s="758" t="str">
        <f t="shared" si="189"/>
        <v/>
      </c>
      <c r="BG39" s="758" t="str">
        <f t="shared" si="190"/>
        <v/>
      </c>
      <c r="BH39" s="758" t="str">
        <f t="shared" si="191"/>
        <v/>
      </c>
      <c r="BI39" s="758" t="str">
        <f t="shared" si="192"/>
        <v/>
      </c>
      <c r="BJ39" s="758" t="str">
        <f t="shared" si="193"/>
        <v/>
      </c>
      <c r="BK39" s="758" t="str">
        <f t="shared" si="194"/>
        <v/>
      </c>
      <c r="BL39" s="758" t="str">
        <f t="shared" si="195"/>
        <v/>
      </c>
      <c r="BM39" s="758" t="str">
        <f t="shared" si="196"/>
        <v/>
      </c>
      <c r="BN39" s="758" t="str">
        <f t="shared" si="197"/>
        <v/>
      </c>
      <c r="BO39" s="758" t="str">
        <f t="shared" si="198"/>
        <v/>
      </c>
      <c r="BP39" s="758" t="str">
        <f t="shared" si="199"/>
        <v/>
      </c>
      <c r="BQ39" s="758" t="str">
        <f t="shared" si="200"/>
        <v/>
      </c>
      <c r="BR39" s="758" t="str">
        <f t="shared" si="201"/>
        <v/>
      </c>
      <c r="BS39" s="758" t="str">
        <f t="shared" si="202"/>
        <v/>
      </c>
      <c r="BT39" s="758" t="str">
        <f t="shared" si="21"/>
        <v/>
      </c>
      <c r="BU39" s="758" t="str">
        <f t="shared" si="22"/>
        <v/>
      </c>
      <c r="BV39" s="758" t="str">
        <f t="shared" si="23"/>
        <v/>
      </c>
      <c r="BW39" s="758" t="str">
        <f t="shared" si="24"/>
        <v/>
      </c>
      <c r="BX39" s="758" t="str">
        <f t="shared" si="25"/>
        <v/>
      </c>
      <c r="BY39" s="758" t="str">
        <f t="shared" si="26"/>
        <v/>
      </c>
      <c r="BZ39" s="758" t="str">
        <f t="shared" si="27"/>
        <v/>
      </c>
      <c r="CA39" s="758" t="str">
        <f t="shared" si="28"/>
        <v/>
      </c>
      <c r="CB39" s="758" t="str">
        <f t="shared" si="29"/>
        <v/>
      </c>
      <c r="CC39" s="758" t="str">
        <f t="shared" si="30"/>
        <v/>
      </c>
      <c r="CD39" s="758" t="str">
        <f t="shared" si="31"/>
        <v/>
      </c>
      <c r="CE39" s="758" t="str">
        <f t="shared" si="32"/>
        <v/>
      </c>
      <c r="CF39" s="758" t="str">
        <f t="shared" si="33"/>
        <v/>
      </c>
      <c r="CG39" s="758" t="str">
        <f t="shared" si="34"/>
        <v/>
      </c>
      <c r="CH39" s="758" t="str">
        <f t="shared" si="35"/>
        <v/>
      </c>
      <c r="CI39" s="758" t="str">
        <f t="shared" si="36"/>
        <v/>
      </c>
      <c r="CJ39" s="758" t="str">
        <f t="shared" si="37"/>
        <v/>
      </c>
      <c r="CK39" s="758" t="str">
        <f t="shared" si="38"/>
        <v/>
      </c>
      <c r="CL39" s="758" t="str">
        <f t="shared" si="39"/>
        <v/>
      </c>
      <c r="CM39" s="758" t="str">
        <f t="shared" si="40"/>
        <v/>
      </c>
      <c r="CN39" s="758" t="str">
        <f t="shared" si="41"/>
        <v/>
      </c>
      <c r="CO39" s="758" t="str">
        <f t="shared" si="42"/>
        <v/>
      </c>
      <c r="CP39" s="758" t="str">
        <f t="shared" si="43"/>
        <v/>
      </c>
      <c r="CQ39" s="758" t="str">
        <f t="shared" si="44"/>
        <v/>
      </c>
      <c r="CR39" s="758" t="str">
        <f t="shared" si="45"/>
        <v/>
      </c>
      <c r="CS39" s="758" t="str">
        <f t="shared" si="46"/>
        <v/>
      </c>
      <c r="CT39" s="758" t="str">
        <f t="shared" si="47"/>
        <v/>
      </c>
      <c r="CU39" s="758" t="str">
        <f t="shared" si="48"/>
        <v/>
      </c>
      <c r="CV39" s="758" t="str">
        <f t="shared" si="49"/>
        <v/>
      </c>
      <c r="CW39" s="758" t="str">
        <f t="shared" si="50"/>
        <v/>
      </c>
      <c r="CX39" s="758" t="str">
        <f t="shared" si="51"/>
        <v/>
      </c>
      <c r="CY39" s="758" t="str">
        <f t="shared" si="52"/>
        <v/>
      </c>
      <c r="CZ39" s="758" t="str">
        <f t="shared" si="53"/>
        <v/>
      </c>
      <c r="DA39" s="758" t="str">
        <f t="shared" si="54"/>
        <v/>
      </c>
      <c r="DB39" s="758" t="str">
        <f t="shared" si="55"/>
        <v/>
      </c>
      <c r="DC39" s="758" t="str">
        <f t="shared" si="56"/>
        <v/>
      </c>
      <c r="DD39" s="758" t="str">
        <f t="shared" si="57"/>
        <v/>
      </c>
      <c r="DE39" s="758" t="str">
        <f t="shared" si="58"/>
        <v/>
      </c>
      <c r="DF39" s="758" t="str">
        <f t="shared" si="59"/>
        <v/>
      </c>
      <c r="DG39" s="758" t="str">
        <f t="shared" si="60"/>
        <v/>
      </c>
      <c r="DH39" s="758" t="str">
        <f t="shared" si="61"/>
        <v/>
      </c>
      <c r="DI39" s="758" t="str">
        <f t="shared" si="62"/>
        <v/>
      </c>
      <c r="DJ39" s="758" t="str">
        <f t="shared" si="63"/>
        <v/>
      </c>
      <c r="DK39" s="758" t="str">
        <f t="shared" si="64"/>
        <v/>
      </c>
      <c r="DL39" s="758" t="str">
        <f t="shared" si="65"/>
        <v/>
      </c>
      <c r="DM39" s="758" t="str">
        <f t="shared" si="66"/>
        <v/>
      </c>
      <c r="DN39" s="758" t="str">
        <f t="shared" si="67"/>
        <v/>
      </c>
      <c r="DO39" s="758" t="str">
        <f t="shared" si="68"/>
        <v/>
      </c>
      <c r="DP39" s="758" t="str">
        <f t="shared" si="69"/>
        <v/>
      </c>
      <c r="DQ39" s="758" t="str">
        <f t="shared" si="70"/>
        <v/>
      </c>
      <c r="DR39" s="758" t="str">
        <f t="shared" si="71"/>
        <v/>
      </c>
      <c r="DS39" s="758" t="str">
        <f t="shared" si="72"/>
        <v/>
      </c>
      <c r="DT39" s="758" t="str">
        <f t="shared" si="73"/>
        <v/>
      </c>
      <c r="DU39" s="758" t="str">
        <f t="shared" si="74"/>
        <v/>
      </c>
      <c r="DV39" s="758" t="str">
        <f t="shared" si="75"/>
        <v/>
      </c>
      <c r="DW39" s="758" t="str">
        <f t="shared" si="76"/>
        <v/>
      </c>
      <c r="DX39" s="758" t="str">
        <f t="shared" si="77"/>
        <v/>
      </c>
      <c r="DY39" s="758" t="str">
        <f t="shared" si="78"/>
        <v/>
      </c>
      <c r="DZ39" s="758" t="str">
        <f t="shared" si="79"/>
        <v/>
      </c>
      <c r="EA39" s="758" t="str">
        <f t="shared" si="80"/>
        <v/>
      </c>
      <c r="EB39" s="758" t="str">
        <f t="shared" si="81"/>
        <v/>
      </c>
      <c r="EC39" s="758" t="str">
        <f t="shared" si="82"/>
        <v/>
      </c>
      <c r="ED39" s="758" t="str">
        <f t="shared" si="83"/>
        <v/>
      </c>
      <c r="EE39" s="758" t="str">
        <f t="shared" si="84"/>
        <v/>
      </c>
      <c r="EF39" s="758" t="str">
        <f t="shared" si="85"/>
        <v/>
      </c>
      <c r="EG39" s="758" t="str">
        <f t="shared" si="86"/>
        <v/>
      </c>
      <c r="EH39" s="758" t="str">
        <f t="shared" si="87"/>
        <v/>
      </c>
      <c r="EI39" s="758" t="str">
        <f t="shared" si="88"/>
        <v/>
      </c>
      <c r="EJ39" s="758" t="str">
        <f t="shared" si="89"/>
        <v/>
      </c>
      <c r="EK39" s="758" t="str">
        <f t="shared" si="90"/>
        <v/>
      </c>
      <c r="EL39" s="758" t="str">
        <f t="shared" si="91"/>
        <v/>
      </c>
      <c r="EM39" s="758" t="str">
        <f t="shared" si="92"/>
        <v/>
      </c>
      <c r="EN39" s="758" t="str">
        <f t="shared" si="93"/>
        <v/>
      </c>
      <c r="EO39" s="758" t="str">
        <f t="shared" si="94"/>
        <v/>
      </c>
      <c r="EP39" s="758" t="str">
        <f t="shared" si="95"/>
        <v/>
      </c>
      <c r="EQ39" s="758" t="str">
        <f t="shared" si="96"/>
        <v/>
      </c>
      <c r="ER39" s="758" t="str">
        <f t="shared" si="97"/>
        <v/>
      </c>
      <c r="ES39" s="758" t="str">
        <f t="shared" si="98"/>
        <v/>
      </c>
      <c r="ET39" s="758" t="str">
        <f t="shared" si="99"/>
        <v/>
      </c>
      <c r="EU39" s="758" t="str">
        <f t="shared" si="100"/>
        <v/>
      </c>
      <c r="EV39" s="778" t="str">
        <f t="shared" si="101"/>
        <v/>
      </c>
      <c r="EW39" s="778" t="str">
        <f t="shared" si="102"/>
        <v/>
      </c>
      <c r="EX39" s="778" t="str">
        <f t="shared" si="103"/>
        <v/>
      </c>
      <c r="EY39" s="778" t="str">
        <f t="shared" si="104"/>
        <v/>
      </c>
      <c r="EZ39" s="778" t="str">
        <f t="shared" si="105"/>
        <v/>
      </c>
      <c r="FA39" s="778" t="str">
        <f t="shared" si="106"/>
        <v/>
      </c>
      <c r="FB39" s="778" t="str">
        <f t="shared" si="107"/>
        <v/>
      </c>
      <c r="FC39" s="778" t="str">
        <f t="shared" si="108"/>
        <v/>
      </c>
      <c r="FD39" s="778" t="str">
        <f t="shared" si="109"/>
        <v/>
      </c>
      <c r="FE39" s="778" t="str">
        <f t="shared" si="110"/>
        <v/>
      </c>
      <c r="FF39" s="778" t="str">
        <f t="shared" si="111"/>
        <v/>
      </c>
      <c r="FG39" s="778" t="str">
        <f t="shared" si="112"/>
        <v/>
      </c>
      <c r="FH39" s="778" t="str">
        <f t="shared" si="113"/>
        <v/>
      </c>
      <c r="FI39" s="778" t="str">
        <f t="shared" si="114"/>
        <v/>
      </c>
      <c r="FJ39" s="778" t="str">
        <f t="shared" si="115"/>
        <v/>
      </c>
      <c r="FK39" s="778" t="str">
        <f t="shared" si="116"/>
        <v/>
      </c>
      <c r="FL39" s="778" t="str">
        <f t="shared" si="117"/>
        <v/>
      </c>
      <c r="FM39" s="778" t="str">
        <f t="shared" si="118"/>
        <v/>
      </c>
      <c r="FN39" s="778" t="str">
        <f t="shared" si="119"/>
        <v/>
      </c>
      <c r="FO39" s="778" t="str">
        <f t="shared" si="120"/>
        <v/>
      </c>
      <c r="FP39" s="778" t="str">
        <f t="shared" si="121"/>
        <v/>
      </c>
      <c r="FQ39" s="778" t="str">
        <f t="shared" si="122"/>
        <v/>
      </c>
      <c r="FR39" s="778" t="str">
        <f t="shared" si="123"/>
        <v/>
      </c>
      <c r="FS39" s="778" t="str">
        <f t="shared" si="124"/>
        <v/>
      </c>
      <c r="FT39" s="778" t="str">
        <f t="shared" si="125"/>
        <v/>
      </c>
      <c r="FU39" s="778" t="str">
        <f t="shared" si="126"/>
        <v/>
      </c>
      <c r="FV39" s="778" t="str">
        <f t="shared" si="127"/>
        <v/>
      </c>
      <c r="FW39" s="778" t="str">
        <f t="shared" si="128"/>
        <v/>
      </c>
      <c r="FX39" s="778" t="str">
        <f t="shared" si="129"/>
        <v/>
      </c>
      <c r="FY39" s="778" t="str">
        <f t="shared" si="130"/>
        <v/>
      </c>
      <c r="FZ39" s="778" t="str">
        <f t="shared" si="131"/>
        <v/>
      </c>
      <c r="GA39" s="778" t="str">
        <f t="shared" si="132"/>
        <v/>
      </c>
      <c r="GB39" s="778" t="str">
        <f t="shared" si="133"/>
        <v/>
      </c>
      <c r="GC39" s="778" t="str">
        <f t="shared" si="134"/>
        <v/>
      </c>
      <c r="GD39" s="778" t="str">
        <f t="shared" si="135"/>
        <v/>
      </c>
      <c r="GE39" s="778" t="str">
        <f t="shared" si="136"/>
        <v/>
      </c>
      <c r="GF39" s="778" t="str">
        <f t="shared" si="137"/>
        <v/>
      </c>
      <c r="GG39" s="778" t="str">
        <f t="shared" si="138"/>
        <v/>
      </c>
      <c r="GH39" s="778" t="str">
        <f t="shared" si="139"/>
        <v/>
      </c>
      <c r="GI39" s="778" t="str">
        <f t="shared" si="140"/>
        <v/>
      </c>
      <c r="GJ39" s="778" t="str">
        <f t="shared" si="141"/>
        <v/>
      </c>
      <c r="GK39" s="778" t="str">
        <f t="shared" si="142"/>
        <v/>
      </c>
      <c r="GL39" s="778" t="str">
        <f t="shared" si="143"/>
        <v/>
      </c>
      <c r="GM39" s="778" t="str">
        <f t="shared" si="144"/>
        <v/>
      </c>
      <c r="GN39" s="778" t="str">
        <f t="shared" si="145"/>
        <v/>
      </c>
      <c r="GO39" s="779" t="str">
        <f t="shared" si="146"/>
        <v/>
      </c>
      <c r="GP39" s="779" t="str">
        <f t="shared" si="147"/>
        <v/>
      </c>
      <c r="GQ39" s="779" t="str">
        <f t="shared" si="148"/>
        <v/>
      </c>
      <c r="GR39" s="779" t="str">
        <f t="shared" si="149"/>
        <v/>
      </c>
      <c r="GS39" s="779" t="str">
        <f t="shared" si="150"/>
        <v/>
      </c>
      <c r="GT39" s="758" t="str">
        <f t="shared" si="151"/>
        <v/>
      </c>
      <c r="GU39" s="758" t="str">
        <f t="shared" si="152"/>
        <v/>
      </c>
      <c r="GV39" s="758" t="str">
        <f t="shared" si="153"/>
        <v/>
      </c>
      <c r="GW39" s="758" t="str">
        <f t="shared" si="154"/>
        <v/>
      </c>
      <c r="GX39" s="758" t="str">
        <f t="shared" si="155"/>
        <v/>
      </c>
      <c r="GY39" s="758" t="str">
        <f t="shared" si="156"/>
        <v/>
      </c>
      <c r="GZ39" s="758" t="str">
        <f t="shared" si="157"/>
        <v/>
      </c>
      <c r="HA39" s="758" t="str">
        <f t="shared" si="158"/>
        <v/>
      </c>
      <c r="HB39" s="758" t="str">
        <f t="shared" si="159"/>
        <v/>
      </c>
      <c r="HC39" s="758" t="str">
        <f t="shared" si="160"/>
        <v/>
      </c>
      <c r="HD39" s="758" t="str">
        <f t="shared" si="161"/>
        <v/>
      </c>
      <c r="HE39" s="758" t="str">
        <f t="shared" si="162"/>
        <v/>
      </c>
      <c r="HF39" s="758" t="str">
        <f t="shared" si="163"/>
        <v/>
      </c>
      <c r="HG39" s="758" t="str">
        <f t="shared" si="164"/>
        <v/>
      </c>
      <c r="HH39" s="758" t="str">
        <f t="shared" si="165"/>
        <v/>
      </c>
      <c r="HI39" s="758" t="str">
        <f t="shared" si="166"/>
        <v/>
      </c>
      <c r="HJ39" s="758" t="str">
        <f t="shared" si="167"/>
        <v/>
      </c>
      <c r="HK39" s="758" t="str">
        <f t="shared" si="168"/>
        <v/>
      </c>
      <c r="HL39" s="758" t="str">
        <f t="shared" si="169"/>
        <v/>
      </c>
      <c r="HM39" s="758" t="str">
        <f t="shared" si="170"/>
        <v/>
      </c>
    </row>
    <row r="40" spans="1:221" ht="13.35" customHeight="1">
      <c r="A40" s="148" t="str">
        <f t="shared" si="171"/>
        <v/>
      </c>
      <c r="B40" s="1515" t="s">
        <v>1533</v>
      </c>
      <c r="C40" s="1516"/>
      <c r="D40" s="1517"/>
      <c r="E40" s="1518"/>
      <c r="F40" s="1518"/>
      <c r="G40" s="1518"/>
      <c r="H40" s="1518"/>
      <c r="I40" s="1518"/>
      <c r="J40" s="1519"/>
      <c r="K40" s="225">
        <f t="shared" si="205"/>
        <v>0</v>
      </c>
      <c r="L40" s="225">
        <f t="shared" si="0"/>
        <v>0</v>
      </c>
      <c r="M40" s="1520"/>
      <c r="N40" s="1520"/>
      <c r="O40" s="1520"/>
      <c r="P40" s="674" t="str">
        <f t="shared" si="203"/>
        <v/>
      </c>
      <c r="Q40" s="675" t="str">
        <f>IF(H40="","",P40/($P$6*VLOOKUP(C40,'DCA Underwriting Assumptions'!$J$84:$K$89,2,FALSE)))</f>
        <v/>
      </c>
      <c r="R40" s="821"/>
      <c r="S40" s="675"/>
      <c r="T40" s="1455"/>
      <c r="U40" s="1456"/>
      <c r="V40" s="758" t="str">
        <f t="shared" si="1"/>
        <v/>
      </c>
      <c r="W40" s="758" t="str">
        <f t="shared" si="2"/>
        <v/>
      </c>
      <c r="X40" s="758" t="str">
        <f t="shared" si="3"/>
        <v/>
      </c>
      <c r="Y40" s="758" t="str">
        <f t="shared" si="4"/>
        <v/>
      </c>
      <c r="Z40" s="758" t="str">
        <f t="shared" si="5"/>
        <v/>
      </c>
      <c r="AA40" s="758" t="str">
        <f t="shared" si="6"/>
        <v/>
      </c>
      <c r="AB40" s="758" t="str">
        <f t="shared" si="7"/>
        <v/>
      </c>
      <c r="AC40" s="758" t="str">
        <f t="shared" si="8"/>
        <v/>
      </c>
      <c r="AD40" s="758" t="str">
        <f t="shared" si="9"/>
        <v/>
      </c>
      <c r="AE40" s="758" t="str">
        <f t="shared" si="10"/>
        <v/>
      </c>
      <c r="AF40" s="758" t="str">
        <f t="shared" si="11"/>
        <v/>
      </c>
      <c r="AG40" s="758" t="str">
        <f t="shared" si="12"/>
        <v/>
      </c>
      <c r="AH40" s="758" t="str">
        <f t="shared" si="13"/>
        <v/>
      </c>
      <c r="AI40" s="758" t="str">
        <f t="shared" si="14"/>
        <v/>
      </c>
      <c r="AJ40" s="758" t="str">
        <f t="shared" si="15"/>
        <v/>
      </c>
      <c r="AK40" s="758" t="str">
        <f t="shared" si="16"/>
        <v/>
      </c>
      <c r="AL40" s="758" t="str">
        <f t="shared" si="17"/>
        <v/>
      </c>
      <c r="AM40" s="758" t="str">
        <f t="shared" si="18"/>
        <v/>
      </c>
      <c r="AN40" s="758" t="str">
        <f t="shared" si="19"/>
        <v/>
      </c>
      <c r="AO40" s="758" t="str">
        <f t="shared" si="20"/>
        <v/>
      </c>
      <c r="AP40" s="758" t="str">
        <f t="shared" si="173"/>
        <v/>
      </c>
      <c r="AQ40" s="758" t="str">
        <f t="shared" si="174"/>
        <v/>
      </c>
      <c r="AR40" s="758" t="str">
        <f t="shared" si="175"/>
        <v/>
      </c>
      <c r="AS40" s="758" t="str">
        <f t="shared" si="176"/>
        <v/>
      </c>
      <c r="AT40" s="758" t="str">
        <f t="shared" si="177"/>
        <v/>
      </c>
      <c r="AU40" s="758" t="str">
        <f t="shared" si="178"/>
        <v/>
      </c>
      <c r="AV40" s="758" t="str">
        <f t="shared" si="179"/>
        <v/>
      </c>
      <c r="AW40" s="758" t="str">
        <f t="shared" si="180"/>
        <v/>
      </c>
      <c r="AX40" s="758" t="str">
        <f t="shared" si="181"/>
        <v/>
      </c>
      <c r="AY40" s="758" t="str">
        <f t="shared" si="182"/>
        <v/>
      </c>
      <c r="AZ40" s="758" t="str">
        <f t="shared" si="183"/>
        <v/>
      </c>
      <c r="BA40" s="758" t="str">
        <f t="shared" si="184"/>
        <v/>
      </c>
      <c r="BB40" s="758" t="str">
        <f t="shared" si="185"/>
        <v/>
      </c>
      <c r="BC40" s="758" t="str">
        <f t="shared" si="186"/>
        <v/>
      </c>
      <c r="BD40" s="758" t="str">
        <f t="shared" si="187"/>
        <v/>
      </c>
      <c r="BE40" s="758" t="str">
        <f t="shared" si="188"/>
        <v/>
      </c>
      <c r="BF40" s="758" t="str">
        <f t="shared" si="189"/>
        <v/>
      </c>
      <c r="BG40" s="758" t="str">
        <f t="shared" si="190"/>
        <v/>
      </c>
      <c r="BH40" s="758" t="str">
        <f t="shared" si="191"/>
        <v/>
      </c>
      <c r="BI40" s="758" t="str">
        <f t="shared" si="192"/>
        <v/>
      </c>
      <c r="BJ40" s="758" t="str">
        <f t="shared" si="193"/>
        <v/>
      </c>
      <c r="BK40" s="758" t="str">
        <f t="shared" si="194"/>
        <v/>
      </c>
      <c r="BL40" s="758" t="str">
        <f t="shared" si="195"/>
        <v/>
      </c>
      <c r="BM40" s="758" t="str">
        <f t="shared" si="196"/>
        <v/>
      </c>
      <c r="BN40" s="758" t="str">
        <f t="shared" si="197"/>
        <v/>
      </c>
      <c r="BO40" s="758" t="str">
        <f t="shared" si="198"/>
        <v/>
      </c>
      <c r="BP40" s="758" t="str">
        <f t="shared" si="199"/>
        <v/>
      </c>
      <c r="BQ40" s="758" t="str">
        <f t="shared" si="200"/>
        <v/>
      </c>
      <c r="BR40" s="758" t="str">
        <f t="shared" si="201"/>
        <v/>
      </c>
      <c r="BS40" s="758" t="str">
        <f t="shared" si="202"/>
        <v/>
      </c>
      <c r="BT40" s="758" t="str">
        <f t="shared" si="21"/>
        <v/>
      </c>
      <c r="BU40" s="758" t="str">
        <f t="shared" si="22"/>
        <v/>
      </c>
      <c r="BV40" s="758" t="str">
        <f t="shared" si="23"/>
        <v/>
      </c>
      <c r="BW40" s="758" t="str">
        <f t="shared" si="24"/>
        <v/>
      </c>
      <c r="BX40" s="758" t="str">
        <f t="shared" si="25"/>
        <v/>
      </c>
      <c r="BY40" s="758" t="str">
        <f t="shared" si="26"/>
        <v/>
      </c>
      <c r="BZ40" s="758" t="str">
        <f t="shared" si="27"/>
        <v/>
      </c>
      <c r="CA40" s="758" t="str">
        <f t="shared" si="28"/>
        <v/>
      </c>
      <c r="CB40" s="758" t="str">
        <f t="shared" si="29"/>
        <v/>
      </c>
      <c r="CC40" s="758" t="str">
        <f t="shared" si="30"/>
        <v/>
      </c>
      <c r="CD40" s="758" t="str">
        <f t="shared" si="31"/>
        <v/>
      </c>
      <c r="CE40" s="758" t="str">
        <f t="shared" si="32"/>
        <v/>
      </c>
      <c r="CF40" s="758" t="str">
        <f t="shared" si="33"/>
        <v/>
      </c>
      <c r="CG40" s="758" t="str">
        <f t="shared" si="34"/>
        <v/>
      </c>
      <c r="CH40" s="758" t="str">
        <f t="shared" si="35"/>
        <v/>
      </c>
      <c r="CI40" s="758" t="str">
        <f t="shared" si="36"/>
        <v/>
      </c>
      <c r="CJ40" s="758" t="str">
        <f t="shared" si="37"/>
        <v/>
      </c>
      <c r="CK40" s="758" t="str">
        <f t="shared" si="38"/>
        <v/>
      </c>
      <c r="CL40" s="758" t="str">
        <f t="shared" si="39"/>
        <v/>
      </c>
      <c r="CM40" s="758" t="str">
        <f t="shared" si="40"/>
        <v/>
      </c>
      <c r="CN40" s="758" t="str">
        <f t="shared" si="41"/>
        <v/>
      </c>
      <c r="CO40" s="758" t="str">
        <f t="shared" si="42"/>
        <v/>
      </c>
      <c r="CP40" s="758" t="str">
        <f t="shared" si="43"/>
        <v/>
      </c>
      <c r="CQ40" s="758" t="str">
        <f t="shared" si="44"/>
        <v/>
      </c>
      <c r="CR40" s="758" t="str">
        <f t="shared" si="45"/>
        <v/>
      </c>
      <c r="CS40" s="758" t="str">
        <f t="shared" si="46"/>
        <v/>
      </c>
      <c r="CT40" s="758" t="str">
        <f t="shared" si="47"/>
        <v/>
      </c>
      <c r="CU40" s="758" t="str">
        <f t="shared" si="48"/>
        <v/>
      </c>
      <c r="CV40" s="758" t="str">
        <f t="shared" si="49"/>
        <v/>
      </c>
      <c r="CW40" s="758" t="str">
        <f t="shared" si="50"/>
        <v/>
      </c>
      <c r="CX40" s="758" t="str">
        <f t="shared" si="51"/>
        <v/>
      </c>
      <c r="CY40" s="758" t="str">
        <f t="shared" si="52"/>
        <v/>
      </c>
      <c r="CZ40" s="758" t="str">
        <f t="shared" si="53"/>
        <v/>
      </c>
      <c r="DA40" s="758" t="str">
        <f t="shared" si="54"/>
        <v/>
      </c>
      <c r="DB40" s="758" t="str">
        <f t="shared" si="55"/>
        <v/>
      </c>
      <c r="DC40" s="758" t="str">
        <f t="shared" si="56"/>
        <v/>
      </c>
      <c r="DD40" s="758" t="str">
        <f t="shared" si="57"/>
        <v/>
      </c>
      <c r="DE40" s="758" t="str">
        <f t="shared" si="58"/>
        <v/>
      </c>
      <c r="DF40" s="758" t="str">
        <f t="shared" si="59"/>
        <v/>
      </c>
      <c r="DG40" s="758" t="str">
        <f t="shared" si="60"/>
        <v/>
      </c>
      <c r="DH40" s="758" t="str">
        <f t="shared" si="61"/>
        <v/>
      </c>
      <c r="DI40" s="758" t="str">
        <f t="shared" si="62"/>
        <v/>
      </c>
      <c r="DJ40" s="758" t="str">
        <f t="shared" si="63"/>
        <v/>
      </c>
      <c r="DK40" s="758" t="str">
        <f t="shared" si="64"/>
        <v/>
      </c>
      <c r="DL40" s="758" t="str">
        <f t="shared" si="65"/>
        <v/>
      </c>
      <c r="DM40" s="758" t="str">
        <f t="shared" si="66"/>
        <v/>
      </c>
      <c r="DN40" s="758" t="str">
        <f t="shared" si="67"/>
        <v/>
      </c>
      <c r="DO40" s="758" t="str">
        <f t="shared" si="68"/>
        <v/>
      </c>
      <c r="DP40" s="758" t="str">
        <f t="shared" si="69"/>
        <v/>
      </c>
      <c r="DQ40" s="758" t="str">
        <f t="shared" si="70"/>
        <v/>
      </c>
      <c r="DR40" s="758" t="str">
        <f t="shared" si="71"/>
        <v/>
      </c>
      <c r="DS40" s="758" t="str">
        <f t="shared" si="72"/>
        <v/>
      </c>
      <c r="DT40" s="758" t="str">
        <f t="shared" si="73"/>
        <v/>
      </c>
      <c r="DU40" s="758" t="str">
        <f t="shared" si="74"/>
        <v/>
      </c>
      <c r="DV40" s="758" t="str">
        <f t="shared" si="75"/>
        <v/>
      </c>
      <c r="DW40" s="758" t="str">
        <f t="shared" si="76"/>
        <v/>
      </c>
      <c r="DX40" s="758" t="str">
        <f t="shared" si="77"/>
        <v/>
      </c>
      <c r="DY40" s="758" t="str">
        <f t="shared" si="78"/>
        <v/>
      </c>
      <c r="DZ40" s="758" t="str">
        <f t="shared" si="79"/>
        <v/>
      </c>
      <c r="EA40" s="758" t="str">
        <f t="shared" si="80"/>
        <v/>
      </c>
      <c r="EB40" s="758" t="str">
        <f t="shared" si="81"/>
        <v/>
      </c>
      <c r="EC40" s="758" t="str">
        <f t="shared" si="82"/>
        <v/>
      </c>
      <c r="ED40" s="758" t="str">
        <f t="shared" si="83"/>
        <v/>
      </c>
      <c r="EE40" s="758" t="str">
        <f t="shared" si="84"/>
        <v/>
      </c>
      <c r="EF40" s="758" t="str">
        <f t="shared" si="85"/>
        <v/>
      </c>
      <c r="EG40" s="758" t="str">
        <f t="shared" si="86"/>
        <v/>
      </c>
      <c r="EH40" s="758" t="str">
        <f t="shared" si="87"/>
        <v/>
      </c>
      <c r="EI40" s="758" t="str">
        <f t="shared" si="88"/>
        <v/>
      </c>
      <c r="EJ40" s="758" t="str">
        <f t="shared" si="89"/>
        <v/>
      </c>
      <c r="EK40" s="758" t="str">
        <f t="shared" si="90"/>
        <v/>
      </c>
      <c r="EL40" s="758" t="str">
        <f t="shared" si="91"/>
        <v/>
      </c>
      <c r="EM40" s="758" t="str">
        <f t="shared" si="92"/>
        <v/>
      </c>
      <c r="EN40" s="758" t="str">
        <f t="shared" si="93"/>
        <v/>
      </c>
      <c r="EO40" s="758" t="str">
        <f t="shared" si="94"/>
        <v/>
      </c>
      <c r="EP40" s="758" t="str">
        <f t="shared" si="95"/>
        <v/>
      </c>
      <c r="EQ40" s="758" t="str">
        <f t="shared" si="96"/>
        <v/>
      </c>
      <c r="ER40" s="758" t="str">
        <f t="shared" si="97"/>
        <v/>
      </c>
      <c r="ES40" s="758" t="str">
        <f t="shared" si="98"/>
        <v/>
      </c>
      <c r="ET40" s="758" t="str">
        <f t="shared" si="99"/>
        <v/>
      </c>
      <c r="EU40" s="758" t="str">
        <f t="shared" si="100"/>
        <v/>
      </c>
      <c r="EV40" s="778" t="str">
        <f t="shared" si="101"/>
        <v/>
      </c>
      <c r="EW40" s="778" t="str">
        <f t="shared" si="102"/>
        <v/>
      </c>
      <c r="EX40" s="778" t="str">
        <f t="shared" si="103"/>
        <v/>
      </c>
      <c r="EY40" s="778" t="str">
        <f t="shared" si="104"/>
        <v/>
      </c>
      <c r="EZ40" s="778" t="str">
        <f t="shared" si="105"/>
        <v/>
      </c>
      <c r="FA40" s="778" t="str">
        <f t="shared" si="106"/>
        <v/>
      </c>
      <c r="FB40" s="778" t="str">
        <f t="shared" si="107"/>
        <v/>
      </c>
      <c r="FC40" s="778" t="str">
        <f t="shared" si="108"/>
        <v/>
      </c>
      <c r="FD40" s="778" t="str">
        <f t="shared" si="109"/>
        <v/>
      </c>
      <c r="FE40" s="778" t="str">
        <f t="shared" si="110"/>
        <v/>
      </c>
      <c r="FF40" s="778" t="str">
        <f t="shared" si="111"/>
        <v/>
      </c>
      <c r="FG40" s="778" t="str">
        <f t="shared" si="112"/>
        <v/>
      </c>
      <c r="FH40" s="778" t="str">
        <f t="shared" si="113"/>
        <v/>
      </c>
      <c r="FI40" s="778" t="str">
        <f t="shared" si="114"/>
        <v/>
      </c>
      <c r="FJ40" s="778" t="str">
        <f t="shared" si="115"/>
        <v/>
      </c>
      <c r="FK40" s="778" t="str">
        <f t="shared" si="116"/>
        <v/>
      </c>
      <c r="FL40" s="778" t="str">
        <f t="shared" si="117"/>
        <v/>
      </c>
      <c r="FM40" s="778" t="str">
        <f t="shared" si="118"/>
        <v/>
      </c>
      <c r="FN40" s="778" t="str">
        <f t="shared" si="119"/>
        <v/>
      </c>
      <c r="FO40" s="778" t="str">
        <f t="shared" si="120"/>
        <v/>
      </c>
      <c r="FP40" s="778" t="str">
        <f t="shared" si="121"/>
        <v/>
      </c>
      <c r="FQ40" s="778" t="str">
        <f t="shared" si="122"/>
        <v/>
      </c>
      <c r="FR40" s="778" t="str">
        <f t="shared" si="123"/>
        <v/>
      </c>
      <c r="FS40" s="778" t="str">
        <f t="shared" si="124"/>
        <v/>
      </c>
      <c r="FT40" s="778" t="str">
        <f t="shared" si="125"/>
        <v/>
      </c>
      <c r="FU40" s="778" t="str">
        <f t="shared" si="126"/>
        <v/>
      </c>
      <c r="FV40" s="778" t="str">
        <f t="shared" si="127"/>
        <v/>
      </c>
      <c r="FW40" s="778" t="str">
        <f t="shared" si="128"/>
        <v/>
      </c>
      <c r="FX40" s="778" t="str">
        <f t="shared" si="129"/>
        <v/>
      </c>
      <c r="FY40" s="778" t="str">
        <f t="shared" si="130"/>
        <v/>
      </c>
      <c r="FZ40" s="778" t="str">
        <f t="shared" si="131"/>
        <v/>
      </c>
      <c r="GA40" s="778" t="str">
        <f t="shared" si="132"/>
        <v/>
      </c>
      <c r="GB40" s="778" t="str">
        <f t="shared" si="133"/>
        <v/>
      </c>
      <c r="GC40" s="778" t="str">
        <f t="shared" si="134"/>
        <v/>
      </c>
      <c r="GD40" s="778" t="str">
        <f t="shared" si="135"/>
        <v/>
      </c>
      <c r="GE40" s="778" t="str">
        <f t="shared" si="136"/>
        <v/>
      </c>
      <c r="GF40" s="778" t="str">
        <f t="shared" si="137"/>
        <v/>
      </c>
      <c r="GG40" s="778" t="str">
        <f t="shared" si="138"/>
        <v/>
      </c>
      <c r="GH40" s="778" t="str">
        <f t="shared" si="139"/>
        <v/>
      </c>
      <c r="GI40" s="778" t="str">
        <f t="shared" si="140"/>
        <v/>
      </c>
      <c r="GJ40" s="778" t="str">
        <f t="shared" si="141"/>
        <v/>
      </c>
      <c r="GK40" s="778" t="str">
        <f t="shared" si="142"/>
        <v/>
      </c>
      <c r="GL40" s="778" t="str">
        <f t="shared" si="143"/>
        <v/>
      </c>
      <c r="GM40" s="778" t="str">
        <f t="shared" si="144"/>
        <v/>
      </c>
      <c r="GN40" s="778" t="str">
        <f t="shared" si="145"/>
        <v/>
      </c>
      <c r="GO40" s="779" t="str">
        <f t="shared" si="146"/>
        <v/>
      </c>
      <c r="GP40" s="779" t="str">
        <f t="shared" si="147"/>
        <v/>
      </c>
      <c r="GQ40" s="779" t="str">
        <f t="shared" si="148"/>
        <v/>
      </c>
      <c r="GR40" s="779" t="str">
        <f t="shared" si="149"/>
        <v/>
      </c>
      <c r="GS40" s="779" t="str">
        <f t="shared" si="150"/>
        <v/>
      </c>
      <c r="GT40" s="758" t="str">
        <f t="shared" si="151"/>
        <v/>
      </c>
      <c r="GU40" s="758" t="str">
        <f t="shared" si="152"/>
        <v/>
      </c>
      <c r="GV40" s="758" t="str">
        <f t="shared" si="153"/>
        <v/>
      </c>
      <c r="GW40" s="758" t="str">
        <f t="shared" si="154"/>
        <v/>
      </c>
      <c r="GX40" s="758" t="str">
        <f t="shared" si="155"/>
        <v/>
      </c>
      <c r="GY40" s="758" t="str">
        <f t="shared" si="156"/>
        <v/>
      </c>
      <c r="GZ40" s="758" t="str">
        <f t="shared" si="157"/>
        <v/>
      </c>
      <c r="HA40" s="758" t="str">
        <f t="shared" si="158"/>
        <v/>
      </c>
      <c r="HB40" s="758" t="str">
        <f t="shared" si="159"/>
        <v/>
      </c>
      <c r="HC40" s="758" t="str">
        <f t="shared" si="160"/>
        <v/>
      </c>
      <c r="HD40" s="758" t="str">
        <f t="shared" si="161"/>
        <v/>
      </c>
      <c r="HE40" s="758" t="str">
        <f t="shared" si="162"/>
        <v/>
      </c>
      <c r="HF40" s="758" t="str">
        <f t="shared" si="163"/>
        <v/>
      </c>
      <c r="HG40" s="758" t="str">
        <f t="shared" si="164"/>
        <v/>
      </c>
      <c r="HH40" s="758" t="str">
        <f t="shared" si="165"/>
        <v/>
      </c>
      <c r="HI40" s="758" t="str">
        <f t="shared" si="166"/>
        <v/>
      </c>
      <c r="HJ40" s="758" t="str">
        <f t="shared" si="167"/>
        <v/>
      </c>
      <c r="HK40" s="758" t="str">
        <f t="shared" si="168"/>
        <v/>
      </c>
      <c r="HL40" s="758" t="str">
        <f t="shared" si="169"/>
        <v/>
      </c>
      <c r="HM40" s="758" t="str">
        <f t="shared" si="170"/>
        <v/>
      </c>
    </row>
    <row r="41" spans="1:221" ht="13.35" customHeight="1">
      <c r="A41" s="148" t="str">
        <f t="shared" si="171"/>
        <v/>
      </c>
      <c r="B41" s="1515" t="s">
        <v>1533</v>
      </c>
      <c r="C41" s="1516"/>
      <c r="D41" s="1517"/>
      <c r="E41" s="1518"/>
      <c r="F41" s="1518"/>
      <c r="G41" s="1518"/>
      <c r="H41" s="1518"/>
      <c r="I41" s="1518"/>
      <c r="J41" s="1519"/>
      <c r="K41" s="225">
        <f t="shared" si="205"/>
        <v>0</v>
      </c>
      <c r="L41" s="225">
        <f t="shared" si="0"/>
        <v>0</v>
      </c>
      <c r="M41" s="1520"/>
      <c r="N41" s="1520"/>
      <c r="O41" s="1520"/>
      <c r="P41" s="674" t="str">
        <f t="shared" si="203"/>
        <v/>
      </c>
      <c r="Q41" s="675" t="str">
        <f>IF(H41="","",P41/($P$6*VLOOKUP(C41,'DCA Underwriting Assumptions'!$J$84:$K$89,2,FALSE)))</f>
        <v/>
      </c>
      <c r="R41" s="821"/>
      <c r="S41" s="675"/>
      <c r="T41" s="1455"/>
      <c r="U41" s="1456"/>
      <c r="V41" s="758" t="str">
        <f t="shared" si="1"/>
        <v/>
      </c>
      <c r="W41" s="758" t="str">
        <f t="shared" si="2"/>
        <v/>
      </c>
      <c r="X41" s="758" t="str">
        <f t="shared" si="3"/>
        <v/>
      </c>
      <c r="Y41" s="758" t="str">
        <f t="shared" si="4"/>
        <v/>
      </c>
      <c r="Z41" s="758" t="str">
        <f t="shared" si="5"/>
        <v/>
      </c>
      <c r="AA41" s="758" t="str">
        <f t="shared" si="6"/>
        <v/>
      </c>
      <c r="AB41" s="758" t="str">
        <f t="shared" si="7"/>
        <v/>
      </c>
      <c r="AC41" s="758" t="str">
        <f t="shared" si="8"/>
        <v/>
      </c>
      <c r="AD41" s="758" t="str">
        <f t="shared" si="9"/>
        <v/>
      </c>
      <c r="AE41" s="758" t="str">
        <f t="shared" si="10"/>
        <v/>
      </c>
      <c r="AF41" s="758" t="str">
        <f t="shared" si="11"/>
        <v/>
      </c>
      <c r="AG41" s="758" t="str">
        <f t="shared" si="12"/>
        <v/>
      </c>
      <c r="AH41" s="758" t="str">
        <f t="shared" si="13"/>
        <v/>
      </c>
      <c r="AI41" s="758" t="str">
        <f t="shared" si="14"/>
        <v/>
      </c>
      <c r="AJ41" s="758" t="str">
        <f t="shared" si="15"/>
        <v/>
      </c>
      <c r="AK41" s="758" t="str">
        <f t="shared" si="16"/>
        <v/>
      </c>
      <c r="AL41" s="758" t="str">
        <f t="shared" si="17"/>
        <v/>
      </c>
      <c r="AM41" s="758" t="str">
        <f t="shared" si="18"/>
        <v/>
      </c>
      <c r="AN41" s="758" t="str">
        <f t="shared" si="19"/>
        <v/>
      </c>
      <c r="AO41" s="758" t="str">
        <f t="shared" si="20"/>
        <v/>
      </c>
      <c r="AP41" s="758" t="str">
        <f t="shared" si="173"/>
        <v/>
      </c>
      <c r="AQ41" s="758" t="str">
        <f t="shared" si="174"/>
        <v/>
      </c>
      <c r="AR41" s="758" t="str">
        <f t="shared" si="175"/>
        <v/>
      </c>
      <c r="AS41" s="758" t="str">
        <f t="shared" si="176"/>
        <v/>
      </c>
      <c r="AT41" s="758" t="str">
        <f t="shared" si="177"/>
        <v/>
      </c>
      <c r="AU41" s="758" t="str">
        <f t="shared" si="178"/>
        <v/>
      </c>
      <c r="AV41" s="758" t="str">
        <f t="shared" si="179"/>
        <v/>
      </c>
      <c r="AW41" s="758" t="str">
        <f t="shared" si="180"/>
        <v/>
      </c>
      <c r="AX41" s="758" t="str">
        <f t="shared" si="181"/>
        <v/>
      </c>
      <c r="AY41" s="758" t="str">
        <f t="shared" si="182"/>
        <v/>
      </c>
      <c r="AZ41" s="758" t="str">
        <f t="shared" si="183"/>
        <v/>
      </c>
      <c r="BA41" s="758" t="str">
        <f t="shared" si="184"/>
        <v/>
      </c>
      <c r="BB41" s="758" t="str">
        <f t="shared" si="185"/>
        <v/>
      </c>
      <c r="BC41" s="758" t="str">
        <f t="shared" si="186"/>
        <v/>
      </c>
      <c r="BD41" s="758" t="str">
        <f t="shared" si="187"/>
        <v/>
      </c>
      <c r="BE41" s="758" t="str">
        <f t="shared" si="188"/>
        <v/>
      </c>
      <c r="BF41" s="758" t="str">
        <f t="shared" si="189"/>
        <v/>
      </c>
      <c r="BG41" s="758" t="str">
        <f t="shared" si="190"/>
        <v/>
      </c>
      <c r="BH41" s="758" t="str">
        <f t="shared" si="191"/>
        <v/>
      </c>
      <c r="BI41" s="758" t="str">
        <f t="shared" si="192"/>
        <v/>
      </c>
      <c r="BJ41" s="758" t="str">
        <f t="shared" si="193"/>
        <v/>
      </c>
      <c r="BK41" s="758" t="str">
        <f t="shared" si="194"/>
        <v/>
      </c>
      <c r="BL41" s="758" t="str">
        <f t="shared" si="195"/>
        <v/>
      </c>
      <c r="BM41" s="758" t="str">
        <f t="shared" si="196"/>
        <v/>
      </c>
      <c r="BN41" s="758" t="str">
        <f t="shared" si="197"/>
        <v/>
      </c>
      <c r="BO41" s="758" t="str">
        <f t="shared" si="198"/>
        <v/>
      </c>
      <c r="BP41" s="758" t="str">
        <f t="shared" si="199"/>
        <v/>
      </c>
      <c r="BQ41" s="758" t="str">
        <f t="shared" si="200"/>
        <v/>
      </c>
      <c r="BR41" s="758" t="str">
        <f t="shared" si="201"/>
        <v/>
      </c>
      <c r="BS41" s="758" t="str">
        <f t="shared" si="202"/>
        <v/>
      </c>
      <c r="BT41" s="758" t="str">
        <f t="shared" si="21"/>
        <v/>
      </c>
      <c r="BU41" s="758" t="str">
        <f t="shared" si="22"/>
        <v/>
      </c>
      <c r="BV41" s="758" t="str">
        <f t="shared" si="23"/>
        <v/>
      </c>
      <c r="BW41" s="758" t="str">
        <f t="shared" si="24"/>
        <v/>
      </c>
      <c r="BX41" s="758" t="str">
        <f t="shared" si="25"/>
        <v/>
      </c>
      <c r="BY41" s="758" t="str">
        <f t="shared" si="26"/>
        <v/>
      </c>
      <c r="BZ41" s="758" t="str">
        <f t="shared" si="27"/>
        <v/>
      </c>
      <c r="CA41" s="758" t="str">
        <f t="shared" si="28"/>
        <v/>
      </c>
      <c r="CB41" s="758" t="str">
        <f t="shared" si="29"/>
        <v/>
      </c>
      <c r="CC41" s="758" t="str">
        <f t="shared" si="30"/>
        <v/>
      </c>
      <c r="CD41" s="758" t="str">
        <f t="shared" si="31"/>
        <v/>
      </c>
      <c r="CE41" s="758" t="str">
        <f t="shared" si="32"/>
        <v/>
      </c>
      <c r="CF41" s="758" t="str">
        <f t="shared" si="33"/>
        <v/>
      </c>
      <c r="CG41" s="758" t="str">
        <f t="shared" si="34"/>
        <v/>
      </c>
      <c r="CH41" s="758" t="str">
        <f t="shared" si="35"/>
        <v/>
      </c>
      <c r="CI41" s="758" t="str">
        <f t="shared" si="36"/>
        <v/>
      </c>
      <c r="CJ41" s="758" t="str">
        <f t="shared" si="37"/>
        <v/>
      </c>
      <c r="CK41" s="758" t="str">
        <f t="shared" si="38"/>
        <v/>
      </c>
      <c r="CL41" s="758" t="str">
        <f t="shared" si="39"/>
        <v/>
      </c>
      <c r="CM41" s="758" t="str">
        <f t="shared" si="40"/>
        <v/>
      </c>
      <c r="CN41" s="758" t="str">
        <f t="shared" si="41"/>
        <v/>
      </c>
      <c r="CO41" s="758" t="str">
        <f t="shared" si="42"/>
        <v/>
      </c>
      <c r="CP41" s="758" t="str">
        <f t="shared" si="43"/>
        <v/>
      </c>
      <c r="CQ41" s="758" t="str">
        <f t="shared" si="44"/>
        <v/>
      </c>
      <c r="CR41" s="758" t="str">
        <f t="shared" si="45"/>
        <v/>
      </c>
      <c r="CS41" s="758" t="str">
        <f t="shared" si="46"/>
        <v/>
      </c>
      <c r="CT41" s="758" t="str">
        <f t="shared" si="47"/>
        <v/>
      </c>
      <c r="CU41" s="758" t="str">
        <f t="shared" si="48"/>
        <v/>
      </c>
      <c r="CV41" s="758" t="str">
        <f t="shared" si="49"/>
        <v/>
      </c>
      <c r="CW41" s="758" t="str">
        <f t="shared" si="50"/>
        <v/>
      </c>
      <c r="CX41" s="758" t="str">
        <f t="shared" si="51"/>
        <v/>
      </c>
      <c r="CY41" s="758" t="str">
        <f t="shared" si="52"/>
        <v/>
      </c>
      <c r="CZ41" s="758" t="str">
        <f t="shared" si="53"/>
        <v/>
      </c>
      <c r="DA41" s="758" t="str">
        <f t="shared" si="54"/>
        <v/>
      </c>
      <c r="DB41" s="758" t="str">
        <f t="shared" si="55"/>
        <v/>
      </c>
      <c r="DC41" s="758" t="str">
        <f t="shared" si="56"/>
        <v/>
      </c>
      <c r="DD41" s="758" t="str">
        <f t="shared" si="57"/>
        <v/>
      </c>
      <c r="DE41" s="758" t="str">
        <f t="shared" si="58"/>
        <v/>
      </c>
      <c r="DF41" s="758" t="str">
        <f t="shared" si="59"/>
        <v/>
      </c>
      <c r="DG41" s="758" t="str">
        <f t="shared" si="60"/>
        <v/>
      </c>
      <c r="DH41" s="758" t="str">
        <f t="shared" si="61"/>
        <v/>
      </c>
      <c r="DI41" s="758" t="str">
        <f t="shared" si="62"/>
        <v/>
      </c>
      <c r="DJ41" s="758" t="str">
        <f t="shared" si="63"/>
        <v/>
      </c>
      <c r="DK41" s="758" t="str">
        <f t="shared" si="64"/>
        <v/>
      </c>
      <c r="DL41" s="758" t="str">
        <f t="shared" si="65"/>
        <v/>
      </c>
      <c r="DM41" s="758" t="str">
        <f t="shared" si="66"/>
        <v/>
      </c>
      <c r="DN41" s="758" t="str">
        <f t="shared" si="67"/>
        <v/>
      </c>
      <c r="DO41" s="758" t="str">
        <f t="shared" si="68"/>
        <v/>
      </c>
      <c r="DP41" s="758" t="str">
        <f t="shared" si="69"/>
        <v/>
      </c>
      <c r="DQ41" s="758" t="str">
        <f t="shared" si="70"/>
        <v/>
      </c>
      <c r="DR41" s="758" t="str">
        <f t="shared" si="71"/>
        <v/>
      </c>
      <c r="DS41" s="758" t="str">
        <f t="shared" si="72"/>
        <v/>
      </c>
      <c r="DT41" s="758" t="str">
        <f t="shared" si="73"/>
        <v/>
      </c>
      <c r="DU41" s="758" t="str">
        <f t="shared" si="74"/>
        <v/>
      </c>
      <c r="DV41" s="758" t="str">
        <f t="shared" si="75"/>
        <v/>
      </c>
      <c r="DW41" s="758" t="str">
        <f t="shared" si="76"/>
        <v/>
      </c>
      <c r="DX41" s="758" t="str">
        <f t="shared" si="77"/>
        <v/>
      </c>
      <c r="DY41" s="758" t="str">
        <f t="shared" si="78"/>
        <v/>
      </c>
      <c r="DZ41" s="758" t="str">
        <f t="shared" si="79"/>
        <v/>
      </c>
      <c r="EA41" s="758" t="str">
        <f t="shared" si="80"/>
        <v/>
      </c>
      <c r="EB41" s="758" t="str">
        <f t="shared" si="81"/>
        <v/>
      </c>
      <c r="EC41" s="758" t="str">
        <f t="shared" si="82"/>
        <v/>
      </c>
      <c r="ED41" s="758" t="str">
        <f t="shared" si="83"/>
        <v/>
      </c>
      <c r="EE41" s="758" t="str">
        <f t="shared" si="84"/>
        <v/>
      </c>
      <c r="EF41" s="758" t="str">
        <f t="shared" si="85"/>
        <v/>
      </c>
      <c r="EG41" s="758" t="str">
        <f t="shared" si="86"/>
        <v/>
      </c>
      <c r="EH41" s="758" t="str">
        <f t="shared" si="87"/>
        <v/>
      </c>
      <c r="EI41" s="758" t="str">
        <f t="shared" si="88"/>
        <v/>
      </c>
      <c r="EJ41" s="758" t="str">
        <f t="shared" si="89"/>
        <v/>
      </c>
      <c r="EK41" s="758" t="str">
        <f t="shared" si="90"/>
        <v/>
      </c>
      <c r="EL41" s="758" t="str">
        <f t="shared" si="91"/>
        <v/>
      </c>
      <c r="EM41" s="758" t="str">
        <f t="shared" si="92"/>
        <v/>
      </c>
      <c r="EN41" s="758" t="str">
        <f t="shared" si="93"/>
        <v/>
      </c>
      <c r="EO41" s="758" t="str">
        <f t="shared" si="94"/>
        <v/>
      </c>
      <c r="EP41" s="758" t="str">
        <f t="shared" si="95"/>
        <v/>
      </c>
      <c r="EQ41" s="758" t="str">
        <f t="shared" si="96"/>
        <v/>
      </c>
      <c r="ER41" s="758" t="str">
        <f t="shared" si="97"/>
        <v/>
      </c>
      <c r="ES41" s="758" t="str">
        <f t="shared" si="98"/>
        <v/>
      </c>
      <c r="ET41" s="758" t="str">
        <f t="shared" si="99"/>
        <v/>
      </c>
      <c r="EU41" s="758" t="str">
        <f t="shared" si="100"/>
        <v/>
      </c>
      <c r="EV41" s="778" t="str">
        <f t="shared" si="101"/>
        <v/>
      </c>
      <c r="EW41" s="778" t="str">
        <f t="shared" si="102"/>
        <v/>
      </c>
      <c r="EX41" s="778" t="str">
        <f t="shared" si="103"/>
        <v/>
      </c>
      <c r="EY41" s="778" t="str">
        <f t="shared" si="104"/>
        <v/>
      </c>
      <c r="EZ41" s="778" t="str">
        <f t="shared" si="105"/>
        <v/>
      </c>
      <c r="FA41" s="778" t="str">
        <f t="shared" si="106"/>
        <v/>
      </c>
      <c r="FB41" s="778" t="str">
        <f t="shared" si="107"/>
        <v/>
      </c>
      <c r="FC41" s="778" t="str">
        <f t="shared" si="108"/>
        <v/>
      </c>
      <c r="FD41" s="778" t="str">
        <f t="shared" si="109"/>
        <v/>
      </c>
      <c r="FE41" s="778" t="str">
        <f t="shared" si="110"/>
        <v/>
      </c>
      <c r="FF41" s="778" t="str">
        <f t="shared" si="111"/>
        <v/>
      </c>
      <c r="FG41" s="778" t="str">
        <f t="shared" si="112"/>
        <v/>
      </c>
      <c r="FH41" s="778" t="str">
        <f t="shared" si="113"/>
        <v/>
      </c>
      <c r="FI41" s="778" t="str">
        <f t="shared" si="114"/>
        <v/>
      </c>
      <c r="FJ41" s="778" t="str">
        <f t="shared" si="115"/>
        <v/>
      </c>
      <c r="FK41" s="778" t="str">
        <f t="shared" si="116"/>
        <v/>
      </c>
      <c r="FL41" s="778" t="str">
        <f t="shared" si="117"/>
        <v/>
      </c>
      <c r="FM41" s="778" t="str">
        <f t="shared" si="118"/>
        <v/>
      </c>
      <c r="FN41" s="778" t="str">
        <f t="shared" si="119"/>
        <v/>
      </c>
      <c r="FO41" s="778" t="str">
        <f t="shared" si="120"/>
        <v/>
      </c>
      <c r="FP41" s="778" t="str">
        <f t="shared" si="121"/>
        <v/>
      </c>
      <c r="FQ41" s="778" t="str">
        <f t="shared" si="122"/>
        <v/>
      </c>
      <c r="FR41" s="778" t="str">
        <f t="shared" si="123"/>
        <v/>
      </c>
      <c r="FS41" s="778" t="str">
        <f t="shared" si="124"/>
        <v/>
      </c>
      <c r="FT41" s="778" t="str">
        <f t="shared" si="125"/>
        <v/>
      </c>
      <c r="FU41" s="778" t="str">
        <f t="shared" si="126"/>
        <v/>
      </c>
      <c r="FV41" s="778" t="str">
        <f t="shared" si="127"/>
        <v/>
      </c>
      <c r="FW41" s="778" t="str">
        <f t="shared" si="128"/>
        <v/>
      </c>
      <c r="FX41" s="778" t="str">
        <f t="shared" si="129"/>
        <v/>
      </c>
      <c r="FY41" s="778" t="str">
        <f t="shared" si="130"/>
        <v/>
      </c>
      <c r="FZ41" s="778" t="str">
        <f t="shared" si="131"/>
        <v/>
      </c>
      <c r="GA41" s="778" t="str">
        <f t="shared" si="132"/>
        <v/>
      </c>
      <c r="GB41" s="778" t="str">
        <f t="shared" si="133"/>
        <v/>
      </c>
      <c r="GC41" s="778" t="str">
        <f t="shared" si="134"/>
        <v/>
      </c>
      <c r="GD41" s="778" t="str">
        <f t="shared" si="135"/>
        <v/>
      </c>
      <c r="GE41" s="778" t="str">
        <f t="shared" si="136"/>
        <v/>
      </c>
      <c r="GF41" s="778" t="str">
        <f t="shared" si="137"/>
        <v/>
      </c>
      <c r="GG41" s="778" t="str">
        <f t="shared" si="138"/>
        <v/>
      </c>
      <c r="GH41" s="778" t="str">
        <f t="shared" si="139"/>
        <v/>
      </c>
      <c r="GI41" s="778" t="str">
        <f t="shared" si="140"/>
        <v/>
      </c>
      <c r="GJ41" s="778" t="str">
        <f t="shared" si="141"/>
        <v/>
      </c>
      <c r="GK41" s="778" t="str">
        <f t="shared" si="142"/>
        <v/>
      </c>
      <c r="GL41" s="778" t="str">
        <f t="shared" si="143"/>
        <v/>
      </c>
      <c r="GM41" s="778" t="str">
        <f t="shared" si="144"/>
        <v/>
      </c>
      <c r="GN41" s="778" t="str">
        <f t="shared" si="145"/>
        <v/>
      </c>
      <c r="GO41" s="779" t="str">
        <f t="shared" si="146"/>
        <v/>
      </c>
      <c r="GP41" s="779" t="str">
        <f t="shared" si="147"/>
        <v/>
      </c>
      <c r="GQ41" s="779" t="str">
        <f t="shared" si="148"/>
        <v/>
      </c>
      <c r="GR41" s="779" t="str">
        <f t="shared" si="149"/>
        <v/>
      </c>
      <c r="GS41" s="779" t="str">
        <f t="shared" si="150"/>
        <v/>
      </c>
      <c r="GT41" s="758" t="str">
        <f t="shared" si="151"/>
        <v/>
      </c>
      <c r="GU41" s="758" t="str">
        <f t="shared" si="152"/>
        <v/>
      </c>
      <c r="GV41" s="758" t="str">
        <f t="shared" si="153"/>
        <v/>
      </c>
      <c r="GW41" s="758" t="str">
        <f t="shared" si="154"/>
        <v/>
      </c>
      <c r="GX41" s="758" t="str">
        <f t="shared" si="155"/>
        <v/>
      </c>
      <c r="GY41" s="758" t="str">
        <f t="shared" si="156"/>
        <v/>
      </c>
      <c r="GZ41" s="758" t="str">
        <f t="shared" si="157"/>
        <v/>
      </c>
      <c r="HA41" s="758" t="str">
        <f t="shared" si="158"/>
        <v/>
      </c>
      <c r="HB41" s="758" t="str">
        <f t="shared" si="159"/>
        <v/>
      </c>
      <c r="HC41" s="758" t="str">
        <f t="shared" si="160"/>
        <v/>
      </c>
      <c r="HD41" s="758" t="str">
        <f t="shared" si="161"/>
        <v/>
      </c>
      <c r="HE41" s="758" t="str">
        <f t="shared" si="162"/>
        <v/>
      </c>
      <c r="HF41" s="758" t="str">
        <f t="shared" si="163"/>
        <v/>
      </c>
      <c r="HG41" s="758" t="str">
        <f t="shared" si="164"/>
        <v/>
      </c>
      <c r="HH41" s="758" t="str">
        <f t="shared" si="165"/>
        <v/>
      </c>
      <c r="HI41" s="758" t="str">
        <f t="shared" si="166"/>
        <v/>
      </c>
      <c r="HJ41" s="758" t="str">
        <f t="shared" si="167"/>
        <v/>
      </c>
      <c r="HK41" s="758" t="str">
        <f t="shared" si="168"/>
        <v/>
      </c>
      <c r="HL41" s="758" t="str">
        <f t="shared" si="169"/>
        <v/>
      </c>
      <c r="HM41" s="758" t="str">
        <f t="shared" si="170"/>
        <v/>
      </c>
    </row>
    <row r="42" spans="1:221" ht="13.35" customHeight="1">
      <c r="A42" s="148" t="str">
        <f t="shared" si="171"/>
        <v/>
      </c>
      <c r="B42" s="1515" t="s">
        <v>1533</v>
      </c>
      <c r="C42" s="1516"/>
      <c r="D42" s="1517"/>
      <c r="E42" s="1518"/>
      <c r="F42" s="1518"/>
      <c r="G42" s="1518"/>
      <c r="H42" s="1518"/>
      <c r="I42" s="1518"/>
      <c r="J42" s="1519"/>
      <c r="K42" s="225">
        <f t="shared" si="205"/>
        <v>0</v>
      </c>
      <c r="L42" s="225">
        <f t="shared" si="0"/>
        <v>0</v>
      </c>
      <c r="M42" s="1520"/>
      <c r="N42" s="1520"/>
      <c r="O42" s="1520"/>
      <c r="P42" s="674" t="str">
        <f t="shared" si="203"/>
        <v/>
      </c>
      <c r="Q42" s="675" t="str">
        <f>IF(H42="","",P42/($P$6*VLOOKUP(C42,'DCA Underwriting Assumptions'!$J$84:$K$89,2,FALSE)))</f>
        <v/>
      </c>
      <c r="R42" s="821"/>
      <c r="S42" s="675"/>
      <c r="T42" s="1455"/>
      <c r="U42" s="1456"/>
      <c r="V42" s="758" t="str">
        <f t="shared" si="1"/>
        <v/>
      </c>
      <c r="W42" s="758" t="str">
        <f t="shared" si="2"/>
        <v/>
      </c>
      <c r="X42" s="758" t="str">
        <f t="shared" si="3"/>
        <v/>
      </c>
      <c r="Y42" s="758" t="str">
        <f t="shared" si="4"/>
        <v/>
      </c>
      <c r="Z42" s="758" t="str">
        <f t="shared" si="5"/>
        <v/>
      </c>
      <c r="AA42" s="758" t="str">
        <f t="shared" si="6"/>
        <v/>
      </c>
      <c r="AB42" s="758" t="str">
        <f t="shared" si="7"/>
        <v/>
      </c>
      <c r="AC42" s="758" t="str">
        <f t="shared" si="8"/>
        <v/>
      </c>
      <c r="AD42" s="758" t="str">
        <f t="shared" si="9"/>
        <v/>
      </c>
      <c r="AE42" s="758" t="str">
        <f t="shared" si="10"/>
        <v/>
      </c>
      <c r="AF42" s="758" t="str">
        <f t="shared" si="11"/>
        <v/>
      </c>
      <c r="AG42" s="758" t="str">
        <f t="shared" si="12"/>
        <v/>
      </c>
      <c r="AH42" s="758" t="str">
        <f t="shared" si="13"/>
        <v/>
      </c>
      <c r="AI42" s="758" t="str">
        <f t="shared" si="14"/>
        <v/>
      </c>
      <c r="AJ42" s="758" t="str">
        <f t="shared" si="15"/>
        <v/>
      </c>
      <c r="AK42" s="758" t="str">
        <f t="shared" si="16"/>
        <v/>
      </c>
      <c r="AL42" s="758" t="str">
        <f t="shared" si="17"/>
        <v/>
      </c>
      <c r="AM42" s="758" t="str">
        <f t="shared" si="18"/>
        <v/>
      </c>
      <c r="AN42" s="758" t="str">
        <f t="shared" si="19"/>
        <v/>
      </c>
      <c r="AO42" s="758" t="str">
        <f t="shared" si="20"/>
        <v/>
      </c>
      <c r="AP42" s="758" t="str">
        <f t="shared" si="173"/>
        <v/>
      </c>
      <c r="AQ42" s="758" t="str">
        <f t="shared" si="174"/>
        <v/>
      </c>
      <c r="AR42" s="758" t="str">
        <f t="shared" si="175"/>
        <v/>
      </c>
      <c r="AS42" s="758" t="str">
        <f t="shared" si="176"/>
        <v/>
      </c>
      <c r="AT42" s="758" t="str">
        <f t="shared" si="177"/>
        <v/>
      </c>
      <c r="AU42" s="758" t="str">
        <f t="shared" si="178"/>
        <v/>
      </c>
      <c r="AV42" s="758" t="str">
        <f t="shared" si="179"/>
        <v/>
      </c>
      <c r="AW42" s="758" t="str">
        <f t="shared" si="180"/>
        <v/>
      </c>
      <c r="AX42" s="758" t="str">
        <f t="shared" si="181"/>
        <v/>
      </c>
      <c r="AY42" s="758" t="str">
        <f t="shared" si="182"/>
        <v/>
      </c>
      <c r="AZ42" s="758" t="str">
        <f t="shared" si="183"/>
        <v/>
      </c>
      <c r="BA42" s="758" t="str">
        <f t="shared" si="184"/>
        <v/>
      </c>
      <c r="BB42" s="758" t="str">
        <f t="shared" si="185"/>
        <v/>
      </c>
      <c r="BC42" s="758" t="str">
        <f t="shared" si="186"/>
        <v/>
      </c>
      <c r="BD42" s="758" t="str">
        <f t="shared" si="187"/>
        <v/>
      </c>
      <c r="BE42" s="758" t="str">
        <f t="shared" si="188"/>
        <v/>
      </c>
      <c r="BF42" s="758" t="str">
        <f t="shared" si="189"/>
        <v/>
      </c>
      <c r="BG42" s="758" t="str">
        <f t="shared" si="190"/>
        <v/>
      </c>
      <c r="BH42" s="758" t="str">
        <f t="shared" si="191"/>
        <v/>
      </c>
      <c r="BI42" s="758" t="str">
        <f t="shared" si="192"/>
        <v/>
      </c>
      <c r="BJ42" s="758" t="str">
        <f t="shared" si="193"/>
        <v/>
      </c>
      <c r="BK42" s="758" t="str">
        <f t="shared" si="194"/>
        <v/>
      </c>
      <c r="BL42" s="758" t="str">
        <f t="shared" si="195"/>
        <v/>
      </c>
      <c r="BM42" s="758" t="str">
        <f t="shared" si="196"/>
        <v/>
      </c>
      <c r="BN42" s="758" t="str">
        <f t="shared" si="197"/>
        <v/>
      </c>
      <c r="BO42" s="758" t="str">
        <f t="shared" si="198"/>
        <v/>
      </c>
      <c r="BP42" s="758" t="str">
        <f t="shared" si="199"/>
        <v/>
      </c>
      <c r="BQ42" s="758" t="str">
        <f t="shared" si="200"/>
        <v/>
      </c>
      <c r="BR42" s="758" t="str">
        <f t="shared" si="201"/>
        <v/>
      </c>
      <c r="BS42" s="758" t="str">
        <f t="shared" si="202"/>
        <v/>
      </c>
      <c r="BT42" s="758" t="str">
        <f t="shared" si="21"/>
        <v/>
      </c>
      <c r="BU42" s="758" t="str">
        <f t="shared" si="22"/>
        <v/>
      </c>
      <c r="BV42" s="758" t="str">
        <f t="shared" si="23"/>
        <v/>
      </c>
      <c r="BW42" s="758" t="str">
        <f t="shared" si="24"/>
        <v/>
      </c>
      <c r="BX42" s="758" t="str">
        <f t="shared" si="25"/>
        <v/>
      </c>
      <c r="BY42" s="758" t="str">
        <f t="shared" si="26"/>
        <v/>
      </c>
      <c r="BZ42" s="758" t="str">
        <f t="shared" si="27"/>
        <v/>
      </c>
      <c r="CA42" s="758" t="str">
        <f t="shared" si="28"/>
        <v/>
      </c>
      <c r="CB42" s="758" t="str">
        <f t="shared" si="29"/>
        <v/>
      </c>
      <c r="CC42" s="758" t="str">
        <f t="shared" si="30"/>
        <v/>
      </c>
      <c r="CD42" s="758" t="str">
        <f t="shared" si="31"/>
        <v/>
      </c>
      <c r="CE42" s="758" t="str">
        <f t="shared" si="32"/>
        <v/>
      </c>
      <c r="CF42" s="758" t="str">
        <f t="shared" si="33"/>
        <v/>
      </c>
      <c r="CG42" s="758" t="str">
        <f t="shared" si="34"/>
        <v/>
      </c>
      <c r="CH42" s="758" t="str">
        <f t="shared" si="35"/>
        <v/>
      </c>
      <c r="CI42" s="758" t="str">
        <f t="shared" si="36"/>
        <v/>
      </c>
      <c r="CJ42" s="758" t="str">
        <f t="shared" si="37"/>
        <v/>
      </c>
      <c r="CK42" s="758" t="str">
        <f t="shared" si="38"/>
        <v/>
      </c>
      <c r="CL42" s="758" t="str">
        <f t="shared" si="39"/>
        <v/>
      </c>
      <c r="CM42" s="758" t="str">
        <f t="shared" si="40"/>
        <v/>
      </c>
      <c r="CN42" s="758" t="str">
        <f t="shared" si="41"/>
        <v/>
      </c>
      <c r="CO42" s="758" t="str">
        <f t="shared" si="42"/>
        <v/>
      </c>
      <c r="CP42" s="758" t="str">
        <f t="shared" si="43"/>
        <v/>
      </c>
      <c r="CQ42" s="758" t="str">
        <f t="shared" si="44"/>
        <v/>
      </c>
      <c r="CR42" s="758" t="str">
        <f t="shared" si="45"/>
        <v/>
      </c>
      <c r="CS42" s="758" t="str">
        <f t="shared" si="46"/>
        <v/>
      </c>
      <c r="CT42" s="758" t="str">
        <f t="shared" si="47"/>
        <v/>
      </c>
      <c r="CU42" s="758" t="str">
        <f t="shared" si="48"/>
        <v/>
      </c>
      <c r="CV42" s="758" t="str">
        <f t="shared" si="49"/>
        <v/>
      </c>
      <c r="CW42" s="758" t="str">
        <f t="shared" si="50"/>
        <v/>
      </c>
      <c r="CX42" s="758" t="str">
        <f t="shared" si="51"/>
        <v/>
      </c>
      <c r="CY42" s="758" t="str">
        <f t="shared" si="52"/>
        <v/>
      </c>
      <c r="CZ42" s="758" t="str">
        <f t="shared" si="53"/>
        <v/>
      </c>
      <c r="DA42" s="758" t="str">
        <f t="shared" si="54"/>
        <v/>
      </c>
      <c r="DB42" s="758" t="str">
        <f t="shared" si="55"/>
        <v/>
      </c>
      <c r="DC42" s="758" t="str">
        <f t="shared" si="56"/>
        <v/>
      </c>
      <c r="DD42" s="758" t="str">
        <f t="shared" si="57"/>
        <v/>
      </c>
      <c r="DE42" s="758" t="str">
        <f t="shared" si="58"/>
        <v/>
      </c>
      <c r="DF42" s="758" t="str">
        <f t="shared" si="59"/>
        <v/>
      </c>
      <c r="DG42" s="758" t="str">
        <f t="shared" si="60"/>
        <v/>
      </c>
      <c r="DH42" s="758" t="str">
        <f t="shared" si="61"/>
        <v/>
      </c>
      <c r="DI42" s="758" t="str">
        <f t="shared" si="62"/>
        <v/>
      </c>
      <c r="DJ42" s="758" t="str">
        <f t="shared" si="63"/>
        <v/>
      </c>
      <c r="DK42" s="758" t="str">
        <f t="shared" si="64"/>
        <v/>
      </c>
      <c r="DL42" s="758" t="str">
        <f t="shared" si="65"/>
        <v/>
      </c>
      <c r="DM42" s="758" t="str">
        <f t="shared" si="66"/>
        <v/>
      </c>
      <c r="DN42" s="758" t="str">
        <f t="shared" si="67"/>
        <v/>
      </c>
      <c r="DO42" s="758" t="str">
        <f t="shared" si="68"/>
        <v/>
      </c>
      <c r="DP42" s="758" t="str">
        <f t="shared" si="69"/>
        <v/>
      </c>
      <c r="DQ42" s="758" t="str">
        <f t="shared" si="70"/>
        <v/>
      </c>
      <c r="DR42" s="758" t="str">
        <f t="shared" si="71"/>
        <v/>
      </c>
      <c r="DS42" s="758" t="str">
        <f t="shared" si="72"/>
        <v/>
      </c>
      <c r="DT42" s="758" t="str">
        <f t="shared" si="73"/>
        <v/>
      </c>
      <c r="DU42" s="758" t="str">
        <f t="shared" si="74"/>
        <v/>
      </c>
      <c r="DV42" s="758" t="str">
        <f t="shared" si="75"/>
        <v/>
      </c>
      <c r="DW42" s="758" t="str">
        <f t="shared" si="76"/>
        <v/>
      </c>
      <c r="DX42" s="758" t="str">
        <f t="shared" si="77"/>
        <v/>
      </c>
      <c r="DY42" s="758" t="str">
        <f t="shared" si="78"/>
        <v/>
      </c>
      <c r="DZ42" s="758" t="str">
        <f t="shared" si="79"/>
        <v/>
      </c>
      <c r="EA42" s="758" t="str">
        <f t="shared" si="80"/>
        <v/>
      </c>
      <c r="EB42" s="758" t="str">
        <f t="shared" si="81"/>
        <v/>
      </c>
      <c r="EC42" s="758" t="str">
        <f t="shared" si="82"/>
        <v/>
      </c>
      <c r="ED42" s="758" t="str">
        <f t="shared" si="83"/>
        <v/>
      </c>
      <c r="EE42" s="758" t="str">
        <f t="shared" si="84"/>
        <v/>
      </c>
      <c r="EF42" s="758" t="str">
        <f t="shared" si="85"/>
        <v/>
      </c>
      <c r="EG42" s="758" t="str">
        <f t="shared" si="86"/>
        <v/>
      </c>
      <c r="EH42" s="758" t="str">
        <f t="shared" si="87"/>
        <v/>
      </c>
      <c r="EI42" s="758" t="str">
        <f t="shared" si="88"/>
        <v/>
      </c>
      <c r="EJ42" s="758" t="str">
        <f t="shared" si="89"/>
        <v/>
      </c>
      <c r="EK42" s="758" t="str">
        <f t="shared" si="90"/>
        <v/>
      </c>
      <c r="EL42" s="758" t="str">
        <f t="shared" si="91"/>
        <v/>
      </c>
      <c r="EM42" s="758" t="str">
        <f t="shared" si="92"/>
        <v/>
      </c>
      <c r="EN42" s="758" t="str">
        <f t="shared" si="93"/>
        <v/>
      </c>
      <c r="EO42" s="758" t="str">
        <f t="shared" si="94"/>
        <v/>
      </c>
      <c r="EP42" s="758" t="str">
        <f t="shared" si="95"/>
        <v/>
      </c>
      <c r="EQ42" s="758" t="str">
        <f t="shared" si="96"/>
        <v/>
      </c>
      <c r="ER42" s="758" t="str">
        <f t="shared" si="97"/>
        <v/>
      </c>
      <c r="ES42" s="758" t="str">
        <f t="shared" si="98"/>
        <v/>
      </c>
      <c r="ET42" s="758" t="str">
        <f t="shared" si="99"/>
        <v/>
      </c>
      <c r="EU42" s="758" t="str">
        <f t="shared" si="100"/>
        <v/>
      </c>
      <c r="EV42" s="778" t="str">
        <f t="shared" si="101"/>
        <v/>
      </c>
      <c r="EW42" s="778" t="str">
        <f t="shared" si="102"/>
        <v/>
      </c>
      <c r="EX42" s="778" t="str">
        <f t="shared" si="103"/>
        <v/>
      </c>
      <c r="EY42" s="778" t="str">
        <f t="shared" si="104"/>
        <v/>
      </c>
      <c r="EZ42" s="778" t="str">
        <f t="shared" si="105"/>
        <v/>
      </c>
      <c r="FA42" s="778" t="str">
        <f t="shared" si="106"/>
        <v/>
      </c>
      <c r="FB42" s="778" t="str">
        <f t="shared" si="107"/>
        <v/>
      </c>
      <c r="FC42" s="778" t="str">
        <f t="shared" si="108"/>
        <v/>
      </c>
      <c r="FD42" s="778" t="str">
        <f t="shared" si="109"/>
        <v/>
      </c>
      <c r="FE42" s="778" t="str">
        <f t="shared" si="110"/>
        <v/>
      </c>
      <c r="FF42" s="778" t="str">
        <f t="shared" si="111"/>
        <v/>
      </c>
      <c r="FG42" s="778" t="str">
        <f t="shared" si="112"/>
        <v/>
      </c>
      <c r="FH42" s="778" t="str">
        <f t="shared" si="113"/>
        <v/>
      </c>
      <c r="FI42" s="778" t="str">
        <f t="shared" si="114"/>
        <v/>
      </c>
      <c r="FJ42" s="778" t="str">
        <f t="shared" si="115"/>
        <v/>
      </c>
      <c r="FK42" s="778" t="str">
        <f t="shared" si="116"/>
        <v/>
      </c>
      <c r="FL42" s="778" t="str">
        <f t="shared" si="117"/>
        <v/>
      </c>
      <c r="FM42" s="778" t="str">
        <f t="shared" si="118"/>
        <v/>
      </c>
      <c r="FN42" s="778" t="str">
        <f t="shared" si="119"/>
        <v/>
      </c>
      <c r="FO42" s="778" t="str">
        <f t="shared" si="120"/>
        <v/>
      </c>
      <c r="FP42" s="778" t="str">
        <f t="shared" si="121"/>
        <v/>
      </c>
      <c r="FQ42" s="778" t="str">
        <f t="shared" si="122"/>
        <v/>
      </c>
      <c r="FR42" s="778" t="str">
        <f t="shared" si="123"/>
        <v/>
      </c>
      <c r="FS42" s="778" t="str">
        <f t="shared" si="124"/>
        <v/>
      </c>
      <c r="FT42" s="778" t="str">
        <f t="shared" si="125"/>
        <v/>
      </c>
      <c r="FU42" s="778" t="str">
        <f t="shared" si="126"/>
        <v/>
      </c>
      <c r="FV42" s="778" t="str">
        <f t="shared" si="127"/>
        <v/>
      </c>
      <c r="FW42" s="778" t="str">
        <f t="shared" si="128"/>
        <v/>
      </c>
      <c r="FX42" s="778" t="str">
        <f t="shared" si="129"/>
        <v/>
      </c>
      <c r="FY42" s="778" t="str">
        <f t="shared" si="130"/>
        <v/>
      </c>
      <c r="FZ42" s="778" t="str">
        <f t="shared" si="131"/>
        <v/>
      </c>
      <c r="GA42" s="778" t="str">
        <f t="shared" si="132"/>
        <v/>
      </c>
      <c r="GB42" s="778" t="str">
        <f t="shared" si="133"/>
        <v/>
      </c>
      <c r="GC42" s="778" t="str">
        <f t="shared" si="134"/>
        <v/>
      </c>
      <c r="GD42" s="778" t="str">
        <f t="shared" si="135"/>
        <v/>
      </c>
      <c r="GE42" s="778" t="str">
        <f t="shared" si="136"/>
        <v/>
      </c>
      <c r="GF42" s="778" t="str">
        <f t="shared" si="137"/>
        <v/>
      </c>
      <c r="GG42" s="778" t="str">
        <f t="shared" si="138"/>
        <v/>
      </c>
      <c r="GH42" s="778" t="str">
        <f t="shared" si="139"/>
        <v/>
      </c>
      <c r="GI42" s="778" t="str">
        <f t="shared" si="140"/>
        <v/>
      </c>
      <c r="GJ42" s="778" t="str">
        <f t="shared" si="141"/>
        <v/>
      </c>
      <c r="GK42" s="778" t="str">
        <f t="shared" si="142"/>
        <v/>
      </c>
      <c r="GL42" s="778" t="str">
        <f t="shared" si="143"/>
        <v/>
      </c>
      <c r="GM42" s="778" t="str">
        <f t="shared" si="144"/>
        <v/>
      </c>
      <c r="GN42" s="778" t="str">
        <f t="shared" si="145"/>
        <v/>
      </c>
      <c r="GO42" s="779" t="str">
        <f t="shared" si="146"/>
        <v/>
      </c>
      <c r="GP42" s="779" t="str">
        <f t="shared" si="147"/>
        <v/>
      </c>
      <c r="GQ42" s="779" t="str">
        <f t="shared" si="148"/>
        <v/>
      </c>
      <c r="GR42" s="779" t="str">
        <f t="shared" si="149"/>
        <v/>
      </c>
      <c r="GS42" s="779" t="str">
        <f t="shared" si="150"/>
        <v/>
      </c>
      <c r="GT42" s="758" t="str">
        <f t="shared" si="151"/>
        <v/>
      </c>
      <c r="GU42" s="758" t="str">
        <f t="shared" si="152"/>
        <v/>
      </c>
      <c r="GV42" s="758" t="str">
        <f t="shared" si="153"/>
        <v/>
      </c>
      <c r="GW42" s="758" t="str">
        <f t="shared" si="154"/>
        <v/>
      </c>
      <c r="GX42" s="758" t="str">
        <f t="shared" si="155"/>
        <v/>
      </c>
      <c r="GY42" s="758" t="str">
        <f t="shared" si="156"/>
        <v/>
      </c>
      <c r="GZ42" s="758" t="str">
        <f t="shared" si="157"/>
        <v/>
      </c>
      <c r="HA42" s="758" t="str">
        <f t="shared" si="158"/>
        <v/>
      </c>
      <c r="HB42" s="758" t="str">
        <f t="shared" si="159"/>
        <v/>
      </c>
      <c r="HC42" s="758" t="str">
        <f t="shared" si="160"/>
        <v/>
      </c>
      <c r="HD42" s="758" t="str">
        <f t="shared" si="161"/>
        <v/>
      </c>
      <c r="HE42" s="758" t="str">
        <f t="shared" si="162"/>
        <v/>
      </c>
      <c r="HF42" s="758" t="str">
        <f t="shared" si="163"/>
        <v/>
      </c>
      <c r="HG42" s="758" t="str">
        <f t="shared" si="164"/>
        <v/>
      </c>
      <c r="HH42" s="758" t="str">
        <f t="shared" si="165"/>
        <v/>
      </c>
      <c r="HI42" s="758" t="str">
        <f t="shared" si="166"/>
        <v/>
      </c>
      <c r="HJ42" s="758" t="str">
        <f t="shared" si="167"/>
        <v/>
      </c>
      <c r="HK42" s="758" t="str">
        <f t="shared" si="168"/>
        <v/>
      </c>
      <c r="HL42" s="758" t="str">
        <f t="shared" si="169"/>
        <v/>
      </c>
      <c r="HM42" s="758" t="str">
        <f t="shared" si="170"/>
        <v/>
      </c>
    </row>
    <row r="43" spans="1:221" ht="13.35" customHeight="1">
      <c r="A43" s="148" t="str">
        <f t="shared" si="171"/>
        <v/>
      </c>
      <c r="B43" s="1515" t="s">
        <v>1533</v>
      </c>
      <c r="C43" s="1516"/>
      <c r="D43" s="1517"/>
      <c r="E43" s="1518"/>
      <c r="F43" s="1518"/>
      <c r="G43" s="1518"/>
      <c r="H43" s="1518"/>
      <c r="I43" s="1518"/>
      <c r="J43" s="1519"/>
      <c r="K43" s="225">
        <f t="shared" si="205"/>
        <v>0</v>
      </c>
      <c r="L43" s="225">
        <f t="shared" si="0"/>
        <v>0</v>
      </c>
      <c r="M43" s="1520"/>
      <c r="N43" s="1520"/>
      <c r="O43" s="1520"/>
      <c r="P43" s="674" t="str">
        <f t="shared" si="203"/>
        <v/>
      </c>
      <c r="Q43" s="675" t="str">
        <f>IF(H43="","",P43/($P$6*VLOOKUP(C43,'DCA Underwriting Assumptions'!$J$84:$K$89,2,FALSE)))</f>
        <v/>
      </c>
      <c r="R43" s="821"/>
      <c r="S43" s="675"/>
      <c r="T43" s="1455"/>
      <c r="U43" s="1456"/>
      <c r="V43" s="758" t="str">
        <f t="shared" si="1"/>
        <v/>
      </c>
      <c r="W43" s="758" t="str">
        <f t="shared" si="2"/>
        <v/>
      </c>
      <c r="X43" s="758" t="str">
        <f t="shared" si="3"/>
        <v/>
      </c>
      <c r="Y43" s="758" t="str">
        <f t="shared" si="4"/>
        <v/>
      </c>
      <c r="Z43" s="758" t="str">
        <f t="shared" si="5"/>
        <v/>
      </c>
      <c r="AA43" s="758" t="str">
        <f t="shared" si="6"/>
        <v/>
      </c>
      <c r="AB43" s="758" t="str">
        <f t="shared" si="7"/>
        <v/>
      </c>
      <c r="AC43" s="758" t="str">
        <f t="shared" si="8"/>
        <v/>
      </c>
      <c r="AD43" s="758" t="str">
        <f t="shared" si="9"/>
        <v/>
      </c>
      <c r="AE43" s="758" t="str">
        <f t="shared" si="10"/>
        <v/>
      </c>
      <c r="AF43" s="758" t="str">
        <f t="shared" si="11"/>
        <v/>
      </c>
      <c r="AG43" s="758" t="str">
        <f t="shared" si="12"/>
        <v/>
      </c>
      <c r="AH43" s="758" t="str">
        <f t="shared" si="13"/>
        <v/>
      </c>
      <c r="AI43" s="758" t="str">
        <f t="shared" si="14"/>
        <v/>
      </c>
      <c r="AJ43" s="758" t="str">
        <f t="shared" si="15"/>
        <v/>
      </c>
      <c r="AK43" s="758" t="str">
        <f t="shared" si="16"/>
        <v/>
      </c>
      <c r="AL43" s="758" t="str">
        <f t="shared" si="17"/>
        <v/>
      </c>
      <c r="AM43" s="758" t="str">
        <f t="shared" si="18"/>
        <v/>
      </c>
      <c r="AN43" s="758" t="str">
        <f t="shared" si="19"/>
        <v/>
      </c>
      <c r="AO43" s="758" t="str">
        <f t="shared" si="20"/>
        <v/>
      </c>
      <c r="AP43" s="758" t="str">
        <f t="shared" si="173"/>
        <v/>
      </c>
      <c r="AQ43" s="758" t="str">
        <f t="shared" si="174"/>
        <v/>
      </c>
      <c r="AR43" s="758" t="str">
        <f t="shared" si="175"/>
        <v/>
      </c>
      <c r="AS43" s="758" t="str">
        <f t="shared" si="176"/>
        <v/>
      </c>
      <c r="AT43" s="758" t="str">
        <f t="shared" si="177"/>
        <v/>
      </c>
      <c r="AU43" s="758" t="str">
        <f t="shared" si="178"/>
        <v/>
      </c>
      <c r="AV43" s="758" t="str">
        <f t="shared" si="179"/>
        <v/>
      </c>
      <c r="AW43" s="758" t="str">
        <f t="shared" si="180"/>
        <v/>
      </c>
      <c r="AX43" s="758" t="str">
        <f t="shared" si="181"/>
        <v/>
      </c>
      <c r="AY43" s="758" t="str">
        <f t="shared" si="182"/>
        <v/>
      </c>
      <c r="AZ43" s="758" t="str">
        <f t="shared" si="183"/>
        <v/>
      </c>
      <c r="BA43" s="758" t="str">
        <f t="shared" si="184"/>
        <v/>
      </c>
      <c r="BB43" s="758" t="str">
        <f t="shared" si="185"/>
        <v/>
      </c>
      <c r="BC43" s="758" t="str">
        <f t="shared" si="186"/>
        <v/>
      </c>
      <c r="BD43" s="758" t="str">
        <f t="shared" si="187"/>
        <v/>
      </c>
      <c r="BE43" s="758" t="str">
        <f t="shared" si="188"/>
        <v/>
      </c>
      <c r="BF43" s="758" t="str">
        <f t="shared" si="189"/>
        <v/>
      </c>
      <c r="BG43" s="758" t="str">
        <f t="shared" si="190"/>
        <v/>
      </c>
      <c r="BH43" s="758" t="str">
        <f t="shared" si="191"/>
        <v/>
      </c>
      <c r="BI43" s="758" t="str">
        <f t="shared" si="192"/>
        <v/>
      </c>
      <c r="BJ43" s="758" t="str">
        <f t="shared" si="193"/>
        <v/>
      </c>
      <c r="BK43" s="758" t="str">
        <f t="shared" si="194"/>
        <v/>
      </c>
      <c r="BL43" s="758" t="str">
        <f t="shared" si="195"/>
        <v/>
      </c>
      <c r="BM43" s="758" t="str">
        <f t="shared" si="196"/>
        <v/>
      </c>
      <c r="BN43" s="758" t="str">
        <f t="shared" si="197"/>
        <v/>
      </c>
      <c r="BO43" s="758" t="str">
        <f t="shared" si="198"/>
        <v/>
      </c>
      <c r="BP43" s="758" t="str">
        <f t="shared" si="199"/>
        <v/>
      </c>
      <c r="BQ43" s="758" t="str">
        <f t="shared" si="200"/>
        <v/>
      </c>
      <c r="BR43" s="758" t="str">
        <f t="shared" si="201"/>
        <v/>
      </c>
      <c r="BS43" s="758" t="str">
        <f t="shared" si="202"/>
        <v/>
      </c>
      <c r="BT43" s="758" t="str">
        <f t="shared" si="21"/>
        <v/>
      </c>
      <c r="BU43" s="758" t="str">
        <f t="shared" si="22"/>
        <v/>
      </c>
      <c r="BV43" s="758" t="str">
        <f t="shared" si="23"/>
        <v/>
      </c>
      <c r="BW43" s="758" t="str">
        <f t="shared" si="24"/>
        <v/>
      </c>
      <c r="BX43" s="758" t="str">
        <f t="shared" si="25"/>
        <v/>
      </c>
      <c r="BY43" s="758" t="str">
        <f t="shared" si="26"/>
        <v/>
      </c>
      <c r="BZ43" s="758" t="str">
        <f t="shared" si="27"/>
        <v/>
      </c>
      <c r="CA43" s="758" t="str">
        <f t="shared" si="28"/>
        <v/>
      </c>
      <c r="CB43" s="758" t="str">
        <f t="shared" si="29"/>
        <v/>
      </c>
      <c r="CC43" s="758" t="str">
        <f t="shared" si="30"/>
        <v/>
      </c>
      <c r="CD43" s="758" t="str">
        <f t="shared" si="31"/>
        <v/>
      </c>
      <c r="CE43" s="758" t="str">
        <f t="shared" si="32"/>
        <v/>
      </c>
      <c r="CF43" s="758" t="str">
        <f t="shared" si="33"/>
        <v/>
      </c>
      <c r="CG43" s="758" t="str">
        <f t="shared" si="34"/>
        <v/>
      </c>
      <c r="CH43" s="758" t="str">
        <f t="shared" si="35"/>
        <v/>
      </c>
      <c r="CI43" s="758" t="str">
        <f t="shared" si="36"/>
        <v/>
      </c>
      <c r="CJ43" s="758" t="str">
        <f t="shared" si="37"/>
        <v/>
      </c>
      <c r="CK43" s="758" t="str">
        <f t="shared" si="38"/>
        <v/>
      </c>
      <c r="CL43" s="758" t="str">
        <f t="shared" si="39"/>
        <v/>
      </c>
      <c r="CM43" s="758" t="str">
        <f t="shared" si="40"/>
        <v/>
      </c>
      <c r="CN43" s="758" t="str">
        <f t="shared" si="41"/>
        <v/>
      </c>
      <c r="CO43" s="758" t="str">
        <f t="shared" si="42"/>
        <v/>
      </c>
      <c r="CP43" s="758" t="str">
        <f t="shared" si="43"/>
        <v/>
      </c>
      <c r="CQ43" s="758" t="str">
        <f t="shared" si="44"/>
        <v/>
      </c>
      <c r="CR43" s="758" t="str">
        <f t="shared" si="45"/>
        <v/>
      </c>
      <c r="CS43" s="758" t="str">
        <f t="shared" si="46"/>
        <v/>
      </c>
      <c r="CT43" s="758" t="str">
        <f t="shared" si="47"/>
        <v/>
      </c>
      <c r="CU43" s="758" t="str">
        <f t="shared" si="48"/>
        <v/>
      </c>
      <c r="CV43" s="758" t="str">
        <f t="shared" si="49"/>
        <v/>
      </c>
      <c r="CW43" s="758" t="str">
        <f t="shared" si="50"/>
        <v/>
      </c>
      <c r="CX43" s="758" t="str">
        <f t="shared" si="51"/>
        <v/>
      </c>
      <c r="CY43" s="758" t="str">
        <f t="shared" si="52"/>
        <v/>
      </c>
      <c r="CZ43" s="758" t="str">
        <f t="shared" si="53"/>
        <v/>
      </c>
      <c r="DA43" s="758" t="str">
        <f t="shared" si="54"/>
        <v/>
      </c>
      <c r="DB43" s="758" t="str">
        <f t="shared" si="55"/>
        <v/>
      </c>
      <c r="DC43" s="758" t="str">
        <f t="shared" si="56"/>
        <v/>
      </c>
      <c r="DD43" s="758" t="str">
        <f t="shared" si="57"/>
        <v/>
      </c>
      <c r="DE43" s="758" t="str">
        <f t="shared" si="58"/>
        <v/>
      </c>
      <c r="DF43" s="758" t="str">
        <f t="shared" si="59"/>
        <v/>
      </c>
      <c r="DG43" s="758" t="str">
        <f t="shared" si="60"/>
        <v/>
      </c>
      <c r="DH43" s="758" t="str">
        <f t="shared" si="61"/>
        <v/>
      </c>
      <c r="DI43" s="758" t="str">
        <f t="shared" si="62"/>
        <v/>
      </c>
      <c r="DJ43" s="758" t="str">
        <f t="shared" si="63"/>
        <v/>
      </c>
      <c r="DK43" s="758" t="str">
        <f t="shared" si="64"/>
        <v/>
      </c>
      <c r="DL43" s="758" t="str">
        <f t="shared" si="65"/>
        <v/>
      </c>
      <c r="DM43" s="758" t="str">
        <f t="shared" si="66"/>
        <v/>
      </c>
      <c r="DN43" s="758" t="str">
        <f t="shared" si="67"/>
        <v/>
      </c>
      <c r="DO43" s="758" t="str">
        <f t="shared" si="68"/>
        <v/>
      </c>
      <c r="DP43" s="758" t="str">
        <f t="shared" si="69"/>
        <v/>
      </c>
      <c r="DQ43" s="758" t="str">
        <f t="shared" si="70"/>
        <v/>
      </c>
      <c r="DR43" s="758" t="str">
        <f t="shared" si="71"/>
        <v/>
      </c>
      <c r="DS43" s="758" t="str">
        <f t="shared" si="72"/>
        <v/>
      </c>
      <c r="DT43" s="758" t="str">
        <f t="shared" si="73"/>
        <v/>
      </c>
      <c r="DU43" s="758" t="str">
        <f t="shared" si="74"/>
        <v/>
      </c>
      <c r="DV43" s="758" t="str">
        <f t="shared" si="75"/>
        <v/>
      </c>
      <c r="DW43" s="758" t="str">
        <f t="shared" si="76"/>
        <v/>
      </c>
      <c r="DX43" s="758" t="str">
        <f t="shared" si="77"/>
        <v/>
      </c>
      <c r="DY43" s="758" t="str">
        <f t="shared" si="78"/>
        <v/>
      </c>
      <c r="DZ43" s="758" t="str">
        <f t="shared" si="79"/>
        <v/>
      </c>
      <c r="EA43" s="758" t="str">
        <f t="shared" si="80"/>
        <v/>
      </c>
      <c r="EB43" s="758" t="str">
        <f t="shared" si="81"/>
        <v/>
      </c>
      <c r="EC43" s="758" t="str">
        <f t="shared" si="82"/>
        <v/>
      </c>
      <c r="ED43" s="758" t="str">
        <f t="shared" si="83"/>
        <v/>
      </c>
      <c r="EE43" s="758" t="str">
        <f t="shared" si="84"/>
        <v/>
      </c>
      <c r="EF43" s="758" t="str">
        <f t="shared" si="85"/>
        <v/>
      </c>
      <c r="EG43" s="758" t="str">
        <f t="shared" si="86"/>
        <v/>
      </c>
      <c r="EH43" s="758" t="str">
        <f t="shared" si="87"/>
        <v/>
      </c>
      <c r="EI43" s="758" t="str">
        <f t="shared" si="88"/>
        <v/>
      </c>
      <c r="EJ43" s="758" t="str">
        <f t="shared" si="89"/>
        <v/>
      </c>
      <c r="EK43" s="758" t="str">
        <f t="shared" si="90"/>
        <v/>
      </c>
      <c r="EL43" s="758" t="str">
        <f t="shared" si="91"/>
        <v/>
      </c>
      <c r="EM43" s="758" t="str">
        <f t="shared" si="92"/>
        <v/>
      </c>
      <c r="EN43" s="758" t="str">
        <f t="shared" si="93"/>
        <v/>
      </c>
      <c r="EO43" s="758" t="str">
        <f t="shared" si="94"/>
        <v/>
      </c>
      <c r="EP43" s="758" t="str">
        <f t="shared" si="95"/>
        <v/>
      </c>
      <c r="EQ43" s="758" t="str">
        <f t="shared" si="96"/>
        <v/>
      </c>
      <c r="ER43" s="758" t="str">
        <f t="shared" si="97"/>
        <v/>
      </c>
      <c r="ES43" s="758" t="str">
        <f t="shared" si="98"/>
        <v/>
      </c>
      <c r="ET43" s="758" t="str">
        <f t="shared" si="99"/>
        <v/>
      </c>
      <c r="EU43" s="758" t="str">
        <f t="shared" si="100"/>
        <v/>
      </c>
      <c r="EV43" s="778" t="str">
        <f t="shared" si="101"/>
        <v/>
      </c>
      <c r="EW43" s="778" t="str">
        <f t="shared" si="102"/>
        <v/>
      </c>
      <c r="EX43" s="778" t="str">
        <f t="shared" si="103"/>
        <v/>
      </c>
      <c r="EY43" s="778" t="str">
        <f t="shared" si="104"/>
        <v/>
      </c>
      <c r="EZ43" s="778" t="str">
        <f t="shared" si="105"/>
        <v/>
      </c>
      <c r="FA43" s="778" t="str">
        <f t="shared" si="106"/>
        <v/>
      </c>
      <c r="FB43" s="778" t="str">
        <f t="shared" si="107"/>
        <v/>
      </c>
      <c r="FC43" s="778" t="str">
        <f t="shared" si="108"/>
        <v/>
      </c>
      <c r="FD43" s="778" t="str">
        <f t="shared" si="109"/>
        <v/>
      </c>
      <c r="FE43" s="778" t="str">
        <f t="shared" si="110"/>
        <v/>
      </c>
      <c r="FF43" s="778" t="str">
        <f t="shared" si="111"/>
        <v/>
      </c>
      <c r="FG43" s="778" t="str">
        <f t="shared" si="112"/>
        <v/>
      </c>
      <c r="FH43" s="778" t="str">
        <f t="shared" si="113"/>
        <v/>
      </c>
      <c r="FI43" s="778" t="str">
        <f t="shared" si="114"/>
        <v/>
      </c>
      <c r="FJ43" s="778" t="str">
        <f t="shared" si="115"/>
        <v/>
      </c>
      <c r="FK43" s="778" t="str">
        <f t="shared" si="116"/>
        <v/>
      </c>
      <c r="FL43" s="778" t="str">
        <f t="shared" si="117"/>
        <v/>
      </c>
      <c r="FM43" s="778" t="str">
        <f t="shared" si="118"/>
        <v/>
      </c>
      <c r="FN43" s="778" t="str">
        <f t="shared" si="119"/>
        <v/>
      </c>
      <c r="FO43" s="778" t="str">
        <f t="shared" si="120"/>
        <v/>
      </c>
      <c r="FP43" s="778" t="str">
        <f t="shared" si="121"/>
        <v/>
      </c>
      <c r="FQ43" s="778" t="str">
        <f t="shared" si="122"/>
        <v/>
      </c>
      <c r="FR43" s="778" t="str">
        <f t="shared" si="123"/>
        <v/>
      </c>
      <c r="FS43" s="778" t="str">
        <f t="shared" si="124"/>
        <v/>
      </c>
      <c r="FT43" s="778" t="str">
        <f t="shared" si="125"/>
        <v/>
      </c>
      <c r="FU43" s="778" t="str">
        <f t="shared" si="126"/>
        <v/>
      </c>
      <c r="FV43" s="778" t="str">
        <f t="shared" si="127"/>
        <v/>
      </c>
      <c r="FW43" s="778" t="str">
        <f t="shared" si="128"/>
        <v/>
      </c>
      <c r="FX43" s="778" t="str">
        <f t="shared" si="129"/>
        <v/>
      </c>
      <c r="FY43" s="778" t="str">
        <f t="shared" si="130"/>
        <v/>
      </c>
      <c r="FZ43" s="778" t="str">
        <f t="shared" si="131"/>
        <v/>
      </c>
      <c r="GA43" s="778" t="str">
        <f t="shared" si="132"/>
        <v/>
      </c>
      <c r="GB43" s="778" t="str">
        <f t="shared" si="133"/>
        <v/>
      </c>
      <c r="GC43" s="778" t="str">
        <f t="shared" si="134"/>
        <v/>
      </c>
      <c r="GD43" s="778" t="str">
        <f t="shared" si="135"/>
        <v/>
      </c>
      <c r="GE43" s="778" t="str">
        <f t="shared" si="136"/>
        <v/>
      </c>
      <c r="GF43" s="778" t="str">
        <f t="shared" si="137"/>
        <v/>
      </c>
      <c r="GG43" s="778" t="str">
        <f t="shared" si="138"/>
        <v/>
      </c>
      <c r="GH43" s="778" t="str">
        <f t="shared" si="139"/>
        <v/>
      </c>
      <c r="GI43" s="778" t="str">
        <f t="shared" si="140"/>
        <v/>
      </c>
      <c r="GJ43" s="778" t="str">
        <f t="shared" si="141"/>
        <v/>
      </c>
      <c r="GK43" s="778" t="str">
        <f t="shared" si="142"/>
        <v/>
      </c>
      <c r="GL43" s="778" t="str">
        <f t="shared" si="143"/>
        <v/>
      </c>
      <c r="GM43" s="778" t="str">
        <f t="shared" si="144"/>
        <v/>
      </c>
      <c r="GN43" s="778" t="str">
        <f t="shared" si="145"/>
        <v/>
      </c>
      <c r="GO43" s="779" t="str">
        <f t="shared" si="146"/>
        <v/>
      </c>
      <c r="GP43" s="779" t="str">
        <f t="shared" si="147"/>
        <v/>
      </c>
      <c r="GQ43" s="779" t="str">
        <f t="shared" si="148"/>
        <v/>
      </c>
      <c r="GR43" s="779" t="str">
        <f t="shared" si="149"/>
        <v/>
      </c>
      <c r="GS43" s="779" t="str">
        <f t="shared" si="150"/>
        <v/>
      </c>
      <c r="GT43" s="758" t="str">
        <f t="shared" si="151"/>
        <v/>
      </c>
      <c r="GU43" s="758" t="str">
        <f t="shared" si="152"/>
        <v/>
      </c>
      <c r="GV43" s="758" t="str">
        <f t="shared" si="153"/>
        <v/>
      </c>
      <c r="GW43" s="758" t="str">
        <f t="shared" si="154"/>
        <v/>
      </c>
      <c r="GX43" s="758" t="str">
        <f t="shared" si="155"/>
        <v/>
      </c>
      <c r="GY43" s="758" t="str">
        <f t="shared" si="156"/>
        <v/>
      </c>
      <c r="GZ43" s="758" t="str">
        <f t="shared" si="157"/>
        <v/>
      </c>
      <c r="HA43" s="758" t="str">
        <f t="shared" si="158"/>
        <v/>
      </c>
      <c r="HB43" s="758" t="str">
        <f t="shared" si="159"/>
        <v/>
      </c>
      <c r="HC43" s="758" t="str">
        <f t="shared" si="160"/>
        <v/>
      </c>
      <c r="HD43" s="758" t="str">
        <f t="shared" si="161"/>
        <v/>
      </c>
      <c r="HE43" s="758" t="str">
        <f t="shared" si="162"/>
        <v/>
      </c>
      <c r="HF43" s="758" t="str">
        <f t="shared" si="163"/>
        <v/>
      </c>
      <c r="HG43" s="758" t="str">
        <f t="shared" si="164"/>
        <v/>
      </c>
      <c r="HH43" s="758" t="str">
        <f t="shared" si="165"/>
        <v/>
      </c>
      <c r="HI43" s="758" t="str">
        <f t="shared" si="166"/>
        <v/>
      </c>
      <c r="HJ43" s="758" t="str">
        <f t="shared" si="167"/>
        <v/>
      </c>
      <c r="HK43" s="758" t="str">
        <f t="shared" si="168"/>
        <v/>
      </c>
      <c r="HL43" s="758" t="str">
        <f t="shared" si="169"/>
        <v/>
      </c>
      <c r="HM43" s="758" t="str">
        <f t="shared" si="170"/>
        <v/>
      </c>
    </row>
    <row r="44" spans="1:221" ht="13.35" customHeight="1">
      <c r="A44" s="148" t="str">
        <f t="shared" si="171"/>
        <v/>
      </c>
      <c r="B44" s="1515" t="s">
        <v>1533</v>
      </c>
      <c r="C44" s="1516"/>
      <c r="D44" s="1517"/>
      <c r="E44" s="1518"/>
      <c r="F44" s="1518"/>
      <c r="G44" s="1518"/>
      <c r="H44" s="1518"/>
      <c r="I44" s="1518"/>
      <c r="J44" s="1519"/>
      <c r="K44" s="225">
        <f t="shared" si="205"/>
        <v>0</v>
      </c>
      <c r="L44" s="225">
        <f t="shared" si="0"/>
        <v>0</v>
      </c>
      <c r="M44" s="1520"/>
      <c r="N44" s="1520"/>
      <c r="O44" s="1520"/>
      <c r="P44" s="674" t="str">
        <f t="shared" si="203"/>
        <v/>
      </c>
      <c r="Q44" s="675" t="str">
        <f>IF(H44="","",P44/($P$6*VLOOKUP(C44,'DCA Underwriting Assumptions'!$J$84:$K$89,2,FALSE)))</f>
        <v/>
      </c>
      <c r="R44" s="821"/>
      <c r="S44" s="675"/>
      <c r="T44" s="1455"/>
      <c r="U44" s="1456"/>
      <c r="V44" s="758" t="str">
        <f t="shared" si="1"/>
        <v/>
      </c>
      <c r="W44" s="758" t="str">
        <f t="shared" si="2"/>
        <v/>
      </c>
      <c r="X44" s="758" t="str">
        <f t="shared" si="3"/>
        <v/>
      </c>
      <c r="Y44" s="758" t="str">
        <f t="shared" si="4"/>
        <v/>
      </c>
      <c r="Z44" s="758" t="str">
        <f t="shared" si="5"/>
        <v/>
      </c>
      <c r="AA44" s="758" t="str">
        <f t="shared" si="6"/>
        <v/>
      </c>
      <c r="AB44" s="758" t="str">
        <f t="shared" si="7"/>
        <v/>
      </c>
      <c r="AC44" s="758" t="str">
        <f t="shared" si="8"/>
        <v/>
      </c>
      <c r="AD44" s="758" t="str">
        <f t="shared" si="9"/>
        <v/>
      </c>
      <c r="AE44" s="758" t="str">
        <f t="shared" si="10"/>
        <v/>
      </c>
      <c r="AF44" s="758" t="str">
        <f t="shared" si="11"/>
        <v/>
      </c>
      <c r="AG44" s="758" t="str">
        <f t="shared" si="12"/>
        <v/>
      </c>
      <c r="AH44" s="758" t="str">
        <f t="shared" si="13"/>
        <v/>
      </c>
      <c r="AI44" s="758" t="str">
        <f t="shared" si="14"/>
        <v/>
      </c>
      <c r="AJ44" s="758" t="str">
        <f t="shared" si="15"/>
        <v/>
      </c>
      <c r="AK44" s="758" t="str">
        <f t="shared" si="16"/>
        <v/>
      </c>
      <c r="AL44" s="758" t="str">
        <f t="shared" si="17"/>
        <v/>
      </c>
      <c r="AM44" s="758" t="str">
        <f t="shared" si="18"/>
        <v/>
      </c>
      <c r="AN44" s="758" t="str">
        <f t="shared" si="19"/>
        <v/>
      </c>
      <c r="AO44" s="758" t="str">
        <f t="shared" si="20"/>
        <v/>
      </c>
      <c r="AP44" s="758" t="str">
        <f t="shared" si="173"/>
        <v/>
      </c>
      <c r="AQ44" s="758" t="str">
        <f t="shared" si="174"/>
        <v/>
      </c>
      <c r="AR44" s="758" t="str">
        <f t="shared" si="175"/>
        <v/>
      </c>
      <c r="AS44" s="758" t="str">
        <f t="shared" si="176"/>
        <v/>
      </c>
      <c r="AT44" s="758" t="str">
        <f t="shared" si="177"/>
        <v/>
      </c>
      <c r="AU44" s="758" t="str">
        <f t="shared" si="178"/>
        <v/>
      </c>
      <c r="AV44" s="758" t="str">
        <f t="shared" si="179"/>
        <v/>
      </c>
      <c r="AW44" s="758" t="str">
        <f t="shared" si="180"/>
        <v/>
      </c>
      <c r="AX44" s="758" t="str">
        <f t="shared" si="181"/>
        <v/>
      </c>
      <c r="AY44" s="758" t="str">
        <f t="shared" si="182"/>
        <v/>
      </c>
      <c r="AZ44" s="758" t="str">
        <f t="shared" si="183"/>
        <v/>
      </c>
      <c r="BA44" s="758" t="str">
        <f t="shared" si="184"/>
        <v/>
      </c>
      <c r="BB44" s="758" t="str">
        <f t="shared" si="185"/>
        <v/>
      </c>
      <c r="BC44" s="758" t="str">
        <f t="shared" si="186"/>
        <v/>
      </c>
      <c r="BD44" s="758" t="str">
        <f t="shared" si="187"/>
        <v/>
      </c>
      <c r="BE44" s="758" t="str">
        <f t="shared" si="188"/>
        <v/>
      </c>
      <c r="BF44" s="758" t="str">
        <f t="shared" si="189"/>
        <v/>
      </c>
      <c r="BG44" s="758" t="str">
        <f t="shared" si="190"/>
        <v/>
      </c>
      <c r="BH44" s="758" t="str">
        <f t="shared" si="191"/>
        <v/>
      </c>
      <c r="BI44" s="758" t="str">
        <f t="shared" si="192"/>
        <v/>
      </c>
      <c r="BJ44" s="758" t="str">
        <f t="shared" si="193"/>
        <v/>
      </c>
      <c r="BK44" s="758" t="str">
        <f t="shared" si="194"/>
        <v/>
      </c>
      <c r="BL44" s="758" t="str">
        <f t="shared" si="195"/>
        <v/>
      </c>
      <c r="BM44" s="758" t="str">
        <f t="shared" si="196"/>
        <v/>
      </c>
      <c r="BN44" s="758" t="str">
        <f t="shared" si="197"/>
        <v/>
      </c>
      <c r="BO44" s="758" t="str">
        <f t="shared" si="198"/>
        <v/>
      </c>
      <c r="BP44" s="758" t="str">
        <f t="shared" si="199"/>
        <v/>
      </c>
      <c r="BQ44" s="758" t="str">
        <f t="shared" si="200"/>
        <v/>
      </c>
      <c r="BR44" s="758" t="str">
        <f t="shared" si="201"/>
        <v/>
      </c>
      <c r="BS44" s="758" t="str">
        <f t="shared" si="202"/>
        <v/>
      </c>
      <c r="BT44" s="758" t="str">
        <f t="shared" si="21"/>
        <v/>
      </c>
      <c r="BU44" s="758" t="str">
        <f t="shared" si="22"/>
        <v/>
      </c>
      <c r="BV44" s="758" t="str">
        <f t="shared" si="23"/>
        <v/>
      </c>
      <c r="BW44" s="758" t="str">
        <f t="shared" si="24"/>
        <v/>
      </c>
      <c r="BX44" s="758" t="str">
        <f t="shared" si="25"/>
        <v/>
      </c>
      <c r="BY44" s="758" t="str">
        <f t="shared" si="26"/>
        <v/>
      </c>
      <c r="BZ44" s="758" t="str">
        <f t="shared" si="27"/>
        <v/>
      </c>
      <c r="CA44" s="758" t="str">
        <f t="shared" si="28"/>
        <v/>
      </c>
      <c r="CB44" s="758" t="str">
        <f t="shared" si="29"/>
        <v/>
      </c>
      <c r="CC44" s="758" t="str">
        <f t="shared" si="30"/>
        <v/>
      </c>
      <c r="CD44" s="758" t="str">
        <f t="shared" si="31"/>
        <v/>
      </c>
      <c r="CE44" s="758" t="str">
        <f t="shared" si="32"/>
        <v/>
      </c>
      <c r="CF44" s="758" t="str">
        <f t="shared" si="33"/>
        <v/>
      </c>
      <c r="CG44" s="758" t="str">
        <f t="shared" si="34"/>
        <v/>
      </c>
      <c r="CH44" s="758" t="str">
        <f t="shared" si="35"/>
        <v/>
      </c>
      <c r="CI44" s="758" t="str">
        <f t="shared" si="36"/>
        <v/>
      </c>
      <c r="CJ44" s="758" t="str">
        <f t="shared" si="37"/>
        <v/>
      </c>
      <c r="CK44" s="758" t="str">
        <f t="shared" si="38"/>
        <v/>
      </c>
      <c r="CL44" s="758" t="str">
        <f t="shared" si="39"/>
        <v/>
      </c>
      <c r="CM44" s="758" t="str">
        <f t="shared" si="40"/>
        <v/>
      </c>
      <c r="CN44" s="758" t="str">
        <f t="shared" si="41"/>
        <v/>
      </c>
      <c r="CO44" s="758" t="str">
        <f t="shared" si="42"/>
        <v/>
      </c>
      <c r="CP44" s="758" t="str">
        <f t="shared" si="43"/>
        <v/>
      </c>
      <c r="CQ44" s="758" t="str">
        <f t="shared" si="44"/>
        <v/>
      </c>
      <c r="CR44" s="758" t="str">
        <f t="shared" si="45"/>
        <v/>
      </c>
      <c r="CS44" s="758" t="str">
        <f t="shared" si="46"/>
        <v/>
      </c>
      <c r="CT44" s="758" t="str">
        <f t="shared" si="47"/>
        <v/>
      </c>
      <c r="CU44" s="758" t="str">
        <f t="shared" si="48"/>
        <v/>
      </c>
      <c r="CV44" s="758" t="str">
        <f t="shared" si="49"/>
        <v/>
      </c>
      <c r="CW44" s="758" t="str">
        <f t="shared" si="50"/>
        <v/>
      </c>
      <c r="CX44" s="758" t="str">
        <f t="shared" si="51"/>
        <v/>
      </c>
      <c r="CY44" s="758" t="str">
        <f t="shared" si="52"/>
        <v/>
      </c>
      <c r="CZ44" s="758" t="str">
        <f t="shared" si="53"/>
        <v/>
      </c>
      <c r="DA44" s="758" t="str">
        <f t="shared" si="54"/>
        <v/>
      </c>
      <c r="DB44" s="758" t="str">
        <f t="shared" si="55"/>
        <v/>
      </c>
      <c r="DC44" s="758" t="str">
        <f t="shared" si="56"/>
        <v/>
      </c>
      <c r="DD44" s="758" t="str">
        <f t="shared" si="57"/>
        <v/>
      </c>
      <c r="DE44" s="758" t="str">
        <f t="shared" si="58"/>
        <v/>
      </c>
      <c r="DF44" s="758" t="str">
        <f t="shared" si="59"/>
        <v/>
      </c>
      <c r="DG44" s="758" t="str">
        <f t="shared" si="60"/>
        <v/>
      </c>
      <c r="DH44" s="758" t="str">
        <f t="shared" si="61"/>
        <v/>
      </c>
      <c r="DI44" s="758" t="str">
        <f t="shared" si="62"/>
        <v/>
      </c>
      <c r="DJ44" s="758" t="str">
        <f t="shared" si="63"/>
        <v/>
      </c>
      <c r="DK44" s="758" t="str">
        <f t="shared" si="64"/>
        <v/>
      </c>
      <c r="DL44" s="758" t="str">
        <f t="shared" si="65"/>
        <v/>
      </c>
      <c r="DM44" s="758" t="str">
        <f t="shared" si="66"/>
        <v/>
      </c>
      <c r="DN44" s="758" t="str">
        <f t="shared" si="67"/>
        <v/>
      </c>
      <c r="DO44" s="758" t="str">
        <f t="shared" si="68"/>
        <v/>
      </c>
      <c r="DP44" s="758" t="str">
        <f t="shared" si="69"/>
        <v/>
      </c>
      <c r="DQ44" s="758" t="str">
        <f t="shared" si="70"/>
        <v/>
      </c>
      <c r="DR44" s="758" t="str">
        <f t="shared" si="71"/>
        <v/>
      </c>
      <c r="DS44" s="758" t="str">
        <f t="shared" si="72"/>
        <v/>
      </c>
      <c r="DT44" s="758" t="str">
        <f t="shared" si="73"/>
        <v/>
      </c>
      <c r="DU44" s="758" t="str">
        <f t="shared" si="74"/>
        <v/>
      </c>
      <c r="DV44" s="758" t="str">
        <f t="shared" si="75"/>
        <v/>
      </c>
      <c r="DW44" s="758" t="str">
        <f t="shared" si="76"/>
        <v/>
      </c>
      <c r="DX44" s="758" t="str">
        <f t="shared" si="77"/>
        <v/>
      </c>
      <c r="DY44" s="758" t="str">
        <f t="shared" si="78"/>
        <v/>
      </c>
      <c r="DZ44" s="758" t="str">
        <f t="shared" si="79"/>
        <v/>
      </c>
      <c r="EA44" s="758" t="str">
        <f t="shared" si="80"/>
        <v/>
      </c>
      <c r="EB44" s="758" t="str">
        <f t="shared" si="81"/>
        <v/>
      </c>
      <c r="EC44" s="758" t="str">
        <f t="shared" si="82"/>
        <v/>
      </c>
      <c r="ED44" s="758" t="str">
        <f t="shared" si="83"/>
        <v/>
      </c>
      <c r="EE44" s="758" t="str">
        <f t="shared" si="84"/>
        <v/>
      </c>
      <c r="EF44" s="758" t="str">
        <f t="shared" si="85"/>
        <v/>
      </c>
      <c r="EG44" s="758" t="str">
        <f t="shared" si="86"/>
        <v/>
      </c>
      <c r="EH44" s="758" t="str">
        <f t="shared" si="87"/>
        <v/>
      </c>
      <c r="EI44" s="758" t="str">
        <f t="shared" si="88"/>
        <v/>
      </c>
      <c r="EJ44" s="758" t="str">
        <f t="shared" si="89"/>
        <v/>
      </c>
      <c r="EK44" s="758" t="str">
        <f t="shared" si="90"/>
        <v/>
      </c>
      <c r="EL44" s="758" t="str">
        <f t="shared" si="91"/>
        <v/>
      </c>
      <c r="EM44" s="758" t="str">
        <f t="shared" si="92"/>
        <v/>
      </c>
      <c r="EN44" s="758" t="str">
        <f t="shared" si="93"/>
        <v/>
      </c>
      <c r="EO44" s="758" t="str">
        <f t="shared" si="94"/>
        <v/>
      </c>
      <c r="EP44" s="758" t="str">
        <f t="shared" si="95"/>
        <v/>
      </c>
      <c r="EQ44" s="758" t="str">
        <f t="shared" si="96"/>
        <v/>
      </c>
      <c r="ER44" s="758" t="str">
        <f t="shared" si="97"/>
        <v/>
      </c>
      <c r="ES44" s="758" t="str">
        <f t="shared" si="98"/>
        <v/>
      </c>
      <c r="ET44" s="758" t="str">
        <f t="shared" si="99"/>
        <v/>
      </c>
      <c r="EU44" s="758" t="str">
        <f t="shared" si="100"/>
        <v/>
      </c>
      <c r="EV44" s="778" t="str">
        <f t="shared" si="101"/>
        <v/>
      </c>
      <c r="EW44" s="778" t="str">
        <f t="shared" si="102"/>
        <v/>
      </c>
      <c r="EX44" s="778" t="str">
        <f t="shared" si="103"/>
        <v/>
      </c>
      <c r="EY44" s="778" t="str">
        <f t="shared" si="104"/>
        <v/>
      </c>
      <c r="EZ44" s="778" t="str">
        <f t="shared" si="105"/>
        <v/>
      </c>
      <c r="FA44" s="778" t="str">
        <f t="shared" si="106"/>
        <v/>
      </c>
      <c r="FB44" s="778" t="str">
        <f t="shared" si="107"/>
        <v/>
      </c>
      <c r="FC44" s="778" t="str">
        <f t="shared" si="108"/>
        <v/>
      </c>
      <c r="FD44" s="778" t="str">
        <f t="shared" si="109"/>
        <v/>
      </c>
      <c r="FE44" s="778" t="str">
        <f t="shared" si="110"/>
        <v/>
      </c>
      <c r="FF44" s="778" t="str">
        <f t="shared" si="111"/>
        <v/>
      </c>
      <c r="FG44" s="778" t="str">
        <f t="shared" si="112"/>
        <v/>
      </c>
      <c r="FH44" s="778" t="str">
        <f t="shared" si="113"/>
        <v/>
      </c>
      <c r="FI44" s="778" t="str">
        <f t="shared" si="114"/>
        <v/>
      </c>
      <c r="FJ44" s="778" t="str">
        <f t="shared" si="115"/>
        <v/>
      </c>
      <c r="FK44" s="778" t="str">
        <f t="shared" si="116"/>
        <v/>
      </c>
      <c r="FL44" s="778" t="str">
        <f t="shared" si="117"/>
        <v/>
      </c>
      <c r="FM44" s="778" t="str">
        <f t="shared" si="118"/>
        <v/>
      </c>
      <c r="FN44" s="778" t="str">
        <f t="shared" si="119"/>
        <v/>
      </c>
      <c r="FO44" s="778" t="str">
        <f t="shared" si="120"/>
        <v/>
      </c>
      <c r="FP44" s="778" t="str">
        <f t="shared" si="121"/>
        <v/>
      </c>
      <c r="FQ44" s="778" t="str">
        <f t="shared" si="122"/>
        <v/>
      </c>
      <c r="FR44" s="778" t="str">
        <f t="shared" si="123"/>
        <v/>
      </c>
      <c r="FS44" s="778" t="str">
        <f t="shared" si="124"/>
        <v/>
      </c>
      <c r="FT44" s="778" t="str">
        <f t="shared" si="125"/>
        <v/>
      </c>
      <c r="FU44" s="778" t="str">
        <f t="shared" si="126"/>
        <v/>
      </c>
      <c r="FV44" s="778" t="str">
        <f t="shared" si="127"/>
        <v/>
      </c>
      <c r="FW44" s="778" t="str">
        <f t="shared" si="128"/>
        <v/>
      </c>
      <c r="FX44" s="778" t="str">
        <f t="shared" si="129"/>
        <v/>
      </c>
      <c r="FY44" s="778" t="str">
        <f t="shared" si="130"/>
        <v/>
      </c>
      <c r="FZ44" s="778" t="str">
        <f t="shared" si="131"/>
        <v/>
      </c>
      <c r="GA44" s="778" t="str">
        <f t="shared" si="132"/>
        <v/>
      </c>
      <c r="GB44" s="778" t="str">
        <f t="shared" si="133"/>
        <v/>
      </c>
      <c r="GC44" s="778" t="str">
        <f t="shared" si="134"/>
        <v/>
      </c>
      <c r="GD44" s="778" t="str">
        <f t="shared" si="135"/>
        <v/>
      </c>
      <c r="GE44" s="778" t="str">
        <f t="shared" si="136"/>
        <v/>
      </c>
      <c r="GF44" s="778" t="str">
        <f t="shared" si="137"/>
        <v/>
      </c>
      <c r="GG44" s="778" t="str">
        <f t="shared" si="138"/>
        <v/>
      </c>
      <c r="GH44" s="778" t="str">
        <f t="shared" si="139"/>
        <v/>
      </c>
      <c r="GI44" s="778" t="str">
        <f t="shared" si="140"/>
        <v/>
      </c>
      <c r="GJ44" s="778" t="str">
        <f t="shared" si="141"/>
        <v/>
      </c>
      <c r="GK44" s="778" t="str">
        <f t="shared" si="142"/>
        <v/>
      </c>
      <c r="GL44" s="778" t="str">
        <f t="shared" si="143"/>
        <v/>
      </c>
      <c r="GM44" s="778" t="str">
        <f t="shared" si="144"/>
        <v/>
      </c>
      <c r="GN44" s="778" t="str">
        <f t="shared" si="145"/>
        <v/>
      </c>
      <c r="GO44" s="779" t="str">
        <f t="shared" si="146"/>
        <v/>
      </c>
      <c r="GP44" s="779" t="str">
        <f t="shared" si="147"/>
        <v/>
      </c>
      <c r="GQ44" s="779" t="str">
        <f t="shared" si="148"/>
        <v/>
      </c>
      <c r="GR44" s="779" t="str">
        <f t="shared" si="149"/>
        <v/>
      </c>
      <c r="GS44" s="779" t="str">
        <f t="shared" si="150"/>
        <v/>
      </c>
      <c r="GT44" s="758" t="str">
        <f t="shared" si="151"/>
        <v/>
      </c>
      <c r="GU44" s="758" t="str">
        <f t="shared" si="152"/>
        <v/>
      </c>
      <c r="GV44" s="758" t="str">
        <f t="shared" si="153"/>
        <v/>
      </c>
      <c r="GW44" s="758" t="str">
        <f t="shared" si="154"/>
        <v/>
      </c>
      <c r="GX44" s="758" t="str">
        <f t="shared" si="155"/>
        <v/>
      </c>
      <c r="GY44" s="758" t="str">
        <f t="shared" si="156"/>
        <v/>
      </c>
      <c r="GZ44" s="758" t="str">
        <f t="shared" si="157"/>
        <v/>
      </c>
      <c r="HA44" s="758" t="str">
        <f t="shared" si="158"/>
        <v/>
      </c>
      <c r="HB44" s="758" t="str">
        <f t="shared" si="159"/>
        <v/>
      </c>
      <c r="HC44" s="758" t="str">
        <f t="shared" si="160"/>
        <v/>
      </c>
      <c r="HD44" s="758" t="str">
        <f t="shared" si="161"/>
        <v/>
      </c>
      <c r="HE44" s="758" t="str">
        <f t="shared" si="162"/>
        <v/>
      </c>
      <c r="HF44" s="758" t="str">
        <f t="shared" si="163"/>
        <v/>
      </c>
      <c r="HG44" s="758" t="str">
        <f t="shared" si="164"/>
        <v/>
      </c>
      <c r="HH44" s="758" t="str">
        <f t="shared" si="165"/>
        <v/>
      </c>
      <c r="HI44" s="758" t="str">
        <f t="shared" si="166"/>
        <v/>
      </c>
      <c r="HJ44" s="758" t="str">
        <f t="shared" si="167"/>
        <v/>
      </c>
      <c r="HK44" s="758" t="str">
        <f t="shared" si="168"/>
        <v/>
      </c>
      <c r="HL44" s="758" t="str">
        <f t="shared" si="169"/>
        <v/>
      </c>
      <c r="HM44" s="758" t="str">
        <f t="shared" si="170"/>
        <v/>
      </c>
    </row>
    <row r="45" spans="1:221" ht="13.35" customHeight="1">
      <c r="A45" s="148" t="str">
        <f t="shared" si="171"/>
        <v/>
      </c>
      <c r="B45" s="1515" t="s">
        <v>1533</v>
      </c>
      <c r="C45" s="1516"/>
      <c r="D45" s="1517"/>
      <c r="E45" s="1518"/>
      <c r="F45" s="1518"/>
      <c r="G45" s="1518"/>
      <c r="H45" s="1518"/>
      <c r="I45" s="1518"/>
      <c r="J45" s="1519"/>
      <c r="K45" s="225">
        <f t="shared" si="205"/>
        <v>0</v>
      </c>
      <c r="L45" s="225">
        <f t="shared" si="0"/>
        <v>0</v>
      </c>
      <c r="M45" s="1520"/>
      <c r="N45" s="1520"/>
      <c r="O45" s="1520"/>
      <c r="P45" s="674" t="str">
        <f t="shared" si="203"/>
        <v/>
      </c>
      <c r="Q45" s="675" t="str">
        <f>IF(H45="","",P45/($P$6*VLOOKUP(C45,'DCA Underwriting Assumptions'!$J$84:$K$89,2,FALSE)))</f>
        <v/>
      </c>
      <c r="R45" s="821"/>
      <c r="S45" s="675"/>
      <c r="T45" s="1455"/>
      <c r="U45" s="1456"/>
      <c r="V45" s="758" t="str">
        <f t="shared" si="1"/>
        <v/>
      </c>
      <c r="W45" s="758" t="str">
        <f t="shared" si="2"/>
        <v/>
      </c>
      <c r="X45" s="758" t="str">
        <f t="shared" si="3"/>
        <v/>
      </c>
      <c r="Y45" s="758" t="str">
        <f t="shared" si="4"/>
        <v/>
      </c>
      <c r="Z45" s="758" t="str">
        <f t="shared" si="5"/>
        <v/>
      </c>
      <c r="AA45" s="758" t="str">
        <f t="shared" si="6"/>
        <v/>
      </c>
      <c r="AB45" s="758" t="str">
        <f t="shared" si="7"/>
        <v/>
      </c>
      <c r="AC45" s="758" t="str">
        <f t="shared" si="8"/>
        <v/>
      </c>
      <c r="AD45" s="758" t="str">
        <f t="shared" si="9"/>
        <v/>
      </c>
      <c r="AE45" s="758" t="str">
        <f t="shared" si="10"/>
        <v/>
      </c>
      <c r="AF45" s="758" t="str">
        <f t="shared" si="11"/>
        <v/>
      </c>
      <c r="AG45" s="758" t="str">
        <f t="shared" si="12"/>
        <v/>
      </c>
      <c r="AH45" s="758" t="str">
        <f t="shared" si="13"/>
        <v/>
      </c>
      <c r="AI45" s="758" t="str">
        <f t="shared" si="14"/>
        <v/>
      </c>
      <c r="AJ45" s="758" t="str">
        <f t="shared" si="15"/>
        <v/>
      </c>
      <c r="AK45" s="758" t="str">
        <f t="shared" si="16"/>
        <v/>
      </c>
      <c r="AL45" s="758" t="str">
        <f t="shared" si="17"/>
        <v/>
      </c>
      <c r="AM45" s="758" t="str">
        <f t="shared" si="18"/>
        <v/>
      </c>
      <c r="AN45" s="758" t="str">
        <f t="shared" si="19"/>
        <v/>
      </c>
      <c r="AO45" s="758" t="str">
        <f t="shared" si="20"/>
        <v/>
      </c>
      <c r="AP45" s="758" t="str">
        <f t="shared" si="173"/>
        <v/>
      </c>
      <c r="AQ45" s="758" t="str">
        <f t="shared" si="174"/>
        <v/>
      </c>
      <c r="AR45" s="758" t="str">
        <f t="shared" si="175"/>
        <v/>
      </c>
      <c r="AS45" s="758" t="str">
        <f t="shared" si="176"/>
        <v/>
      </c>
      <c r="AT45" s="758" t="str">
        <f t="shared" si="177"/>
        <v/>
      </c>
      <c r="AU45" s="758" t="str">
        <f t="shared" si="178"/>
        <v/>
      </c>
      <c r="AV45" s="758" t="str">
        <f t="shared" si="179"/>
        <v/>
      </c>
      <c r="AW45" s="758" t="str">
        <f t="shared" si="180"/>
        <v/>
      </c>
      <c r="AX45" s="758" t="str">
        <f t="shared" si="181"/>
        <v/>
      </c>
      <c r="AY45" s="758" t="str">
        <f t="shared" si="182"/>
        <v/>
      </c>
      <c r="AZ45" s="758" t="str">
        <f t="shared" si="183"/>
        <v/>
      </c>
      <c r="BA45" s="758" t="str">
        <f t="shared" si="184"/>
        <v/>
      </c>
      <c r="BB45" s="758" t="str">
        <f t="shared" si="185"/>
        <v/>
      </c>
      <c r="BC45" s="758" t="str">
        <f t="shared" si="186"/>
        <v/>
      </c>
      <c r="BD45" s="758" t="str">
        <f t="shared" si="187"/>
        <v/>
      </c>
      <c r="BE45" s="758" t="str">
        <f t="shared" si="188"/>
        <v/>
      </c>
      <c r="BF45" s="758" t="str">
        <f t="shared" si="189"/>
        <v/>
      </c>
      <c r="BG45" s="758" t="str">
        <f t="shared" si="190"/>
        <v/>
      </c>
      <c r="BH45" s="758" t="str">
        <f t="shared" si="191"/>
        <v/>
      </c>
      <c r="BI45" s="758" t="str">
        <f t="shared" si="192"/>
        <v/>
      </c>
      <c r="BJ45" s="758" t="str">
        <f t="shared" si="193"/>
        <v/>
      </c>
      <c r="BK45" s="758" t="str">
        <f t="shared" si="194"/>
        <v/>
      </c>
      <c r="BL45" s="758" t="str">
        <f t="shared" si="195"/>
        <v/>
      </c>
      <c r="BM45" s="758" t="str">
        <f t="shared" si="196"/>
        <v/>
      </c>
      <c r="BN45" s="758" t="str">
        <f t="shared" si="197"/>
        <v/>
      </c>
      <c r="BO45" s="758" t="str">
        <f t="shared" si="198"/>
        <v/>
      </c>
      <c r="BP45" s="758" t="str">
        <f t="shared" si="199"/>
        <v/>
      </c>
      <c r="BQ45" s="758" t="str">
        <f t="shared" si="200"/>
        <v/>
      </c>
      <c r="BR45" s="758" t="str">
        <f t="shared" si="201"/>
        <v/>
      </c>
      <c r="BS45" s="758" t="str">
        <f t="shared" si="202"/>
        <v/>
      </c>
      <c r="BT45" s="758" t="str">
        <f t="shared" si="21"/>
        <v/>
      </c>
      <c r="BU45" s="758" t="str">
        <f t="shared" si="22"/>
        <v/>
      </c>
      <c r="BV45" s="758" t="str">
        <f t="shared" si="23"/>
        <v/>
      </c>
      <c r="BW45" s="758" t="str">
        <f t="shared" si="24"/>
        <v/>
      </c>
      <c r="BX45" s="758" t="str">
        <f t="shared" si="25"/>
        <v/>
      </c>
      <c r="BY45" s="758" t="str">
        <f t="shared" si="26"/>
        <v/>
      </c>
      <c r="BZ45" s="758" t="str">
        <f t="shared" si="27"/>
        <v/>
      </c>
      <c r="CA45" s="758" t="str">
        <f t="shared" si="28"/>
        <v/>
      </c>
      <c r="CB45" s="758" t="str">
        <f t="shared" si="29"/>
        <v/>
      </c>
      <c r="CC45" s="758" t="str">
        <f t="shared" si="30"/>
        <v/>
      </c>
      <c r="CD45" s="758" t="str">
        <f t="shared" si="31"/>
        <v/>
      </c>
      <c r="CE45" s="758" t="str">
        <f t="shared" si="32"/>
        <v/>
      </c>
      <c r="CF45" s="758" t="str">
        <f t="shared" si="33"/>
        <v/>
      </c>
      <c r="CG45" s="758" t="str">
        <f t="shared" si="34"/>
        <v/>
      </c>
      <c r="CH45" s="758" t="str">
        <f t="shared" si="35"/>
        <v/>
      </c>
      <c r="CI45" s="758" t="str">
        <f t="shared" si="36"/>
        <v/>
      </c>
      <c r="CJ45" s="758" t="str">
        <f t="shared" si="37"/>
        <v/>
      </c>
      <c r="CK45" s="758" t="str">
        <f t="shared" si="38"/>
        <v/>
      </c>
      <c r="CL45" s="758" t="str">
        <f t="shared" si="39"/>
        <v/>
      </c>
      <c r="CM45" s="758" t="str">
        <f t="shared" si="40"/>
        <v/>
      </c>
      <c r="CN45" s="758" t="str">
        <f t="shared" si="41"/>
        <v/>
      </c>
      <c r="CO45" s="758" t="str">
        <f t="shared" si="42"/>
        <v/>
      </c>
      <c r="CP45" s="758" t="str">
        <f t="shared" si="43"/>
        <v/>
      </c>
      <c r="CQ45" s="758" t="str">
        <f t="shared" si="44"/>
        <v/>
      </c>
      <c r="CR45" s="758" t="str">
        <f t="shared" si="45"/>
        <v/>
      </c>
      <c r="CS45" s="758" t="str">
        <f t="shared" si="46"/>
        <v/>
      </c>
      <c r="CT45" s="758" t="str">
        <f t="shared" si="47"/>
        <v/>
      </c>
      <c r="CU45" s="758" t="str">
        <f t="shared" si="48"/>
        <v/>
      </c>
      <c r="CV45" s="758" t="str">
        <f t="shared" si="49"/>
        <v/>
      </c>
      <c r="CW45" s="758" t="str">
        <f t="shared" si="50"/>
        <v/>
      </c>
      <c r="CX45" s="758" t="str">
        <f t="shared" si="51"/>
        <v/>
      </c>
      <c r="CY45" s="758" t="str">
        <f t="shared" si="52"/>
        <v/>
      </c>
      <c r="CZ45" s="758" t="str">
        <f t="shared" si="53"/>
        <v/>
      </c>
      <c r="DA45" s="758" t="str">
        <f t="shared" si="54"/>
        <v/>
      </c>
      <c r="DB45" s="758" t="str">
        <f t="shared" si="55"/>
        <v/>
      </c>
      <c r="DC45" s="758" t="str">
        <f t="shared" si="56"/>
        <v/>
      </c>
      <c r="DD45" s="758" t="str">
        <f t="shared" si="57"/>
        <v/>
      </c>
      <c r="DE45" s="758" t="str">
        <f t="shared" si="58"/>
        <v/>
      </c>
      <c r="DF45" s="758" t="str">
        <f t="shared" si="59"/>
        <v/>
      </c>
      <c r="DG45" s="758" t="str">
        <f t="shared" si="60"/>
        <v/>
      </c>
      <c r="DH45" s="758" t="str">
        <f t="shared" si="61"/>
        <v/>
      </c>
      <c r="DI45" s="758" t="str">
        <f t="shared" si="62"/>
        <v/>
      </c>
      <c r="DJ45" s="758" t="str">
        <f t="shared" si="63"/>
        <v/>
      </c>
      <c r="DK45" s="758" t="str">
        <f t="shared" si="64"/>
        <v/>
      </c>
      <c r="DL45" s="758" t="str">
        <f t="shared" si="65"/>
        <v/>
      </c>
      <c r="DM45" s="758" t="str">
        <f t="shared" si="66"/>
        <v/>
      </c>
      <c r="DN45" s="758" t="str">
        <f t="shared" si="67"/>
        <v/>
      </c>
      <c r="DO45" s="758" t="str">
        <f t="shared" si="68"/>
        <v/>
      </c>
      <c r="DP45" s="758" t="str">
        <f t="shared" si="69"/>
        <v/>
      </c>
      <c r="DQ45" s="758" t="str">
        <f t="shared" si="70"/>
        <v/>
      </c>
      <c r="DR45" s="758" t="str">
        <f t="shared" si="71"/>
        <v/>
      </c>
      <c r="DS45" s="758" t="str">
        <f t="shared" si="72"/>
        <v/>
      </c>
      <c r="DT45" s="758" t="str">
        <f t="shared" si="73"/>
        <v/>
      </c>
      <c r="DU45" s="758" t="str">
        <f t="shared" si="74"/>
        <v/>
      </c>
      <c r="DV45" s="758" t="str">
        <f t="shared" si="75"/>
        <v/>
      </c>
      <c r="DW45" s="758" t="str">
        <f t="shared" si="76"/>
        <v/>
      </c>
      <c r="DX45" s="758" t="str">
        <f t="shared" si="77"/>
        <v/>
      </c>
      <c r="DY45" s="758" t="str">
        <f t="shared" si="78"/>
        <v/>
      </c>
      <c r="DZ45" s="758" t="str">
        <f t="shared" si="79"/>
        <v/>
      </c>
      <c r="EA45" s="758" t="str">
        <f t="shared" si="80"/>
        <v/>
      </c>
      <c r="EB45" s="758" t="str">
        <f t="shared" si="81"/>
        <v/>
      </c>
      <c r="EC45" s="758" t="str">
        <f t="shared" si="82"/>
        <v/>
      </c>
      <c r="ED45" s="758" t="str">
        <f t="shared" si="83"/>
        <v/>
      </c>
      <c r="EE45" s="758" t="str">
        <f t="shared" si="84"/>
        <v/>
      </c>
      <c r="EF45" s="758" t="str">
        <f t="shared" si="85"/>
        <v/>
      </c>
      <c r="EG45" s="758" t="str">
        <f t="shared" si="86"/>
        <v/>
      </c>
      <c r="EH45" s="758" t="str">
        <f t="shared" si="87"/>
        <v/>
      </c>
      <c r="EI45" s="758" t="str">
        <f t="shared" si="88"/>
        <v/>
      </c>
      <c r="EJ45" s="758" t="str">
        <f t="shared" si="89"/>
        <v/>
      </c>
      <c r="EK45" s="758" t="str">
        <f t="shared" si="90"/>
        <v/>
      </c>
      <c r="EL45" s="758" t="str">
        <f t="shared" si="91"/>
        <v/>
      </c>
      <c r="EM45" s="758" t="str">
        <f t="shared" si="92"/>
        <v/>
      </c>
      <c r="EN45" s="758" t="str">
        <f t="shared" si="93"/>
        <v/>
      </c>
      <c r="EO45" s="758" t="str">
        <f t="shared" si="94"/>
        <v/>
      </c>
      <c r="EP45" s="758" t="str">
        <f t="shared" si="95"/>
        <v/>
      </c>
      <c r="EQ45" s="758" t="str">
        <f t="shared" si="96"/>
        <v/>
      </c>
      <c r="ER45" s="758" t="str">
        <f t="shared" si="97"/>
        <v/>
      </c>
      <c r="ES45" s="758" t="str">
        <f t="shared" si="98"/>
        <v/>
      </c>
      <c r="ET45" s="758" t="str">
        <f t="shared" si="99"/>
        <v/>
      </c>
      <c r="EU45" s="758" t="str">
        <f t="shared" si="100"/>
        <v/>
      </c>
      <c r="EV45" s="778" t="str">
        <f t="shared" si="101"/>
        <v/>
      </c>
      <c r="EW45" s="778" t="str">
        <f t="shared" si="102"/>
        <v/>
      </c>
      <c r="EX45" s="778" t="str">
        <f t="shared" si="103"/>
        <v/>
      </c>
      <c r="EY45" s="778" t="str">
        <f t="shared" si="104"/>
        <v/>
      </c>
      <c r="EZ45" s="778" t="str">
        <f t="shared" si="105"/>
        <v/>
      </c>
      <c r="FA45" s="778" t="str">
        <f t="shared" si="106"/>
        <v/>
      </c>
      <c r="FB45" s="778" t="str">
        <f t="shared" si="107"/>
        <v/>
      </c>
      <c r="FC45" s="778" t="str">
        <f t="shared" si="108"/>
        <v/>
      </c>
      <c r="FD45" s="778" t="str">
        <f t="shared" si="109"/>
        <v/>
      </c>
      <c r="FE45" s="778" t="str">
        <f t="shared" si="110"/>
        <v/>
      </c>
      <c r="FF45" s="778" t="str">
        <f t="shared" si="111"/>
        <v/>
      </c>
      <c r="FG45" s="778" t="str">
        <f t="shared" si="112"/>
        <v/>
      </c>
      <c r="FH45" s="778" t="str">
        <f t="shared" si="113"/>
        <v/>
      </c>
      <c r="FI45" s="778" t="str">
        <f t="shared" si="114"/>
        <v/>
      </c>
      <c r="FJ45" s="778" t="str">
        <f t="shared" si="115"/>
        <v/>
      </c>
      <c r="FK45" s="778" t="str">
        <f t="shared" si="116"/>
        <v/>
      </c>
      <c r="FL45" s="778" t="str">
        <f t="shared" si="117"/>
        <v/>
      </c>
      <c r="FM45" s="778" t="str">
        <f t="shared" si="118"/>
        <v/>
      </c>
      <c r="FN45" s="778" t="str">
        <f t="shared" si="119"/>
        <v/>
      </c>
      <c r="FO45" s="778" t="str">
        <f t="shared" si="120"/>
        <v/>
      </c>
      <c r="FP45" s="778" t="str">
        <f t="shared" si="121"/>
        <v/>
      </c>
      <c r="FQ45" s="778" t="str">
        <f t="shared" si="122"/>
        <v/>
      </c>
      <c r="FR45" s="778" t="str">
        <f t="shared" si="123"/>
        <v/>
      </c>
      <c r="FS45" s="778" t="str">
        <f t="shared" si="124"/>
        <v/>
      </c>
      <c r="FT45" s="778" t="str">
        <f t="shared" si="125"/>
        <v/>
      </c>
      <c r="FU45" s="778" t="str">
        <f t="shared" si="126"/>
        <v/>
      </c>
      <c r="FV45" s="778" t="str">
        <f t="shared" si="127"/>
        <v/>
      </c>
      <c r="FW45" s="778" t="str">
        <f t="shared" si="128"/>
        <v/>
      </c>
      <c r="FX45" s="778" t="str">
        <f t="shared" si="129"/>
        <v/>
      </c>
      <c r="FY45" s="778" t="str">
        <f t="shared" si="130"/>
        <v/>
      </c>
      <c r="FZ45" s="778" t="str">
        <f t="shared" si="131"/>
        <v/>
      </c>
      <c r="GA45" s="778" t="str">
        <f t="shared" si="132"/>
        <v/>
      </c>
      <c r="GB45" s="778" t="str">
        <f t="shared" si="133"/>
        <v/>
      </c>
      <c r="GC45" s="778" t="str">
        <f t="shared" si="134"/>
        <v/>
      </c>
      <c r="GD45" s="778" t="str">
        <f t="shared" si="135"/>
        <v/>
      </c>
      <c r="GE45" s="778" t="str">
        <f t="shared" si="136"/>
        <v/>
      </c>
      <c r="GF45" s="778" t="str">
        <f t="shared" si="137"/>
        <v/>
      </c>
      <c r="GG45" s="778" t="str">
        <f t="shared" si="138"/>
        <v/>
      </c>
      <c r="GH45" s="778" t="str">
        <f t="shared" si="139"/>
        <v/>
      </c>
      <c r="GI45" s="778" t="str">
        <f t="shared" si="140"/>
        <v/>
      </c>
      <c r="GJ45" s="778" t="str">
        <f t="shared" si="141"/>
        <v/>
      </c>
      <c r="GK45" s="778" t="str">
        <f t="shared" si="142"/>
        <v/>
      </c>
      <c r="GL45" s="778" t="str">
        <f t="shared" si="143"/>
        <v/>
      </c>
      <c r="GM45" s="778" t="str">
        <f t="shared" si="144"/>
        <v/>
      </c>
      <c r="GN45" s="778" t="str">
        <f t="shared" si="145"/>
        <v/>
      </c>
      <c r="GO45" s="779" t="str">
        <f t="shared" si="146"/>
        <v/>
      </c>
      <c r="GP45" s="779" t="str">
        <f t="shared" si="147"/>
        <v/>
      </c>
      <c r="GQ45" s="779" t="str">
        <f t="shared" si="148"/>
        <v/>
      </c>
      <c r="GR45" s="779" t="str">
        <f t="shared" si="149"/>
        <v/>
      </c>
      <c r="GS45" s="779" t="str">
        <f t="shared" si="150"/>
        <v/>
      </c>
      <c r="GT45" s="758" t="str">
        <f t="shared" si="151"/>
        <v/>
      </c>
      <c r="GU45" s="758" t="str">
        <f t="shared" si="152"/>
        <v/>
      </c>
      <c r="GV45" s="758" t="str">
        <f t="shared" si="153"/>
        <v/>
      </c>
      <c r="GW45" s="758" t="str">
        <f t="shared" si="154"/>
        <v/>
      </c>
      <c r="GX45" s="758" t="str">
        <f t="shared" si="155"/>
        <v/>
      </c>
      <c r="GY45" s="758" t="str">
        <f t="shared" si="156"/>
        <v/>
      </c>
      <c r="GZ45" s="758" t="str">
        <f t="shared" si="157"/>
        <v/>
      </c>
      <c r="HA45" s="758" t="str">
        <f t="shared" si="158"/>
        <v/>
      </c>
      <c r="HB45" s="758" t="str">
        <f t="shared" si="159"/>
        <v/>
      </c>
      <c r="HC45" s="758" t="str">
        <f t="shared" si="160"/>
        <v/>
      </c>
      <c r="HD45" s="758" t="str">
        <f t="shared" si="161"/>
        <v/>
      </c>
      <c r="HE45" s="758" t="str">
        <f t="shared" si="162"/>
        <v/>
      </c>
      <c r="HF45" s="758" t="str">
        <f t="shared" si="163"/>
        <v/>
      </c>
      <c r="HG45" s="758" t="str">
        <f t="shared" si="164"/>
        <v/>
      </c>
      <c r="HH45" s="758" t="str">
        <f t="shared" si="165"/>
        <v/>
      </c>
      <c r="HI45" s="758" t="str">
        <f t="shared" si="166"/>
        <v/>
      </c>
      <c r="HJ45" s="758" t="str">
        <f t="shared" si="167"/>
        <v/>
      </c>
      <c r="HK45" s="758" t="str">
        <f t="shared" si="168"/>
        <v/>
      </c>
      <c r="HL45" s="758" t="str">
        <f t="shared" si="169"/>
        <v/>
      </c>
      <c r="HM45" s="758" t="str">
        <f t="shared" si="170"/>
        <v/>
      </c>
    </row>
    <row r="46" spans="1:221" ht="13.35" customHeight="1">
      <c r="A46" s="148" t="str">
        <f t="shared" si="171"/>
        <v/>
      </c>
      <c r="B46" s="1515" t="s">
        <v>1533</v>
      </c>
      <c r="C46" s="1516"/>
      <c r="D46" s="1517"/>
      <c r="E46" s="1518"/>
      <c r="F46" s="1518"/>
      <c r="G46" s="1518"/>
      <c r="H46" s="1518"/>
      <c r="I46" s="1518"/>
      <c r="J46" s="1519"/>
      <c r="K46" s="225">
        <f t="shared" si="205"/>
        <v>0</v>
      </c>
      <c r="L46" s="225">
        <f t="shared" si="0"/>
        <v>0</v>
      </c>
      <c r="M46" s="1520"/>
      <c r="N46" s="1520"/>
      <c r="O46" s="1520"/>
      <c r="P46" s="674" t="str">
        <f t="shared" si="203"/>
        <v/>
      </c>
      <c r="Q46" s="675" t="str">
        <f>IF(H46="","",P46/($P$6*VLOOKUP(C46,'DCA Underwriting Assumptions'!$J$84:$K$89,2,FALSE)))</f>
        <v/>
      </c>
      <c r="R46" s="821"/>
      <c r="S46" s="675"/>
      <c r="T46" s="1455"/>
      <c r="U46" s="1456"/>
      <c r="V46" s="758" t="str">
        <f t="shared" si="1"/>
        <v/>
      </c>
      <c r="W46" s="758" t="str">
        <f t="shared" si="2"/>
        <v/>
      </c>
      <c r="X46" s="758" t="str">
        <f t="shared" si="3"/>
        <v/>
      </c>
      <c r="Y46" s="758" t="str">
        <f t="shared" si="4"/>
        <v/>
      </c>
      <c r="Z46" s="758" t="str">
        <f t="shared" si="5"/>
        <v/>
      </c>
      <c r="AA46" s="758" t="str">
        <f t="shared" si="6"/>
        <v/>
      </c>
      <c r="AB46" s="758" t="str">
        <f t="shared" si="7"/>
        <v/>
      </c>
      <c r="AC46" s="758" t="str">
        <f t="shared" si="8"/>
        <v/>
      </c>
      <c r="AD46" s="758" t="str">
        <f t="shared" si="9"/>
        <v/>
      </c>
      <c r="AE46" s="758" t="str">
        <f t="shared" si="10"/>
        <v/>
      </c>
      <c r="AF46" s="758" t="str">
        <f t="shared" si="11"/>
        <v/>
      </c>
      <c r="AG46" s="758" t="str">
        <f t="shared" si="12"/>
        <v/>
      </c>
      <c r="AH46" s="758" t="str">
        <f t="shared" si="13"/>
        <v/>
      </c>
      <c r="AI46" s="758" t="str">
        <f t="shared" si="14"/>
        <v/>
      </c>
      <c r="AJ46" s="758" t="str">
        <f t="shared" si="15"/>
        <v/>
      </c>
      <c r="AK46" s="758" t="str">
        <f t="shared" si="16"/>
        <v/>
      </c>
      <c r="AL46" s="758" t="str">
        <f t="shared" si="17"/>
        <v/>
      </c>
      <c r="AM46" s="758" t="str">
        <f t="shared" si="18"/>
        <v/>
      </c>
      <c r="AN46" s="758" t="str">
        <f t="shared" si="19"/>
        <v/>
      </c>
      <c r="AO46" s="758" t="str">
        <f t="shared" si="20"/>
        <v/>
      </c>
      <c r="AP46" s="758" t="str">
        <f t="shared" si="173"/>
        <v/>
      </c>
      <c r="AQ46" s="758" t="str">
        <f t="shared" si="174"/>
        <v/>
      </c>
      <c r="AR46" s="758" t="str">
        <f t="shared" si="175"/>
        <v/>
      </c>
      <c r="AS46" s="758" t="str">
        <f t="shared" si="176"/>
        <v/>
      </c>
      <c r="AT46" s="758" t="str">
        <f t="shared" si="177"/>
        <v/>
      </c>
      <c r="AU46" s="758" t="str">
        <f t="shared" si="178"/>
        <v/>
      </c>
      <c r="AV46" s="758" t="str">
        <f t="shared" si="179"/>
        <v/>
      </c>
      <c r="AW46" s="758" t="str">
        <f t="shared" si="180"/>
        <v/>
      </c>
      <c r="AX46" s="758" t="str">
        <f t="shared" si="181"/>
        <v/>
      </c>
      <c r="AY46" s="758" t="str">
        <f t="shared" si="182"/>
        <v/>
      </c>
      <c r="AZ46" s="758" t="str">
        <f t="shared" si="183"/>
        <v/>
      </c>
      <c r="BA46" s="758" t="str">
        <f t="shared" si="184"/>
        <v/>
      </c>
      <c r="BB46" s="758" t="str">
        <f t="shared" si="185"/>
        <v/>
      </c>
      <c r="BC46" s="758" t="str">
        <f t="shared" si="186"/>
        <v/>
      </c>
      <c r="BD46" s="758" t="str">
        <f t="shared" si="187"/>
        <v/>
      </c>
      <c r="BE46" s="758" t="str">
        <f t="shared" si="188"/>
        <v/>
      </c>
      <c r="BF46" s="758" t="str">
        <f t="shared" si="189"/>
        <v/>
      </c>
      <c r="BG46" s="758" t="str">
        <f t="shared" si="190"/>
        <v/>
      </c>
      <c r="BH46" s="758" t="str">
        <f t="shared" si="191"/>
        <v/>
      </c>
      <c r="BI46" s="758" t="str">
        <f t="shared" si="192"/>
        <v/>
      </c>
      <c r="BJ46" s="758" t="str">
        <f t="shared" si="193"/>
        <v/>
      </c>
      <c r="BK46" s="758" t="str">
        <f t="shared" si="194"/>
        <v/>
      </c>
      <c r="BL46" s="758" t="str">
        <f t="shared" si="195"/>
        <v/>
      </c>
      <c r="BM46" s="758" t="str">
        <f t="shared" si="196"/>
        <v/>
      </c>
      <c r="BN46" s="758" t="str">
        <f t="shared" si="197"/>
        <v/>
      </c>
      <c r="BO46" s="758" t="str">
        <f t="shared" si="198"/>
        <v/>
      </c>
      <c r="BP46" s="758" t="str">
        <f t="shared" si="199"/>
        <v/>
      </c>
      <c r="BQ46" s="758" t="str">
        <f t="shared" si="200"/>
        <v/>
      </c>
      <c r="BR46" s="758" t="str">
        <f t="shared" si="201"/>
        <v/>
      </c>
      <c r="BS46" s="758" t="str">
        <f t="shared" si="202"/>
        <v/>
      </c>
      <c r="BT46" s="758" t="str">
        <f t="shared" si="21"/>
        <v/>
      </c>
      <c r="BU46" s="758" t="str">
        <f t="shared" si="22"/>
        <v/>
      </c>
      <c r="BV46" s="758" t="str">
        <f t="shared" si="23"/>
        <v/>
      </c>
      <c r="BW46" s="758" t="str">
        <f t="shared" si="24"/>
        <v/>
      </c>
      <c r="BX46" s="758" t="str">
        <f t="shared" si="25"/>
        <v/>
      </c>
      <c r="BY46" s="758" t="str">
        <f t="shared" si="26"/>
        <v/>
      </c>
      <c r="BZ46" s="758" t="str">
        <f t="shared" si="27"/>
        <v/>
      </c>
      <c r="CA46" s="758" t="str">
        <f t="shared" si="28"/>
        <v/>
      </c>
      <c r="CB46" s="758" t="str">
        <f t="shared" si="29"/>
        <v/>
      </c>
      <c r="CC46" s="758" t="str">
        <f t="shared" si="30"/>
        <v/>
      </c>
      <c r="CD46" s="758" t="str">
        <f t="shared" si="31"/>
        <v/>
      </c>
      <c r="CE46" s="758" t="str">
        <f t="shared" si="32"/>
        <v/>
      </c>
      <c r="CF46" s="758" t="str">
        <f t="shared" si="33"/>
        <v/>
      </c>
      <c r="CG46" s="758" t="str">
        <f t="shared" si="34"/>
        <v/>
      </c>
      <c r="CH46" s="758" t="str">
        <f t="shared" si="35"/>
        <v/>
      </c>
      <c r="CI46" s="758" t="str">
        <f t="shared" si="36"/>
        <v/>
      </c>
      <c r="CJ46" s="758" t="str">
        <f t="shared" si="37"/>
        <v/>
      </c>
      <c r="CK46" s="758" t="str">
        <f t="shared" si="38"/>
        <v/>
      </c>
      <c r="CL46" s="758" t="str">
        <f t="shared" si="39"/>
        <v/>
      </c>
      <c r="CM46" s="758" t="str">
        <f t="shared" si="40"/>
        <v/>
      </c>
      <c r="CN46" s="758" t="str">
        <f t="shared" si="41"/>
        <v/>
      </c>
      <c r="CO46" s="758" t="str">
        <f t="shared" si="42"/>
        <v/>
      </c>
      <c r="CP46" s="758" t="str">
        <f t="shared" si="43"/>
        <v/>
      </c>
      <c r="CQ46" s="758" t="str">
        <f t="shared" si="44"/>
        <v/>
      </c>
      <c r="CR46" s="758" t="str">
        <f t="shared" si="45"/>
        <v/>
      </c>
      <c r="CS46" s="758" t="str">
        <f t="shared" si="46"/>
        <v/>
      </c>
      <c r="CT46" s="758" t="str">
        <f t="shared" si="47"/>
        <v/>
      </c>
      <c r="CU46" s="758" t="str">
        <f t="shared" si="48"/>
        <v/>
      </c>
      <c r="CV46" s="758" t="str">
        <f t="shared" si="49"/>
        <v/>
      </c>
      <c r="CW46" s="758" t="str">
        <f t="shared" si="50"/>
        <v/>
      </c>
      <c r="CX46" s="758" t="str">
        <f t="shared" si="51"/>
        <v/>
      </c>
      <c r="CY46" s="758" t="str">
        <f t="shared" si="52"/>
        <v/>
      </c>
      <c r="CZ46" s="758" t="str">
        <f t="shared" si="53"/>
        <v/>
      </c>
      <c r="DA46" s="758" t="str">
        <f t="shared" si="54"/>
        <v/>
      </c>
      <c r="DB46" s="758" t="str">
        <f t="shared" si="55"/>
        <v/>
      </c>
      <c r="DC46" s="758" t="str">
        <f t="shared" si="56"/>
        <v/>
      </c>
      <c r="DD46" s="758" t="str">
        <f t="shared" si="57"/>
        <v/>
      </c>
      <c r="DE46" s="758" t="str">
        <f t="shared" si="58"/>
        <v/>
      </c>
      <c r="DF46" s="758" t="str">
        <f t="shared" si="59"/>
        <v/>
      </c>
      <c r="DG46" s="758" t="str">
        <f t="shared" si="60"/>
        <v/>
      </c>
      <c r="DH46" s="758" t="str">
        <f t="shared" si="61"/>
        <v/>
      </c>
      <c r="DI46" s="758" t="str">
        <f t="shared" si="62"/>
        <v/>
      </c>
      <c r="DJ46" s="758" t="str">
        <f t="shared" si="63"/>
        <v/>
      </c>
      <c r="DK46" s="758" t="str">
        <f t="shared" si="64"/>
        <v/>
      </c>
      <c r="DL46" s="758" t="str">
        <f t="shared" si="65"/>
        <v/>
      </c>
      <c r="DM46" s="758" t="str">
        <f t="shared" si="66"/>
        <v/>
      </c>
      <c r="DN46" s="758" t="str">
        <f t="shared" si="67"/>
        <v/>
      </c>
      <c r="DO46" s="758" t="str">
        <f t="shared" si="68"/>
        <v/>
      </c>
      <c r="DP46" s="758" t="str">
        <f t="shared" si="69"/>
        <v/>
      </c>
      <c r="DQ46" s="758" t="str">
        <f t="shared" si="70"/>
        <v/>
      </c>
      <c r="DR46" s="758" t="str">
        <f t="shared" si="71"/>
        <v/>
      </c>
      <c r="DS46" s="758" t="str">
        <f t="shared" si="72"/>
        <v/>
      </c>
      <c r="DT46" s="758" t="str">
        <f t="shared" si="73"/>
        <v/>
      </c>
      <c r="DU46" s="758" t="str">
        <f t="shared" si="74"/>
        <v/>
      </c>
      <c r="DV46" s="758" t="str">
        <f t="shared" si="75"/>
        <v/>
      </c>
      <c r="DW46" s="758" t="str">
        <f t="shared" si="76"/>
        <v/>
      </c>
      <c r="DX46" s="758" t="str">
        <f t="shared" si="77"/>
        <v/>
      </c>
      <c r="DY46" s="758" t="str">
        <f t="shared" si="78"/>
        <v/>
      </c>
      <c r="DZ46" s="758" t="str">
        <f t="shared" si="79"/>
        <v/>
      </c>
      <c r="EA46" s="758" t="str">
        <f t="shared" si="80"/>
        <v/>
      </c>
      <c r="EB46" s="758" t="str">
        <f t="shared" si="81"/>
        <v/>
      </c>
      <c r="EC46" s="758" t="str">
        <f t="shared" si="82"/>
        <v/>
      </c>
      <c r="ED46" s="758" t="str">
        <f t="shared" si="83"/>
        <v/>
      </c>
      <c r="EE46" s="758" t="str">
        <f t="shared" si="84"/>
        <v/>
      </c>
      <c r="EF46" s="758" t="str">
        <f t="shared" si="85"/>
        <v/>
      </c>
      <c r="EG46" s="758" t="str">
        <f t="shared" si="86"/>
        <v/>
      </c>
      <c r="EH46" s="758" t="str">
        <f t="shared" si="87"/>
        <v/>
      </c>
      <c r="EI46" s="758" t="str">
        <f t="shared" si="88"/>
        <v/>
      </c>
      <c r="EJ46" s="758" t="str">
        <f t="shared" si="89"/>
        <v/>
      </c>
      <c r="EK46" s="758" t="str">
        <f t="shared" si="90"/>
        <v/>
      </c>
      <c r="EL46" s="758" t="str">
        <f t="shared" si="91"/>
        <v/>
      </c>
      <c r="EM46" s="758" t="str">
        <f t="shared" si="92"/>
        <v/>
      </c>
      <c r="EN46" s="758" t="str">
        <f t="shared" si="93"/>
        <v/>
      </c>
      <c r="EO46" s="758" t="str">
        <f t="shared" si="94"/>
        <v/>
      </c>
      <c r="EP46" s="758" t="str">
        <f t="shared" si="95"/>
        <v/>
      </c>
      <c r="EQ46" s="758" t="str">
        <f t="shared" si="96"/>
        <v/>
      </c>
      <c r="ER46" s="758" t="str">
        <f t="shared" si="97"/>
        <v/>
      </c>
      <c r="ES46" s="758" t="str">
        <f t="shared" si="98"/>
        <v/>
      </c>
      <c r="ET46" s="758" t="str">
        <f t="shared" si="99"/>
        <v/>
      </c>
      <c r="EU46" s="758" t="str">
        <f t="shared" si="100"/>
        <v/>
      </c>
      <c r="EV46" s="778" t="str">
        <f t="shared" si="101"/>
        <v/>
      </c>
      <c r="EW46" s="778" t="str">
        <f t="shared" si="102"/>
        <v/>
      </c>
      <c r="EX46" s="778" t="str">
        <f t="shared" si="103"/>
        <v/>
      </c>
      <c r="EY46" s="778" t="str">
        <f t="shared" si="104"/>
        <v/>
      </c>
      <c r="EZ46" s="778" t="str">
        <f t="shared" si="105"/>
        <v/>
      </c>
      <c r="FA46" s="778" t="str">
        <f t="shared" si="106"/>
        <v/>
      </c>
      <c r="FB46" s="778" t="str">
        <f t="shared" si="107"/>
        <v/>
      </c>
      <c r="FC46" s="778" t="str">
        <f t="shared" si="108"/>
        <v/>
      </c>
      <c r="FD46" s="778" t="str">
        <f t="shared" si="109"/>
        <v/>
      </c>
      <c r="FE46" s="778" t="str">
        <f t="shared" si="110"/>
        <v/>
      </c>
      <c r="FF46" s="778" t="str">
        <f t="shared" si="111"/>
        <v/>
      </c>
      <c r="FG46" s="778" t="str">
        <f t="shared" si="112"/>
        <v/>
      </c>
      <c r="FH46" s="778" t="str">
        <f t="shared" si="113"/>
        <v/>
      </c>
      <c r="FI46" s="778" t="str">
        <f t="shared" si="114"/>
        <v/>
      </c>
      <c r="FJ46" s="778" t="str">
        <f t="shared" si="115"/>
        <v/>
      </c>
      <c r="FK46" s="778" t="str">
        <f t="shared" si="116"/>
        <v/>
      </c>
      <c r="FL46" s="778" t="str">
        <f t="shared" si="117"/>
        <v/>
      </c>
      <c r="FM46" s="778" t="str">
        <f t="shared" si="118"/>
        <v/>
      </c>
      <c r="FN46" s="778" t="str">
        <f t="shared" si="119"/>
        <v/>
      </c>
      <c r="FO46" s="778" t="str">
        <f t="shared" si="120"/>
        <v/>
      </c>
      <c r="FP46" s="778" t="str">
        <f t="shared" si="121"/>
        <v/>
      </c>
      <c r="FQ46" s="778" t="str">
        <f t="shared" si="122"/>
        <v/>
      </c>
      <c r="FR46" s="778" t="str">
        <f t="shared" si="123"/>
        <v/>
      </c>
      <c r="FS46" s="778" t="str">
        <f t="shared" si="124"/>
        <v/>
      </c>
      <c r="FT46" s="778" t="str">
        <f t="shared" si="125"/>
        <v/>
      </c>
      <c r="FU46" s="778" t="str">
        <f t="shared" si="126"/>
        <v/>
      </c>
      <c r="FV46" s="778" t="str">
        <f t="shared" si="127"/>
        <v/>
      </c>
      <c r="FW46" s="778" t="str">
        <f t="shared" si="128"/>
        <v/>
      </c>
      <c r="FX46" s="778" t="str">
        <f t="shared" si="129"/>
        <v/>
      </c>
      <c r="FY46" s="778" t="str">
        <f t="shared" si="130"/>
        <v/>
      </c>
      <c r="FZ46" s="778" t="str">
        <f t="shared" si="131"/>
        <v/>
      </c>
      <c r="GA46" s="778" t="str">
        <f t="shared" si="132"/>
        <v/>
      </c>
      <c r="GB46" s="778" t="str">
        <f t="shared" si="133"/>
        <v/>
      </c>
      <c r="GC46" s="778" t="str">
        <f t="shared" si="134"/>
        <v/>
      </c>
      <c r="GD46" s="778" t="str">
        <f t="shared" si="135"/>
        <v/>
      </c>
      <c r="GE46" s="778" t="str">
        <f t="shared" si="136"/>
        <v/>
      </c>
      <c r="GF46" s="778" t="str">
        <f t="shared" si="137"/>
        <v/>
      </c>
      <c r="GG46" s="778" t="str">
        <f t="shared" si="138"/>
        <v/>
      </c>
      <c r="GH46" s="778" t="str">
        <f t="shared" si="139"/>
        <v/>
      </c>
      <c r="GI46" s="778" t="str">
        <f t="shared" si="140"/>
        <v/>
      </c>
      <c r="GJ46" s="778" t="str">
        <f t="shared" si="141"/>
        <v/>
      </c>
      <c r="GK46" s="778" t="str">
        <f t="shared" si="142"/>
        <v/>
      </c>
      <c r="GL46" s="778" t="str">
        <f t="shared" si="143"/>
        <v/>
      </c>
      <c r="GM46" s="778" t="str">
        <f t="shared" si="144"/>
        <v/>
      </c>
      <c r="GN46" s="778" t="str">
        <f t="shared" si="145"/>
        <v/>
      </c>
      <c r="GO46" s="779" t="str">
        <f t="shared" si="146"/>
        <v/>
      </c>
      <c r="GP46" s="779" t="str">
        <f t="shared" si="147"/>
        <v/>
      </c>
      <c r="GQ46" s="779" t="str">
        <f t="shared" si="148"/>
        <v/>
      </c>
      <c r="GR46" s="779" t="str">
        <f t="shared" si="149"/>
        <v/>
      </c>
      <c r="GS46" s="779" t="str">
        <f t="shared" si="150"/>
        <v/>
      </c>
      <c r="GT46" s="758" t="str">
        <f t="shared" si="151"/>
        <v/>
      </c>
      <c r="GU46" s="758" t="str">
        <f t="shared" si="152"/>
        <v/>
      </c>
      <c r="GV46" s="758" t="str">
        <f t="shared" si="153"/>
        <v/>
      </c>
      <c r="GW46" s="758" t="str">
        <f t="shared" si="154"/>
        <v/>
      </c>
      <c r="GX46" s="758" t="str">
        <f t="shared" si="155"/>
        <v/>
      </c>
      <c r="GY46" s="758" t="str">
        <f t="shared" si="156"/>
        <v/>
      </c>
      <c r="GZ46" s="758" t="str">
        <f t="shared" si="157"/>
        <v/>
      </c>
      <c r="HA46" s="758" t="str">
        <f t="shared" si="158"/>
        <v/>
      </c>
      <c r="HB46" s="758" t="str">
        <f t="shared" si="159"/>
        <v/>
      </c>
      <c r="HC46" s="758" t="str">
        <f t="shared" si="160"/>
        <v/>
      </c>
      <c r="HD46" s="758" t="str">
        <f t="shared" si="161"/>
        <v/>
      </c>
      <c r="HE46" s="758" t="str">
        <f t="shared" si="162"/>
        <v/>
      </c>
      <c r="HF46" s="758" t="str">
        <f t="shared" si="163"/>
        <v/>
      </c>
      <c r="HG46" s="758" t="str">
        <f t="shared" si="164"/>
        <v/>
      </c>
      <c r="HH46" s="758" t="str">
        <f t="shared" si="165"/>
        <v/>
      </c>
      <c r="HI46" s="758" t="str">
        <f t="shared" si="166"/>
        <v/>
      </c>
      <c r="HJ46" s="758" t="str">
        <f t="shared" si="167"/>
        <v/>
      </c>
      <c r="HK46" s="758" t="str">
        <f t="shared" si="168"/>
        <v/>
      </c>
      <c r="HL46" s="758" t="str">
        <f t="shared" si="169"/>
        <v/>
      </c>
      <c r="HM46" s="758" t="str">
        <f t="shared" si="170"/>
        <v/>
      </c>
    </row>
    <row r="47" spans="1:221" ht="13.35" customHeight="1">
      <c r="A47" s="148" t="str">
        <f t="shared" si="171"/>
        <v/>
      </c>
      <c r="B47" s="1521" t="s">
        <v>1533</v>
      </c>
      <c r="C47" s="1522"/>
      <c r="D47" s="1523"/>
      <c r="E47" s="1524"/>
      <c r="F47" s="1524"/>
      <c r="G47" s="1524"/>
      <c r="H47" s="1524"/>
      <c r="I47" s="1524"/>
      <c r="J47" s="1525"/>
      <c r="K47" s="226">
        <f t="shared" si="204"/>
        <v>0</v>
      </c>
      <c r="L47" s="226">
        <f t="shared" si="0"/>
        <v>0</v>
      </c>
      <c r="M47" s="1526"/>
      <c r="N47" s="1526"/>
      <c r="O47" s="1526"/>
      <c r="P47" s="674" t="str">
        <f t="shared" si="203"/>
        <v/>
      </c>
      <c r="Q47" s="675" t="str">
        <f>IF(H47="","",P47/($P$6*VLOOKUP(C47,'DCA Underwriting Assumptions'!$J$84:$K$89,2,FALSE)))</f>
        <v/>
      </c>
      <c r="R47" s="821"/>
      <c r="S47" s="675"/>
      <c r="T47" s="1458"/>
      <c r="U47" s="1459"/>
      <c r="V47" s="758" t="str">
        <f t="shared" si="1"/>
        <v/>
      </c>
      <c r="W47" s="758" t="str">
        <f t="shared" si="2"/>
        <v/>
      </c>
      <c r="X47" s="758" t="str">
        <f t="shared" si="3"/>
        <v/>
      </c>
      <c r="Y47" s="758" t="str">
        <f t="shared" si="4"/>
        <v/>
      </c>
      <c r="Z47" s="758" t="str">
        <f t="shared" si="5"/>
        <v/>
      </c>
      <c r="AA47" s="758" t="str">
        <f t="shared" si="6"/>
        <v/>
      </c>
      <c r="AB47" s="758" t="str">
        <f t="shared" si="7"/>
        <v/>
      </c>
      <c r="AC47" s="758" t="str">
        <f t="shared" si="8"/>
        <v/>
      </c>
      <c r="AD47" s="758" t="str">
        <f t="shared" si="9"/>
        <v/>
      </c>
      <c r="AE47" s="758" t="str">
        <f t="shared" si="10"/>
        <v/>
      </c>
      <c r="AF47" s="758" t="str">
        <f t="shared" si="11"/>
        <v/>
      </c>
      <c r="AG47" s="758" t="str">
        <f t="shared" si="12"/>
        <v/>
      </c>
      <c r="AH47" s="758" t="str">
        <f t="shared" si="13"/>
        <v/>
      </c>
      <c r="AI47" s="758" t="str">
        <f t="shared" si="14"/>
        <v/>
      </c>
      <c r="AJ47" s="758" t="str">
        <f t="shared" si="15"/>
        <v/>
      </c>
      <c r="AK47" s="758" t="str">
        <f t="shared" si="16"/>
        <v/>
      </c>
      <c r="AL47" s="758" t="str">
        <f t="shared" si="17"/>
        <v/>
      </c>
      <c r="AM47" s="758" t="str">
        <f t="shared" si="18"/>
        <v/>
      </c>
      <c r="AN47" s="758" t="str">
        <f t="shared" si="19"/>
        <v/>
      </c>
      <c r="AO47" s="758" t="str">
        <f t="shared" si="20"/>
        <v/>
      </c>
      <c r="AP47" s="758" t="str">
        <f t="shared" si="173"/>
        <v/>
      </c>
      <c r="AQ47" s="758" t="str">
        <f t="shared" si="174"/>
        <v/>
      </c>
      <c r="AR47" s="758" t="str">
        <f t="shared" si="175"/>
        <v/>
      </c>
      <c r="AS47" s="758" t="str">
        <f t="shared" si="176"/>
        <v/>
      </c>
      <c r="AT47" s="758" t="str">
        <f t="shared" si="177"/>
        <v/>
      </c>
      <c r="AU47" s="758" t="str">
        <f t="shared" si="178"/>
        <v/>
      </c>
      <c r="AV47" s="758" t="str">
        <f t="shared" si="179"/>
        <v/>
      </c>
      <c r="AW47" s="758" t="str">
        <f t="shared" si="180"/>
        <v/>
      </c>
      <c r="AX47" s="758" t="str">
        <f t="shared" si="181"/>
        <v/>
      </c>
      <c r="AY47" s="758" t="str">
        <f t="shared" si="182"/>
        <v/>
      </c>
      <c r="AZ47" s="758" t="str">
        <f t="shared" si="183"/>
        <v/>
      </c>
      <c r="BA47" s="758" t="str">
        <f t="shared" si="184"/>
        <v/>
      </c>
      <c r="BB47" s="758" t="str">
        <f t="shared" si="185"/>
        <v/>
      </c>
      <c r="BC47" s="758" t="str">
        <f t="shared" si="186"/>
        <v/>
      </c>
      <c r="BD47" s="758" t="str">
        <f t="shared" si="187"/>
        <v/>
      </c>
      <c r="BE47" s="758" t="str">
        <f t="shared" si="188"/>
        <v/>
      </c>
      <c r="BF47" s="758" t="str">
        <f t="shared" si="189"/>
        <v/>
      </c>
      <c r="BG47" s="758" t="str">
        <f t="shared" si="190"/>
        <v/>
      </c>
      <c r="BH47" s="758" t="str">
        <f t="shared" si="191"/>
        <v/>
      </c>
      <c r="BI47" s="758" t="str">
        <f t="shared" si="192"/>
        <v/>
      </c>
      <c r="BJ47" s="758" t="str">
        <f t="shared" si="193"/>
        <v/>
      </c>
      <c r="BK47" s="758" t="str">
        <f t="shared" si="194"/>
        <v/>
      </c>
      <c r="BL47" s="758" t="str">
        <f t="shared" si="195"/>
        <v/>
      </c>
      <c r="BM47" s="758" t="str">
        <f t="shared" si="196"/>
        <v/>
      </c>
      <c r="BN47" s="758" t="str">
        <f t="shared" si="197"/>
        <v/>
      </c>
      <c r="BO47" s="758" t="str">
        <f t="shared" si="198"/>
        <v/>
      </c>
      <c r="BP47" s="758" t="str">
        <f t="shared" si="199"/>
        <v/>
      </c>
      <c r="BQ47" s="758" t="str">
        <f t="shared" si="200"/>
        <v/>
      </c>
      <c r="BR47" s="758" t="str">
        <f t="shared" si="201"/>
        <v/>
      </c>
      <c r="BS47" s="758" t="str">
        <f t="shared" si="202"/>
        <v/>
      </c>
      <c r="BT47" s="758" t="str">
        <f t="shared" si="21"/>
        <v/>
      </c>
      <c r="BU47" s="758" t="str">
        <f t="shared" si="22"/>
        <v/>
      </c>
      <c r="BV47" s="758" t="str">
        <f t="shared" si="23"/>
        <v/>
      </c>
      <c r="BW47" s="758" t="str">
        <f t="shared" si="24"/>
        <v/>
      </c>
      <c r="BX47" s="758" t="str">
        <f t="shared" si="25"/>
        <v/>
      </c>
      <c r="BY47" s="758" t="str">
        <f t="shared" si="26"/>
        <v/>
      </c>
      <c r="BZ47" s="758" t="str">
        <f t="shared" si="27"/>
        <v/>
      </c>
      <c r="CA47" s="758" t="str">
        <f t="shared" si="28"/>
        <v/>
      </c>
      <c r="CB47" s="758" t="str">
        <f t="shared" si="29"/>
        <v/>
      </c>
      <c r="CC47" s="758" t="str">
        <f t="shared" si="30"/>
        <v/>
      </c>
      <c r="CD47" s="758" t="str">
        <f t="shared" si="31"/>
        <v/>
      </c>
      <c r="CE47" s="758" t="str">
        <f t="shared" si="32"/>
        <v/>
      </c>
      <c r="CF47" s="758" t="str">
        <f t="shared" si="33"/>
        <v/>
      </c>
      <c r="CG47" s="758" t="str">
        <f t="shared" si="34"/>
        <v/>
      </c>
      <c r="CH47" s="758" t="str">
        <f t="shared" si="35"/>
        <v/>
      </c>
      <c r="CI47" s="758" t="str">
        <f t="shared" si="36"/>
        <v/>
      </c>
      <c r="CJ47" s="758" t="str">
        <f t="shared" si="37"/>
        <v/>
      </c>
      <c r="CK47" s="758" t="str">
        <f t="shared" si="38"/>
        <v/>
      </c>
      <c r="CL47" s="758" t="str">
        <f t="shared" si="39"/>
        <v/>
      </c>
      <c r="CM47" s="758" t="str">
        <f t="shared" si="40"/>
        <v/>
      </c>
      <c r="CN47" s="758" t="str">
        <f t="shared" si="41"/>
        <v/>
      </c>
      <c r="CO47" s="758" t="str">
        <f t="shared" si="42"/>
        <v/>
      </c>
      <c r="CP47" s="758" t="str">
        <f t="shared" si="43"/>
        <v/>
      </c>
      <c r="CQ47" s="758" t="str">
        <f t="shared" si="44"/>
        <v/>
      </c>
      <c r="CR47" s="758" t="str">
        <f t="shared" si="45"/>
        <v/>
      </c>
      <c r="CS47" s="758" t="str">
        <f t="shared" si="46"/>
        <v/>
      </c>
      <c r="CT47" s="758" t="str">
        <f t="shared" si="47"/>
        <v/>
      </c>
      <c r="CU47" s="758" t="str">
        <f t="shared" si="48"/>
        <v/>
      </c>
      <c r="CV47" s="758" t="str">
        <f t="shared" si="49"/>
        <v/>
      </c>
      <c r="CW47" s="758" t="str">
        <f t="shared" si="50"/>
        <v/>
      </c>
      <c r="CX47" s="758" t="str">
        <f t="shared" si="51"/>
        <v/>
      </c>
      <c r="CY47" s="758" t="str">
        <f t="shared" si="52"/>
        <v/>
      </c>
      <c r="CZ47" s="758" t="str">
        <f t="shared" si="53"/>
        <v/>
      </c>
      <c r="DA47" s="758" t="str">
        <f t="shared" si="54"/>
        <v/>
      </c>
      <c r="DB47" s="758" t="str">
        <f t="shared" si="55"/>
        <v/>
      </c>
      <c r="DC47" s="758" t="str">
        <f t="shared" si="56"/>
        <v/>
      </c>
      <c r="DD47" s="758" t="str">
        <f t="shared" si="57"/>
        <v/>
      </c>
      <c r="DE47" s="758" t="str">
        <f t="shared" si="58"/>
        <v/>
      </c>
      <c r="DF47" s="758" t="str">
        <f t="shared" si="59"/>
        <v/>
      </c>
      <c r="DG47" s="758" t="str">
        <f t="shared" si="60"/>
        <v/>
      </c>
      <c r="DH47" s="758" t="str">
        <f t="shared" si="61"/>
        <v/>
      </c>
      <c r="DI47" s="758" t="str">
        <f t="shared" si="62"/>
        <v/>
      </c>
      <c r="DJ47" s="758" t="str">
        <f t="shared" si="63"/>
        <v/>
      </c>
      <c r="DK47" s="758" t="str">
        <f t="shared" si="64"/>
        <v/>
      </c>
      <c r="DL47" s="758" t="str">
        <f t="shared" si="65"/>
        <v/>
      </c>
      <c r="DM47" s="758" t="str">
        <f t="shared" si="66"/>
        <v/>
      </c>
      <c r="DN47" s="758" t="str">
        <f t="shared" si="67"/>
        <v/>
      </c>
      <c r="DO47" s="758" t="str">
        <f t="shared" si="68"/>
        <v/>
      </c>
      <c r="DP47" s="758" t="str">
        <f t="shared" si="69"/>
        <v/>
      </c>
      <c r="DQ47" s="758" t="str">
        <f t="shared" si="70"/>
        <v/>
      </c>
      <c r="DR47" s="758" t="str">
        <f t="shared" si="71"/>
        <v/>
      </c>
      <c r="DS47" s="758" t="str">
        <f t="shared" si="72"/>
        <v/>
      </c>
      <c r="DT47" s="758" t="str">
        <f t="shared" si="73"/>
        <v/>
      </c>
      <c r="DU47" s="758" t="str">
        <f t="shared" si="74"/>
        <v/>
      </c>
      <c r="DV47" s="758" t="str">
        <f t="shared" si="75"/>
        <v/>
      </c>
      <c r="DW47" s="758" t="str">
        <f t="shared" si="76"/>
        <v/>
      </c>
      <c r="DX47" s="758" t="str">
        <f t="shared" si="77"/>
        <v/>
      </c>
      <c r="DY47" s="758" t="str">
        <f t="shared" si="78"/>
        <v/>
      </c>
      <c r="DZ47" s="758" t="str">
        <f t="shared" si="79"/>
        <v/>
      </c>
      <c r="EA47" s="758" t="str">
        <f t="shared" si="80"/>
        <v/>
      </c>
      <c r="EB47" s="758" t="str">
        <f t="shared" si="81"/>
        <v/>
      </c>
      <c r="EC47" s="758" t="str">
        <f t="shared" si="82"/>
        <v/>
      </c>
      <c r="ED47" s="758" t="str">
        <f t="shared" si="83"/>
        <v/>
      </c>
      <c r="EE47" s="758" t="str">
        <f t="shared" si="84"/>
        <v/>
      </c>
      <c r="EF47" s="758" t="str">
        <f t="shared" si="85"/>
        <v/>
      </c>
      <c r="EG47" s="758" t="str">
        <f t="shared" si="86"/>
        <v/>
      </c>
      <c r="EH47" s="758" t="str">
        <f t="shared" si="87"/>
        <v/>
      </c>
      <c r="EI47" s="758" t="str">
        <f t="shared" si="88"/>
        <v/>
      </c>
      <c r="EJ47" s="758" t="str">
        <f t="shared" si="89"/>
        <v/>
      </c>
      <c r="EK47" s="758" t="str">
        <f t="shared" si="90"/>
        <v/>
      </c>
      <c r="EL47" s="758" t="str">
        <f t="shared" si="91"/>
        <v/>
      </c>
      <c r="EM47" s="758" t="str">
        <f t="shared" si="92"/>
        <v/>
      </c>
      <c r="EN47" s="758" t="str">
        <f t="shared" si="93"/>
        <v/>
      </c>
      <c r="EO47" s="758" t="str">
        <f t="shared" si="94"/>
        <v/>
      </c>
      <c r="EP47" s="758" t="str">
        <f t="shared" si="95"/>
        <v/>
      </c>
      <c r="EQ47" s="758" t="str">
        <f t="shared" si="96"/>
        <v/>
      </c>
      <c r="ER47" s="758" t="str">
        <f t="shared" si="97"/>
        <v/>
      </c>
      <c r="ES47" s="758" t="str">
        <f t="shared" si="98"/>
        <v/>
      </c>
      <c r="ET47" s="758" t="str">
        <f t="shared" si="99"/>
        <v/>
      </c>
      <c r="EU47" s="758" t="str">
        <f t="shared" si="100"/>
        <v/>
      </c>
      <c r="EV47" s="778" t="str">
        <f t="shared" si="101"/>
        <v/>
      </c>
      <c r="EW47" s="778" t="str">
        <f t="shared" si="102"/>
        <v/>
      </c>
      <c r="EX47" s="778" t="str">
        <f t="shared" si="103"/>
        <v/>
      </c>
      <c r="EY47" s="778" t="str">
        <f t="shared" si="104"/>
        <v/>
      </c>
      <c r="EZ47" s="778" t="str">
        <f t="shared" si="105"/>
        <v/>
      </c>
      <c r="FA47" s="778" t="str">
        <f t="shared" si="106"/>
        <v/>
      </c>
      <c r="FB47" s="778" t="str">
        <f t="shared" si="107"/>
        <v/>
      </c>
      <c r="FC47" s="778" t="str">
        <f t="shared" si="108"/>
        <v/>
      </c>
      <c r="FD47" s="778" t="str">
        <f t="shared" si="109"/>
        <v/>
      </c>
      <c r="FE47" s="778" t="str">
        <f t="shared" si="110"/>
        <v/>
      </c>
      <c r="FF47" s="778" t="str">
        <f t="shared" si="111"/>
        <v/>
      </c>
      <c r="FG47" s="778" t="str">
        <f t="shared" si="112"/>
        <v/>
      </c>
      <c r="FH47" s="778" t="str">
        <f t="shared" si="113"/>
        <v/>
      </c>
      <c r="FI47" s="778" t="str">
        <f t="shared" si="114"/>
        <v/>
      </c>
      <c r="FJ47" s="778" t="str">
        <f t="shared" si="115"/>
        <v/>
      </c>
      <c r="FK47" s="778" t="str">
        <f t="shared" si="116"/>
        <v/>
      </c>
      <c r="FL47" s="778" t="str">
        <f t="shared" si="117"/>
        <v/>
      </c>
      <c r="FM47" s="778" t="str">
        <f t="shared" si="118"/>
        <v/>
      </c>
      <c r="FN47" s="778" t="str">
        <f t="shared" si="119"/>
        <v/>
      </c>
      <c r="FO47" s="778" t="str">
        <f t="shared" si="120"/>
        <v/>
      </c>
      <c r="FP47" s="778" t="str">
        <f t="shared" si="121"/>
        <v/>
      </c>
      <c r="FQ47" s="778" t="str">
        <f t="shared" si="122"/>
        <v/>
      </c>
      <c r="FR47" s="778" t="str">
        <f t="shared" si="123"/>
        <v/>
      </c>
      <c r="FS47" s="778" t="str">
        <f t="shared" si="124"/>
        <v/>
      </c>
      <c r="FT47" s="778" t="str">
        <f t="shared" si="125"/>
        <v/>
      </c>
      <c r="FU47" s="778" t="str">
        <f t="shared" si="126"/>
        <v/>
      </c>
      <c r="FV47" s="778" t="str">
        <f t="shared" si="127"/>
        <v/>
      </c>
      <c r="FW47" s="778" t="str">
        <f t="shared" si="128"/>
        <v/>
      </c>
      <c r="FX47" s="778" t="str">
        <f t="shared" si="129"/>
        <v/>
      </c>
      <c r="FY47" s="778" t="str">
        <f t="shared" si="130"/>
        <v/>
      </c>
      <c r="FZ47" s="778" t="str">
        <f t="shared" si="131"/>
        <v/>
      </c>
      <c r="GA47" s="778" t="str">
        <f t="shared" si="132"/>
        <v/>
      </c>
      <c r="GB47" s="778" t="str">
        <f t="shared" si="133"/>
        <v/>
      </c>
      <c r="GC47" s="778" t="str">
        <f t="shared" si="134"/>
        <v/>
      </c>
      <c r="GD47" s="778" t="str">
        <f t="shared" si="135"/>
        <v/>
      </c>
      <c r="GE47" s="778" t="str">
        <f t="shared" si="136"/>
        <v/>
      </c>
      <c r="GF47" s="778" t="str">
        <f t="shared" si="137"/>
        <v/>
      </c>
      <c r="GG47" s="778" t="str">
        <f t="shared" si="138"/>
        <v/>
      </c>
      <c r="GH47" s="778" t="str">
        <f t="shared" si="139"/>
        <v/>
      </c>
      <c r="GI47" s="778" t="str">
        <f t="shared" si="140"/>
        <v/>
      </c>
      <c r="GJ47" s="778" t="str">
        <f t="shared" si="141"/>
        <v/>
      </c>
      <c r="GK47" s="778" t="str">
        <f t="shared" si="142"/>
        <v/>
      </c>
      <c r="GL47" s="778" t="str">
        <f t="shared" si="143"/>
        <v/>
      </c>
      <c r="GM47" s="778" t="str">
        <f t="shared" si="144"/>
        <v/>
      </c>
      <c r="GN47" s="778" t="str">
        <f t="shared" si="145"/>
        <v/>
      </c>
      <c r="GO47" s="779" t="str">
        <f t="shared" si="146"/>
        <v/>
      </c>
      <c r="GP47" s="779" t="str">
        <f t="shared" si="147"/>
        <v/>
      </c>
      <c r="GQ47" s="779" t="str">
        <f t="shared" si="148"/>
        <v/>
      </c>
      <c r="GR47" s="779" t="str">
        <f t="shared" si="149"/>
        <v/>
      </c>
      <c r="GS47" s="779" t="str">
        <f t="shared" si="150"/>
        <v/>
      </c>
      <c r="GT47" s="758" t="str">
        <f t="shared" si="151"/>
        <v/>
      </c>
      <c r="GU47" s="758" t="str">
        <f t="shared" si="152"/>
        <v/>
      </c>
      <c r="GV47" s="758" t="str">
        <f t="shared" si="153"/>
        <v/>
      </c>
      <c r="GW47" s="758" t="str">
        <f t="shared" si="154"/>
        <v/>
      </c>
      <c r="GX47" s="758" t="str">
        <f t="shared" si="155"/>
        <v/>
      </c>
      <c r="GY47" s="758" t="str">
        <f t="shared" si="156"/>
        <v/>
      </c>
      <c r="GZ47" s="758" t="str">
        <f t="shared" si="157"/>
        <v/>
      </c>
      <c r="HA47" s="758" t="str">
        <f t="shared" si="158"/>
        <v/>
      </c>
      <c r="HB47" s="758" t="str">
        <f t="shared" si="159"/>
        <v/>
      </c>
      <c r="HC47" s="758" t="str">
        <f t="shared" si="160"/>
        <v/>
      </c>
      <c r="HD47" s="758" t="str">
        <f t="shared" si="161"/>
        <v/>
      </c>
      <c r="HE47" s="758" t="str">
        <f t="shared" si="162"/>
        <v/>
      </c>
      <c r="HF47" s="758" t="str">
        <f t="shared" si="163"/>
        <v/>
      </c>
      <c r="HG47" s="758" t="str">
        <f t="shared" si="164"/>
        <v/>
      </c>
      <c r="HH47" s="758" t="str">
        <f t="shared" si="165"/>
        <v/>
      </c>
      <c r="HI47" s="758" t="str">
        <f t="shared" si="166"/>
        <v/>
      </c>
      <c r="HJ47" s="758" t="str">
        <f t="shared" si="167"/>
        <v/>
      </c>
      <c r="HK47" s="758" t="str">
        <f t="shared" si="168"/>
        <v/>
      </c>
      <c r="HL47" s="758" t="str">
        <f t="shared" si="169"/>
        <v/>
      </c>
      <c r="HM47" s="758" t="str">
        <f t="shared" si="170"/>
        <v/>
      </c>
    </row>
    <row r="48" spans="1:221" ht="14.45" customHeight="1">
      <c r="A48" s="228">
        <f>COUNT(A10,A11,A12,A13,A14,A15,A16,A17,A18,A19,A20,A21,A22,A23,A24,A25,A26,A27,A28,A29,A30,A31,A32,A33,A34,A35,A36,A37,A38,A39)</f>
        <v>0</v>
      </c>
      <c r="B48" s="94"/>
      <c r="C48" s="2"/>
      <c r="D48" s="17" t="s">
        <v>2499</v>
      </c>
      <c r="E48" s="171">
        <f>SUM(E10:E47)</f>
        <v>91</v>
      </c>
      <c r="F48" s="172">
        <f>(E10*F10+E11*F11+E12*F12+E13*F13+E14*F14+E15*F15+E16*F16+E17*F17+E18*F18+E19*F19+E20*F20+E21*F21+E22*F22+E23*F23+E24*F24+E25*F25+E26*F26+E27*F27+E28*F28+E29*F29+E30*F30+E31*F31+E32*F32+E33*F33+E34*F34+E35*F35+E36*F36+E37*F37+E38*F38+E39*F39+E40*F40+E41*F41+E42*F42+E43*F43+E44*F44+E45*F45+E46*F46+E47*F47)</f>
        <v>72693.100000000006</v>
      </c>
      <c r="G48" s="163"/>
      <c r="H48" s="164"/>
      <c r="I48" s="164"/>
      <c r="J48" s="164"/>
      <c r="K48" s="15" t="s">
        <v>2133</v>
      </c>
      <c r="L48" s="170">
        <f>SUM(L10:L47)</f>
        <v>65290</v>
      </c>
      <c r="M48" s="2"/>
      <c r="N48" s="40"/>
      <c r="O48" s="2"/>
      <c r="P48" s="677"/>
      <c r="Q48" s="677"/>
      <c r="R48" s="677"/>
      <c r="S48" s="677"/>
      <c r="T48" s="676"/>
      <c r="U48" s="678"/>
      <c r="V48" s="780">
        <f t="shared" ref="V48:CK48" si="206">SUM(V10:V47)</f>
        <v>0</v>
      </c>
      <c r="W48" s="780">
        <f t="shared" si="206"/>
        <v>48</v>
      </c>
      <c r="X48" s="780">
        <f t="shared" si="206"/>
        <v>16</v>
      </c>
      <c r="Y48" s="780">
        <f t="shared" si="206"/>
        <v>0</v>
      </c>
      <c r="Z48" s="780">
        <f t="shared" si="206"/>
        <v>0</v>
      </c>
      <c r="AA48" s="780">
        <f t="shared" si="206"/>
        <v>0</v>
      </c>
      <c r="AB48" s="780">
        <f t="shared" si="206"/>
        <v>16</v>
      </c>
      <c r="AC48" s="780">
        <f t="shared" si="206"/>
        <v>3</v>
      </c>
      <c r="AD48" s="780">
        <f t="shared" si="206"/>
        <v>0</v>
      </c>
      <c r="AE48" s="780">
        <f t="shared" si="206"/>
        <v>0</v>
      </c>
      <c r="AF48" s="780">
        <f t="shared" si="206"/>
        <v>0</v>
      </c>
      <c r="AG48" s="780">
        <f t="shared" si="206"/>
        <v>0</v>
      </c>
      <c r="AH48" s="780">
        <f t="shared" si="206"/>
        <v>0</v>
      </c>
      <c r="AI48" s="780">
        <f t="shared" si="206"/>
        <v>0</v>
      </c>
      <c r="AJ48" s="780">
        <f t="shared" si="206"/>
        <v>0</v>
      </c>
      <c r="AK48" s="780">
        <f t="shared" si="206"/>
        <v>0</v>
      </c>
      <c r="AL48" s="780">
        <f t="shared" si="206"/>
        <v>5</v>
      </c>
      <c r="AM48" s="780">
        <f t="shared" si="206"/>
        <v>3</v>
      </c>
      <c r="AN48" s="780">
        <f t="shared" si="206"/>
        <v>0</v>
      </c>
      <c r="AO48" s="780">
        <f t="shared" si="206"/>
        <v>0</v>
      </c>
      <c r="AP48" s="780">
        <f t="shared" si="206"/>
        <v>0</v>
      </c>
      <c r="AQ48" s="780">
        <f t="shared" si="206"/>
        <v>0</v>
      </c>
      <c r="AR48" s="780">
        <f t="shared" si="206"/>
        <v>0</v>
      </c>
      <c r="AS48" s="780">
        <f t="shared" si="206"/>
        <v>0</v>
      </c>
      <c r="AT48" s="780">
        <f t="shared" si="206"/>
        <v>0</v>
      </c>
      <c r="AU48" s="780">
        <f t="shared" si="206"/>
        <v>0</v>
      </c>
      <c r="AV48" s="780">
        <f t="shared" si="206"/>
        <v>0</v>
      </c>
      <c r="AW48" s="780">
        <f t="shared" si="206"/>
        <v>0</v>
      </c>
      <c r="AX48" s="780">
        <f t="shared" si="206"/>
        <v>0</v>
      </c>
      <c r="AY48" s="780">
        <f t="shared" si="206"/>
        <v>0</v>
      </c>
      <c r="AZ48" s="780">
        <f t="shared" si="206"/>
        <v>0</v>
      </c>
      <c r="BA48" s="780">
        <f t="shared" si="206"/>
        <v>0</v>
      </c>
      <c r="BB48" s="780">
        <f t="shared" si="206"/>
        <v>0</v>
      </c>
      <c r="BC48" s="780">
        <f t="shared" si="206"/>
        <v>0</v>
      </c>
      <c r="BD48" s="780">
        <f t="shared" si="206"/>
        <v>0</v>
      </c>
      <c r="BE48" s="780">
        <f t="shared" ref="BE48:BS48" si="207">SUM(BE10:BE47)</f>
        <v>0</v>
      </c>
      <c r="BF48" s="780">
        <f t="shared" si="207"/>
        <v>0</v>
      </c>
      <c r="BG48" s="780">
        <f t="shared" si="207"/>
        <v>0</v>
      </c>
      <c r="BH48" s="780">
        <f t="shared" si="207"/>
        <v>0</v>
      </c>
      <c r="BI48" s="780">
        <f t="shared" si="207"/>
        <v>0</v>
      </c>
      <c r="BJ48" s="780">
        <f t="shared" si="207"/>
        <v>0</v>
      </c>
      <c r="BK48" s="780">
        <f t="shared" si="207"/>
        <v>0</v>
      </c>
      <c r="BL48" s="780">
        <f t="shared" si="207"/>
        <v>0</v>
      </c>
      <c r="BM48" s="780">
        <f t="shared" si="207"/>
        <v>0</v>
      </c>
      <c r="BN48" s="780">
        <f t="shared" si="207"/>
        <v>0</v>
      </c>
      <c r="BO48" s="780">
        <f t="shared" si="207"/>
        <v>0</v>
      </c>
      <c r="BP48" s="780">
        <f t="shared" si="207"/>
        <v>0</v>
      </c>
      <c r="BQ48" s="780">
        <f t="shared" si="207"/>
        <v>0</v>
      </c>
      <c r="BR48" s="780">
        <f t="shared" si="207"/>
        <v>0</v>
      </c>
      <c r="BS48" s="780">
        <f t="shared" si="207"/>
        <v>0</v>
      </c>
      <c r="BT48" s="780">
        <f t="shared" si="206"/>
        <v>0</v>
      </c>
      <c r="BU48" s="780">
        <f t="shared" si="206"/>
        <v>0</v>
      </c>
      <c r="BV48" s="780">
        <f t="shared" si="206"/>
        <v>0</v>
      </c>
      <c r="BW48" s="780">
        <f t="shared" si="206"/>
        <v>0</v>
      </c>
      <c r="BX48" s="780">
        <f t="shared" si="206"/>
        <v>0</v>
      </c>
      <c r="BY48" s="780">
        <f t="shared" si="206"/>
        <v>0</v>
      </c>
      <c r="BZ48" s="780">
        <f t="shared" si="206"/>
        <v>35447.040000000001</v>
      </c>
      <c r="CA48" s="780">
        <f t="shared" si="206"/>
        <v>15809.44</v>
      </c>
      <c r="CB48" s="780">
        <f t="shared" si="206"/>
        <v>0</v>
      </c>
      <c r="CC48" s="780">
        <f t="shared" si="206"/>
        <v>0</v>
      </c>
      <c r="CD48" s="780">
        <f t="shared" si="206"/>
        <v>0</v>
      </c>
      <c r="CE48" s="780">
        <f t="shared" si="206"/>
        <v>11815.68</v>
      </c>
      <c r="CF48" s="780">
        <f t="shared" si="206"/>
        <v>2964.27</v>
      </c>
      <c r="CG48" s="780">
        <f t="shared" si="206"/>
        <v>0</v>
      </c>
      <c r="CH48" s="780">
        <f t="shared" si="206"/>
        <v>0</v>
      </c>
      <c r="CI48" s="780">
        <f t="shared" si="206"/>
        <v>0</v>
      </c>
      <c r="CJ48" s="780">
        <f t="shared" si="206"/>
        <v>0</v>
      </c>
      <c r="CK48" s="780">
        <f t="shared" si="206"/>
        <v>0</v>
      </c>
      <c r="CL48" s="780">
        <f t="shared" ref="CL48:EP48" si="208">SUM(CL10:CL47)</f>
        <v>0</v>
      </c>
      <c r="CM48" s="780">
        <f t="shared" si="208"/>
        <v>0</v>
      </c>
      <c r="CN48" s="780">
        <f t="shared" si="208"/>
        <v>0</v>
      </c>
      <c r="CO48" s="780">
        <f t="shared" si="208"/>
        <v>3692.4</v>
      </c>
      <c r="CP48" s="780">
        <f t="shared" si="208"/>
        <v>2964.27</v>
      </c>
      <c r="CQ48" s="780">
        <f t="shared" si="208"/>
        <v>0</v>
      </c>
      <c r="CR48" s="780">
        <f t="shared" si="208"/>
        <v>0</v>
      </c>
      <c r="CS48" s="780">
        <f t="shared" si="208"/>
        <v>0</v>
      </c>
      <c r="CT48" s="780">
        <f t="shared" si="208"/>
        <v>0</v>
      </c>
      <c r="CU48" s="780">
        <f t="shared" si="208"/>
        <v>0</v>
      </c>
      <c r="CV48" s="780">
        <f t="shared" si="208"/>
        <v>0</v>
      </c>
      <c r="CW48" s="780">
        <f t="shared" si="208"/>
        <v>0</v>
      </c>
      <c r="CX48" s="780">
        <f t="shared" si="208"/>
        <v>0</v>
      </c>
      <c r="CY48" s="780">
        <f t="shared" si="208"/>
        <v>0</v>
      </c>
      <c r="CZ48" s="780">
        <f t="shared" si="208"/>
        <v>0</v>
      </c>
      <c r="DA48" s="780">
        <f t="shared" si="208"/>
        <v>0</v>
      </c>
      <c r="DB48" s="780">
        <f t="shared" si="208"/>
        <v>0</v>
      </c>
      <c r="DC48" s="780">
        <f t="shared" si="208"/>
        <v>0</v>
      </c>
      <c r="DD48" s="780">
        <f t="shared" si="208"/>
        <v>64</v>
      </c>
      <c r="DE48" s="780">
        <f t="shared" si="208"/>
        <v>19</v>
      </c>
      <c r="DF48" s="780">
        <f t="shared" si="208"/>
        <v>0</v>
      </c>
      <c r="DG48" s="780">
        <f t="shared" si="208"/>
        <v>0</v>
      </c>
      <c r="DH48" s="780">
        <f t="shared" si="208"/>
        <v>0</v>
      </c>
      <c r="DI48" s="780">
        <f t="shared" si="208"/>
        <v>5</v>
      </c>
      <c r="DJ48" s="780">
        <f t="shared" si="208"/>
        <v>3</v>
      </c>
      <c r="DK48" s="780">
        <f t="shared" si="208"/>
        <v>0</v>
      </c>
      <c r="DL48" s="780">
        <f t="shared" si="208"/>
        <v>0</v>
      </c>
      <c r="DM48" s="780">
        <f>SUM(DM10:DM47)</f>
        <v>0</v>
      </c>
      <c r="DN48" s="780">
        <f>SUM(DN10:DN47)</f>
        <v>0</v>
      </c>
      <c r="DO48" s="780">
        <f>SUM(DO10:DO47)</f>
        <v>0</v>
      </c>
      <c r="DP48" s="780">
        <f>SUM(DP10:DP47)</f>
        <v>0</v>
      </c>
      <c r="DQ48" s="780">
        <f>SUM(DQ10:DQ47)</f>
        <v>0</v>
      </c>
      <c r="DR48" s="780">
        <f t="shared" si="208"/>
        <v>0</v>
      </c>
      <c r="DS48" s="780">
        <f t="shared" si="208"/>
        <v>0</v>
      </c>
      <c r="DT48" s="780">
        <f t="shared" si="208"/>
        <v>0</v>
      </c>
      <c r="DU48" s="780">
        <f t="shared" si="208"/>
        <v>0</v>
      </c>
      <c r="DV48" s="780">
        <f t="shared" si="208"/>
        <v>0</v>
      </c>
      <c r="DW48" s="780">
        <f t="shared" si="208"/>
        <v>0</v>
      </c>
      <c r="DX48" s="780">
        <f t="shared" si="208"/>
        <v>0</v>
      </c>
      <c r="DY48" s="780">
        <f t="shared" si="208"/>
        <v>0</v>
      </c>
      <c r="DZ48" s="780">
        <f t="shared" si="208"/>
        <v>0</v>
      </c>
      <c r="EA48" s="780">
        <f t="shared" si="208"/>
        <v>0</v>
      </c>
      <c r="EB48" s="780">
        <f>SUM(EB10:EB47)</f>
        <v>0</v>
      </c>
      <c r="EC48" s="780">
        <f>SUM(EC10:EC47)</f>
        <v>0</v>
      </c>
      <c r="ED48" s="780">
        <f>SUM(ED10:ED47)</f>
        <v>0</v>
      </c>
      <c r="EE48" s="780">
        <f>SUM(EE10:EE47)</f>
        <v>0</v>
      </c>
      <c r="EF48" s="780">
        <f>SUM(EF10:EF47)</f>
        <v>0</v>
      </c>
      <c r="EG48" s="780">
        <f t="shared" si="208"/>
        <v>0</v>
      </c>
      <c r="EH48" s="780">
        <f t="shared" si="208"/>
        <v>0</v>
      </c>
      <c r="EI48" s="780">
        <f t="shared" si="208"/>
        <v>0</v>
      </c>
      <c r="EJ48" s="780">
        <f t="shared" si="208"/>
        <v>0</v>
      </c>
      <c r="EK48" s="780">
        <f t="shared" si="208"/>
        <v>0</v>
      </c>
      <c r="EL48" s="780">
        <f t="shared" si="208"/>
        <v>0</v>
      </c>
      <c r="EM48" s="780">
        <f t="shared" si="208"/>
        <v>0</v>
      </c>
      <c r="EN48" s="780">
        <f t="shared" si="208"/>
        <v>0</v>
      </c>
      <c r="EO48" s="780">
        <f t="shared" si="208"/>
        <v>0</v>
      </c>
      <c r="EP48" s="780">
        <f t="shared" si="208"/>
        <v>0</v>
      </c>
      <c r="EQ48" s="780">
        <f>SUM(EQ10:EQ47)</f>
        <v>0</v>
      </c>
      <c r="ER48" s="780">
        <f>SUM(ER10:ER47)</f>
        <v>0</v>
      </c>
      <c r="ES48" s="780">
        <f>SUM(ES10:ES47)</f>
        <v>0</v>
      </c>
      <c r="ET48" s="780">
        <f>SUM(ET10:ET47)</f>
        <v>0</v>
      </c>
      <c r="EU48" s="780">
        <f>SUM(EU10:EU47)</f>
        <v>0</v>
      </c>
      <c r="EV48" s="780">
        <f t="shared" ref="EV48:GN48" si="209">SUM(EV10:EV47)</f>
        <v>0</v>
      </c>
      <c r="EW48" s="780">
        <f t="shared" si="209"/>
        <v>69</v>
      </c>
      <c r="EX48" s="780">
        <f t="shared" si="209"/>
        <v>22</v>
      </c>
      <c r="EY48" s="780">
        <f t="shared" si="209"/>
        <v>0</v>
      </c>
      <c r="EZ48" s="780">
        <f t="shared" si="209"/>
        <v>0</v>
      </c>
      <c r="FA48" s="780">
        <f t="shared" si="209"/>
        <v>0</v>
      </c>
      <c r="FB48" s="780">
        <f t="shared" si="209"/>
        <v>0</v>
      </c>
      <c r="FC48" s="780">
        <f t="shared" si="209"/>
        <v>0</v>
      </c>
      <c r="FD48" s="780">
        <f t="shared" si="209"/>
        <v>0</v>
      </c>
      <c r="FE48" s="780">
        <f t="shared" si="209"/>
        <v>0</v>
      </c>
      <c r="FF48" s="780">
        <f t="shared" si="209"/>
        <v>0</v>
      </c>
      <c r="FG48" s="780">
        <f t="shared" si="209"/>
        <v>0</v>
      </c>
      <c r="FH48" s="780">
        <f t="shared" si="209"/>
        <v>0</v>
      </c>
      <c r="FI48" s="780">
        <f t="shared" si="209"/>
        <v>0</v>
      </c>
      <c r="FJ48" s="780">
        <f t="shared" si="209"/>
        <v>0</v>
      </c>
      <c r="FK48" s="780">
        <f t="shared" si="209"/>
        <v>0</v>
      </c>
      <c r="FL48" s="780">
        <f t="shared" si="209"/>
        <v>0</v>
      </c>
      <c r="FM48" s="780">
        <f t="shared" si="209"/>
        <v>0</v>
      </c>
      <c r="FN48" s="780">
        <f t="shared" si="209"/>
        <v>0</v>
      </c>
      <c r="FO48" s="780">
        <f t="shared" si="209"/>
        <v>0</v>
      </c>
      <c r="FP48" s="780">
        <f t="shared" si="209"/>
        <v>0</v>
      </c>
      <c r="FQ48" s="780">
        <f t="shared" si="209"/>
        <v>0</v>
      </c>
      <c r="FR48" s="780">
        <f t="shared" si="209"/>
        <v>0</v>
      </c>
      <c r="FS48" s="780">
        <f t="shared" si="209"/>
        <v>0</v>
      </c>
      <c r="FT48" s="780">
        <f t="shared" si="209"/>
        <v>0</v>
      </c>
      <c r="FU48" s="780">
        <f t="shared" si="209"/>
        <v>0</v>
      </c>
      <c r="FV48" s="780">
        <f t="shared" si="209"/>
        <v>0</v>
      </c>
      <c r="FW48" s="780">
        <f t="shared" si="209"/>
        <v>0</v>
      </c>
      <c r="FX48" s="780">
        <f t="shared" si="209"/>
        <v>0</v>
      </c>
      <c r="FY48" s="780">
        <f t="shared" si="209"/>
        <v>0</v>
      </c>
      <c r="FZ48" s="780">
        <f t="shared" si="209"/>
        <v>0</v>
      </c>
      <c r="GA48" s="780">
        <f t="shared" si="209"/>
        <v>0</v>
      </c>
      <c r="GB48" s="780">
        <f t="shared" si="209"/>
        <v>0</v>
      </c>
      <c r="GC48" s="780">
        <f t="shared" si="209"/>
        <v>0</v>
      </c>
      <c r="GD48" s="780">
        <f t="shared" si="209"/>
        <v>0</v>
      </c>
      <c r="GE48" s="780">
        <f t="shared" si="209"/>
        <v>0</v>
      </c>
      <c r="GF48" s="780">
        <f t="shared" si="209"/>
        <v>0</v>
      </c>
      <c r="GG48" s="780">
        <f t="shared" si="209"/>
        <v>0</v>
      </c>
      <c r="GH48" s="780">
        <f t="shared" si="209"/>
        <v>0</v>
      </c>
      <c r="GI48" s="780">
        <f t="shared" si="209"/>
        <v>0</v>
      </c>
      <c r="GJ48" s="780">
        <f t="shared" si="209"/>
        <v>0</v>
      </c>
      <c r="GK48" s="780">
        <f t="shared" si="209"/>
        <v>69</v>
      </c>
      <c r="GL48" s="780">
        <f t="shared" si="209"/>
        <v>22</v>
      </c>
      <c r="GM48" s="780">
        <f t="shared" si="209"/>
        <v>0</v>
      </c>
      <c r="GN48" s="780">
        <f t="shared" si="209"/>
        <v>0</v>
      </c>
      <c r="GO48" s="780">
        <f t="shared" ref="GO48:HM48" si="210">SUM(GO10:GO47)</f>
        <v>0</v>
      </c>
      <c r="GP48" s="780">
        <f t="shared" si="210"/>
        <v>0</v>
      </c>
      <c r="GQ48" s="780">
        <f t="shared" si="210"/>
        <v>0</v>
      </c>
      <c r="GR48" s="780">
        <f t="shared" si="210"/>
        <v>0</v>
      </c>
      <c r="GS48" s="780">
        <f t="shared" si="210"/>
        <v>0</v>
      </c>
      <c r="GT48" s="780">
        <f t="shared" si="210"/>
        <v>0</v>
      </c>
      <c r="GU48" s="780">
        <f t="shared" si="210"/>
        <v>0</v>
      </c>
      <c r="GV48" s="780">
        <f t="shared" si="210"/>
        <v>0</v>
      </c>
      <c r="GW48" s="780">
        <f t="shared" si="210"/>
        <v>0</v>
      </c>
      <c r="GX48" s="780">
        <f t="shared" si="210"/>
        <v>0</v>
      </c>
      <c r="GY48" s="780">
        <f t="shared" si="210"/>
        <v>0</v>
      </c>
      <c r="GZ48" s="780">
        <f t="shared" si="210"/>
        <v>0</v>
      </c>
      <c r="HA48" s="780">
        <f t="shared" si="210"/>
        <v>0</v>
      </c>
      <c r="HB48" s="780">
        <f t="shared" si="210"/>
        <v>0</v>
      </c>
      <c r="HC48" s="780">
        <f t="shared" si="210"/>
        <v>0</v>
      </c>
      <c r="HD48" s="780">
        <f t="shared" si="210"/>
        <v>0</v>
      </c>
      <c r="HE48" s="780">
        <f t="shared" si="210"/>
        <v>0</v>
      </c>
      <c r="HF48" s="780">
        <f t="shared" si="210"/>
        <v>0</v>
      </c>
      <c r="HG48" s="780">
        <f t="shared" si="210"/>
        <v>0</v>
      </c>
      <c r="HH48" s="780">
        <f t="shared" si="210"/>
        <v>0</v>
      </c>
      <c r="HI48" s="780">
        <f t="shared" si="210"/>
        <v>0</v>
      </c>
      <c r="HJ48" s="780">
        <f t="shared" si="210"/>
        <v>0</v>
      </c>
      <c r="HK48" s="780">
        <f t="shared" si="210"/>
        <v>0</v>
      </c>
      <c r="HL48" s="780">
        <f t="shared" si="210"/>
        <v>0</v>
      </c>
      <c r="HM48" s="780">
        <f t="shared" si="210"/>
        <v>0</v>
      </c>
    </row>
    <row r="49" spans="1:221" ht="14.45" customHeight="1">
      <c r="A49" s="110"/>
      <c r="B49" s="6"/>
      <c r="D49" s="17"/>
      <c r="E49" s="222"/>
      <c r="F49" s="222"/>
      <c r="G49" s="164"/>
      <c r="H49" s="164"/>
      <c r="I49" s="164"/>
      <c r="J49" s="164"/>
      <c r="K49" s="17" t="s">
        <v>2701</v>
      </c>
      <c r="L49" s="170">
        <f>L48*12</f>
        <v>783480</v>
      </c>
      <c r="M49" s="2"/>
      <c r="N49" s="40"/>
      <c r="O49" s="119"/>
      <c r="P49" s="119"/>
      <c r="Q49" s="119"/>
      <c r="R49" s="119"/>
      <c r="S49" s="119"/>
      <c r="T49" s="119"/>
      <c r="U49" s="442"/>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c r="CM49" s="780"/>
      <c r="CN49" s="780"/>
      <c r="CO49" s="780"/>
      <c r="CP49" s="780"/>
      <c r="CQ49" s="780"/>
      <c r="CR49" s="780"/>
      <c r="CS49" s="780"/>
      <c r="CT49" s="780"/>
      <c r="CU49" s="780"/>
      <c r="CV49" s="780"/>
      <c r="CW49" s="780"/>
      <c r="CX49" s="780"/>
      <c r="CY49" s="780"/>
      <c r="CZ49" s="780"/>
      <c r="DA49" s="780"/>
      <c r="DB49" s="780"/>
      <c r="DC49" s="780"/>
      <c r="DD49" s="780"/>
      <c r="DE49" s="780"/>
      <c r="DF49" s="780"/>
      <c r="DG49" s="780"/>
      <c r="DH49" s="780"/>
      <c r="DI49" s="780"/>
      <c r="DJ49" s="780"/>
      <c r="DK49" s="780"/>
      <c r="DL49" s="780"/>
      <c r="DM49" s="780"/>
      <c r="DN49" s="780"/>
      <c r="DO49" s="780"/>
      <c r="DP49" s="780"/>
      <c r="DQ49" s="780"/>
      <c r="DR49" s="780"/>
      <c r="DS49" s="780"/>
      <c r="DT49" s="780"/>
      <c r="DU49" s="780"/>
      <c r="DV49" s="780"/>
      <c r="DW49" s="780"/>
      <c r="DX49" s="780"/>
      <c r="DY49" s="780"/>
      <c r="DZ49" s="780"/>
      <c r="EA49" s="780"/>
      <c r="EB49" s="780"/>
      <c r="EC49" s="780"/>
      <c r="ED49" s="780"/>
      <c r="EE49" s="780"/>
      <c r="EF49" s="780"/>
      <c r="EG49" s="780"/>
      <c r="EH49" s="780"/>
      <c r="EI49" s="780"/>
      <c r="EJ49" s="780"/>
      <c r="EK49" s="780"/>
      <c r="EL49" s="780"/>
      <c r="EM49" s="780"/>
      <c r="EN49" s="780"/>
      <c r="EO49" s="780"/>
      <c r="EP49" s="780"/>
      <c r="EQ49" s="780"/>
      <c r="ER49" s="780"/>
      <c r="ES49" s="780"/>
      <c r="ET49" s="780"/>
      <c r="EU49" s="780"/>
      <c r="EV49" s="780"/>
      <c r="EW49" s="780"/>
      <c r="EX49" s="780"/>
      <c r="EY49" s="780"/>
      <c r="EZ49" s="780"/>
      <c r="FA49" s="780"/>
      <c r="FB49" s="780"/>
      <c r="FC49" s="780"/>
      <c r="FD49" s="780"/>
      <c r="FE49" s="780"/>
      <c r="FF49" s="780"/>
      <c r="FG49" s="780"/>
      <c r="FH49" s="780"/>
      <c r="FI49" s="780"/>
      <c r="FJ49" s="780"/>
      <c r="FK49" s="780"/>
      <c r="FL49" s="780"/>
      <c r="FM49" s="780"/>
      <c r="FN49" s="780"/>
      <c r="FO49" s="780"/>
      <c r="FP49" s="780"/>
      <c r="FQ49" s="780"/>
      <c r="FR49" s="780"/>
      <c r="FS49" s="780"/>
      <c r="FT49" s="780"/>
      <c r="FU49" s="780"/>
      <c r="FV49" s="780"/>
      <c r="FW49" s="780"/>
      <c r="FX49" s="780"/>
      <c r="FY49" s="780"/>
      <c r="FZ49" s="780"/>
      <c r="GA49" s="780"/>
      <c r="GB49" s="780"/>
      <c r="GC49" s="780"/>
      <c r="GD49" s="780"/>
      <c r="GE49" s="780"/>
      <c r="GF49" s="780"/>
      <c r="GG49" s="780"/>
      <c r="GH49" s="780"/>
      <c r="GI49" s="780"/>
      <c r="GJ49" s="780"/>
      <c r="GK49" s="780"/>
      <c r="GL49" s="780"/>
      <c r="GM49" s="780"/>
      <c r="GN49" s="780"/>
      <c r="GO49" s="780"/>
      <c r="GP49" s="780"/>
      <c r="GQ49" s="780"/>
      <c r="GR49" s="780"/>
      <c r="GS49" s="780"/>
      <c r="GT49" s="780"/>
      <c r="GU49" s="780"/>
      <c r="GV49" s="780"/>
      <c r="GW49" s="780"/>
      <c r="GX49" s="780"/>
      <c r="GY49" s="780"/>
      <c r="GZ49" s="780"/>
      <c r="HA49" s="780"/>
      <c r="HB49" s="780"/>
      <c r="HC49" s="780"/>
      <c r="HD49" s="780"/>
      <c r="HE49" s="780"/>
      <c r="HF49" s="780"/>
      <c r="HG49" s="780"/>
      <c r="HH49" s="780"/>
      <c r="HI49" s="780"/>
      <c r="HJ49" s="780"/>
      <c r="HK49" s="780"/>
      <c r="HL49" s="780"/>
      <c r="HM49" s="780"/>
    </row>
    <row r="50" spans="1:221" ht="3" customHeight="1">
      <c r="A50" s="604"/>
      <c r="B50" s="6"/>
      <c r="D50" s="17"/>
      <c r="E50" s="222"/>
      <c r="F50" s="222"/>
      <c r="G50" s="164"/>
      <c r="H50" s="164"/>
      <c r="I50" s="164"/>
      <c r="J50" s="164"/>
      <c r="K50" s="17"/>
      <c r="L50" s="222"/>
      <c r="M50" s="2"/>
      <c r="N50" s="40"/>
      <c r="O50" s="119"/>
      <c r="P50" s="119"/>
      <c r="Q50" s="119"/>
      <c r="R50" s="119"/>
      <c r="S50" s="119"/>
      <c r="T50" s="119"/>
      <c r="U50" s="442"/>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780"/>
      <c r="DR50" s="780"/>
      <c r="DS50" s="780"/>
      <c r="DT50" s="780"/>
      <c r="DU50" s="780"/>
      <c r="DV50" s="780"/>
      <c r="DW50" s="780"/>
      <c r="DX50" s="780"/>
      <c r="DY50" s="780"/>
      <c r="DZ50" s="780"/>
      <c r="EA50" s="780"/>
      <c r="EB50" s="780"/>
      <c r="EC50" s="780"/>
      <c r="ED50" s="780"/>
      <c r="EE50" s="780"/>
      <c r="EF50" s="780"/>
      <c r="EG50" s="780"/>
      <c r="EH50" s="780"/>
      <c r="EI50" s="780"/>
      <c r="EJ50" s="780"/>
      <c r="EK50" s="780"/>
      <c r="EL50" s="780"/>
      <c r="EM50" s="780"/>
      <c r="EN50" s="780"/>
      <c r="EO50" s="780"/>
      <c r="EP50" s="780"/>
      <c r="EQ50" s="780"/>
      <c r="ER50" s="780"/>
      <c r="ES50" s="780"/>
      <c r="ET50" s="780"/>
      <c r="EU50" s="780"/>
      <c r="EV50" s="780"/>
      <c r="EW50" s="780"/>
      <c r="EX50" s="780"/>
      <c r="EY50" s="780"/>
      <c r="EZ50" s="780"/>
      <c r="FA50" s="780"/>
      <c r="FB50" s="780"/>
      <c r="FC50" s="780"/>
      <c r="FD50" s="780"/>
      <c r="FE50" s="780"/>
      <c r="FF50" s="780"/>
      <c r="FG50" s="780"/>
      <c r="FH50" s="780"/>
      <c r="FI50" s="780"/>
      <c r="FJ50" s="780"/>
      <c r="FK50" s="780"/>
      <c r="FL50" s="780"/>
      <c r="FM50" s="780"/>
      <c r="FN50" s="780"/>
      <c r="FO50" s="780"/>
      <c r="FP50" s="780"/>
      <c r="FQ50" s="780"/>
      <c r="FR50" s="780"/>
      <c r="FS50" s="780"/>
      <c r="FT50" s="780"/>
      <c r="FU50" s="780"/>
      <c r="FV50" s="780"/>
      <c r="FW50" s="780"/>
      <c r="FX50" s="780"/>
      <c r="FY50" s="780"/>
      <c r="FZ50" s="780"/>
      <c r="GA50" s="780"/>
      <c r="GB50" s="780"/>
      <c r="GC50" s="780"/>
      <c r="GD50" s="780"/>
      <c r="GE50" s="780"/>
      <c r="GF50" s="780"/>
      <c r="GG50" s="780"/>
      <c r="GH50" s="780"/>
      <c r="GI50" s="780"/>
      <c r="GJ50" s="780"/>
      <c r="GK50" s="780"/>
      <c r="GL50" s="780"/>
      <c r="GM50" s="780"/>
      <c r="GN50" s="780"/>
      <c r="GO50" s="780"/>
      <c r="GP50" s="780"/>
      <c r="GQ50" s="780"/>
      <c r="GR50" s="780"/>
      <c r="GS50" s="780"/>
      <c r="GT50" s="780"/>
      <c r="GU50" s="780"/>
      <c r="GV50" s="780"/>
      <c r="GW50" s="780"/>
      <c r="GX50" s="780"/>
      <c r="GY50" s="780"/>
      <c r="GZ50" s="780"/>
      <c r="HA50" s="780"/>
      <c r="HB50" s="780"/>
      <c r="HC50" s="780"/>
      <c r="HD50" s="780"/>
      <c r="HE50" s="780"/>
      <c r="HF50" s="780"/>
      <c r="HG50" s="780"/>
      <c r="HH50" s="780"/>
      <c r="HI50" s="780"/>
      <c r="HJ50" s="780"/>
      <c r="HK50" s="780"/>
      <c r="HL50" s="780"/>
      <c r="HM50" s="780"/>
    </row>
    <row r="51" spans="1:221" ht="12" customHeight="1">
      <c r="A51" s="1091" t="s">
        <v>384</v>
      </c>
      <c r="B51" s="1527"/>
      <c r="C51" s="1527"/>
      <c r="D51" s="1527"/>
      <c r="E51" s="1527"/>
      <c r="F51" s="1527"/>
      <c r="G51" s="1527"/>
      <c r="H51" s="1527"/>
      <c r="I51" s="1527"/>
      <c r="J51" s="1527"/>
      <c r="K51" s="1527"/>
      <c r="L51" s="1527"/>
      <c r="M51" s="1527"/>
      <c r="N51" s="1527"/>
      <c r="O51" s="1527"/>
      <c r="P51" s="1527"/>
      <c r="Q51" s="119"/>
      <c r="R51" s="119"/>
      <c r="S51" s="119"/>
      <c r="T51" s="119"/>
      <c r="U51" s="442"/>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0"/>
      <c r="ES51" s="780"/>
      <c r="ET51" s="780"/>
      <c r="EU51" s="780"/>
      <c r="EV51" s="780"/>
      <c r="EW51" s="780"/>
      <c r="EX51" s="780"/>
      <c r="EY51" s="780"/>
      <c r="EZ51" s="780"/>
      <c r="FA51" s="780"/>
      <c r="FB51" s="780"/>
      <c r="FC51" s="780"/>
      <c r="FD51" s="780"/>
      <c r="FE51" s="780"/>
      <c r="FF51" s="780"/>
      <c r="FG51" s="780"/>
      <c r="FH51" s="780"/>
      <c r="FI51" s="780"/>
      <c r="FJ51" s="780"/>
      <c r="FK51" s="780"/>
      <c r="FL51" s="780"/>
      <c r="FM51" s="780"/>
      <c r="FN51" s="780"/>
      <c r="FO51" s="780"/>
      <c r="FP51" s="780"/>
      <c r="FQ51" s="780"/>
      <c r="FR51" s="780"/>
      <c r="FS51" s="780"/>
      <c r="FT51" s="780"/>
      <c r="FU51" s="780"/>
      <c r="FV51" s="780"/>
      <c r="FW51" s="780"/>
      <c r="FX51" s="780"/>
      <c r="FY51" s="780"/>
      <c r="FZ51" s="780"/>
      <c r="GA51" s="780"/>
      <c r="GB51" s="780"/>
      <c r="GC51" s="780"/>
      <c r="GD51" s="780"/>
      <c r="GE51" s="780"/>
      <c r="GF51" s="780"/>
      <c r="GG51" s="780"/>
      <c r="GH51" s="780"/>
      <c r="GI51" s="780"/>
      <c r="GJ51" s="780"/>
      <c r="GK51" s="780"/>
      <c r="GL51" s="780"/>
      <c r="GM51" s="780"/>
      <c r="GN51" s="780"/>
      <c r="GO51" s="780"/>
      <c r="GP51" s="780"/>
      <c r="GQ51" s="780"/>
      <c r="GR51" s="780"/>
      <c r="GS51" s="780"/>
      <c r="GT51" s="780"/>
      <c r="GU51" s="780"/>
      <c r="GV51" s="780"/>
      <c r="GW51" s="780"/>
      <c r="GX51" s="780"/>
      <c r="GY51" s="780"/>
      <c r="GZ51" s="780"/>
      <c r="HA51" s="780"/>
      <c r="HB51" s="780"/>
      <c r="HC51" s="780"/>
      <c r="HD51" s="780"/>
      <c r="HE51" s="780"/>
      <c r="HF51" s="780"/>
      <c r="HG51" s="780"/>
      <c r="HH51" s="780"/>
      <c r="HI51" s="780"/>
      <c r="HJ51" s="780"/>
      <c r="HK51" s="780"/>
      <c r="HL51" s="780"/>
      <c r="HM51" s="780"/>
    </row>
    <row r="52" spans="1:221" ht="12" customHeight="1">
      <c r="A52" s="1527"/>
      <c r="B52" s="1527"/>
      <c r="C52" s="1527"/>
      <c r="D52" s="1527"/>
      <c r="E52" s="1527"/>
      <c r="F52" s="1527"/>
      <c r="G52" s="1527"/>
      <c r="H52" s="1527"/>
      <c r="I52" s="1527"/>
      <c r="J52" s="1527"/>
      <c r="K52" s="1527"/>
      <c r="L52" s="1527"/>
      <c r="M52" s="1527"/>
      <c r="N52" s="1527"/>
      <c r="O52" s="1527"/>
      <c r="P52" s="1527"/>
      <c r="Q52" s="119"/>
      <c r="R52" s="119"/>
      <c r="S52" s="119"/>
      <c r="T52" s="119"/>
      <c r="U52" s="442"/>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0"/>
      <c r="ES52" s="780"/>
      <c r="ET52" s="780"/>
      <c r="EU52" s="780"/>
      <c r="EV52" s="780"/>
      <c r="EW52" s="780"/>
      <c r="EX52" s="780"/>
      <c r="EY52" s="780"/>
      <c r="EZ52" s="780"/>
      <c r="FA52" s="780"/>
      <c r="FB52" s="780"/>
      <c r="FC52" s="780"/>
      <c r="FD52" s="780"/>
      <c r="FE52" s="780"/>
      <c r="FF52" s="780"/>
      <c r="FG52" s="780"/>
      <c r="FH52" s="780"/>
      <c r="FI52" s="780"/>
      <c r="FJ52" s="780"/>
      <c r="FK52" s="780"/>
      <c r="FL52" s="780"/>
      <c r="FM52" s="780"/>
      <c r="FN52" s="780"/>
      <c r="FO52" s="780"/>
      <c r="FP52" s="780"/>
      <c r="FQ52" s="780"/>
      <c r="FR52" s="780"/>
      <c r="FS52" s="780"/>
      <c r="FT52" s="780"/>
      <c r="FU52" s="780"/>
      <c r="FV52" s="780"/>
      <c r="FW52" s="780"/>
      <c r="FX52" s="780"/>
      <c r="FY52" s="780"/>
      <c r="FZ52" s="780"/>
      <c r="GA52" s="780"/>
      <c r="GB52" s="780"/>
      <c r="GC52" s="780"/>
      <c r="GD52" s="780"/>
      <c r="GE52" s="780"/>
      <c r="GF52" s="780"/>
      <c r="GG52" s="780"/>
      <c r="GH52" s="780"/>
      <c r="GI52" s="780"/>
      <c r="GJ52" s="780"/>
      <c r="GK52" s="780"/>
      <c r="GL52" s="780"/>
      <c r="GM52" s="780"/>
      <c r="GN52" s="780"/>
      <c r="GO52" s="780"/>
      <c r="GP52" s="780"/>
      <c r="GQ52" s="780"/>
      <c r="GR52" s="780"/>
      <c r="GS52" s="780"/>
      <c r="GT52" s="780"/>
      <c r="GU52" s="780"/>
      <c r="GV52" s="780"/>
      <c r="GW52" s="780"/>
      <c r="GX52" s="780"/>
      <c r="GY52" s="780"/>
      <c r="GZ52" s="780"/>
      <c r="HA52" s="780"/>
      <c r="HB52" s="780"/>
      <c r="HC52" s="780"/>
      <c r="HD52" s="780"/>
      <c r="HE52" s="780"/>
      <c r="HF52" s="780"/>
      <c r="HG52" s="780"/>
      <c r="HH52" s="780"/>
      <c r="HI52" s="780"/>
      <c r="HJ52" s="780"/>
      <c r="HK52" s="780"/>
      <c r="HL52" s="780"/>
      <c r="HM52" s="780"/>
    </row>
    <row r="53" spans="1:221" ht="14.45" customHeight="1">
      <c r="A53" s="16" t="s">
        <v>2832</v>
      </c>
      <c r="B53" s="16" t="s">
        <v>3303</v>
      </c>
      <c r="O53" s="110"/>
      <c r="Q53" s="1093" t="str">
        <f>IF(SUM(Q56:Q100)&gt;0,"ERROR Between Rent Schedule &amp; Unit Summary:", "")</f>
        <v>ERROR Between Rent Schedule &amp; Unit Summary:</v>
      </c>
      <c r="R53" s="851"/>
      <c r="S53" s="851"/>
      <c r="T53" s="5" t="str">
        <f>B53</f>
        <v>UNIT SUMMARY</v>
      </c>
      <c r="U53" s="643" t="s">
        <v>3303</v>
      </c>
      <c r="V53" s="781"/>
      <c r="W53" s="781"/>
      <c r="X53" s="781"/>
      <c r="Y53" s="781"/>
      <c r="Z53" s="781"/>
      <c r="AA53" s="781"/>
      <c r="AB53" s="781"/>
      <c r="AC53" s="781"/>
      <c r="AD53" s="781"/>
      <c r="AE53" s="781"/>
      <c r="AF53" s="781"/>
      <c r="AG53" s="781"/>
      <c r="AH53" s="770"/>
      <c r="GW53" s="782"/>
      <c r="HL53" s="758"/>
    </row>
    <row r="54" spans="1:221" ht="3" customHeight="1">
      <c r="A54" s="16"/>
      <c r="B54" s="16"/>
      <c r="O54" s="110"/>
      <c r="Q54" s="1094"/>
      <c r="R54" s="852"/>
      <c r="S54" s="852"/>
      <c r="T54" s="173"/>
      <c r="U54" s="643"/>
      <c r="V54" s="781"/>
      <c r="W54" s="781"/>
      <c r="X54" s="781"/>
      <c r="Y54" s="781"/>
      <c r="Z54" s="781"/>
      <c r="AA54" s="781"/>
      <c r="AB54" s="781"/>
      <c r="AC54" s="781"/>
      <c r="AD54" s="781"/>
      <c r="AE54" s="781"/>
      <c r="AF54" s="781"/>
      <c r="AG54" s="781"/>
      <c r="AH54" s="770"/>
      <c r="GW54" s="782"/>
      <c r="HL54" s="758"/>
    </row>
    <row r="55" spans="1:221" ht="14.45" customHeight="1">
      <c r="A55" s="16"/>
      <c r="B55" s="16" t="s">
        <v>2395</v>
      </c>
      <c r="H55" s="165" t="s">
        <v>3342</v>
      </c>
      <c r="I55" s="165" t="s">
        <v>3304</v>
      </c>
      <c r="J55" s="165" t="s">
        <v>3305</v>
      </c>
      <c r="K55" s="165" t="s">
        <v>3306</v>
      </c>
      <c r="L55" s="165" t="s">
        <v>3307</v>
      </c>
      <c r="M55" s="165" t="s">
        <v>3308</v>
      </c>
      <c r="O55" s="110"/>
      <c r="Q55" s="1094"/>
      <c r="R55" s="852"/>
      <c r="S55" s="852"/>
      <c r="T55" s="976" t="s">
        <v>1370</v>
      </c>
      <c r="U55" s="976"/>
      <c r="V55" s="781"/>
      <c r="W55" s="781"/>
      <c r="X55" s="781"/>
      <c r="Y55" s="781"/>
      <c r="Z55" s="781"/>
      <c r="AA55" s="783"/>
      <c r="AB55" s="783"/>
      <c r="AC55" s="783"/>
      <c r="AD55" s="783"/>
      <c r="AE55" s="783"/>
      <c r="AF55" s="783"/>
      <c r="AG55" s="781"/>
      <c r="AH55" s="770"/>
      <c r="GW55" s="782"/>
      <c r="HL55" s="758"/>
    </row>
    <row r="56" spans="1:221" ht="12" customHeight="1">
      <c r="C56" s="2" t="s">
        <v>2397</v>
      </c>
      <c r="D56" s="2"/>
      <c r="E56" s="2"/>
      <c r="F56" s="2"/>
      <c r="G56" s="44" t="s">
        <v>2410</v>
      </c>
      <c r="H56" s="380">
        <f>V48</f>
        <v>0</v>
      </c>
      <c r="I56" s="380">
        <f>W48</f>
        <v>48</v>
      </c>
      <c r="J56" s="380">
        <f>X48</f>
        <v>16</v>
      </c>
      <c r="K56" s="380">
        <f>Y48</f>
        <v>0</v>
      </c>
      <c r="L56" s="380">
        <f>Z48</f>
        <v>0</v>
      </c>
      <c r="M56" s="380">
        <f t="shared" ref="M56:M62" si="211">SUM(H56:L56)</f>
        <v>64</v>
      </c>
      <c r="N56" s="1095" t="s">
        <v>2657</v>
      </c>
      <c r="O56" s="1096"/>
      <c r="P56" s="853"/>
      <c r="Q56" s="644">
        <f t="shared" ref="Q56:Q62" si="212">ABS(M56-AF56)</f>
        <v>64</v>
      </c>
      <c r="R56" s="644"/>
      <c r="S56" s="644"/>
      <c r="T56" s="1453"/>
      <c r="U56" s="1454"/>
      <c r="V56" s="784"/>
      <c r="W56" s="784"/>
      <c r="X56" s="784"/>
      <c r="Y56" s="784"/>
      <c r="Z56" s="785"/>
      <c r="AA56" s="786"/>
      <c r="AB56" s="786"/>
      <c r="AC56" s="786"/>
      <c r="AD56" s="786"/>
      <c r="AE56" s="786"/>
      <c r="AF56" s="786"/>
      <c r="AG56" s="785"/>
      <c r="AH56" s="770"/>
      <c r="GW56" s="782"/>
      <c r="HL56" s="758"/>
    </row>
    <row r="57" spans="1:221" ht="12" customHeight="1">
      <c r="A57" s="1092" t="s">
        <v>3449</v>
      </c>
      <c r="B57" s="1092"/>
      <c r="C57" s="5"/>
      <c r="D57" s="2"/>
      <c r="E57" s="2"/>
      <c r="F57" s="2"/>
      <c r="G57" s="44" t="s">
        <v>3991</v>
      </c>
      <c r="H57" s="381">
        <f>AA48</f>
        <v>0</v>
      </c>
      <c r="I57" s="381">
        <f>AB48</f>
        <v>16</v>
      </c>
      <c r="J57" s="381">
        <f>AC48</f>
        <v>3</v>
      </c>
      <c r="K57" s="381">
        <f>AD48</f>
        <v>0</v>
      </c>
      <c r="L57" s="381">
        <f>AE48</f>
        <v>0</v>
      </c>
      <c r="M57" s="381">
        <f t="shared" si="211"/>
        <v>19</v>
      </c>
      <c r="N57" s="1095"/>
      <c r="O57" s="1096"/>
      <c r="P57" s="853"/>
      <c r="Q57" s="644">
        <f t="shared" si="212"/>
        <v>19</v>
      </c>
      <c r="R57" s="644"/>
      <c r="S57" s="644"/>
      <c r="T57" s="1455"/>
      <c r="U57" s="1456"/>
      <c r="V57" s="787"/>
      <c r="W57" s="784"/>
      <c r="X57" s="784"/>
      <c r="Y57" s="784"/>
      <c r="Z57" s="785"/>
      <c r="AA57" s="786"/>
      <c r="AB57" s="786"/>
      <c r="AC57" s="786"/>
      <c r="AD57" s="786"/>
      <c r="AE57" s="786"/>
      <c r="AF57" s="786"/>
      <c r="AG57" s="785"/>
      <c r="AH57" s="770"/>
      <c r="GW57" s="782"/>
      <c r="HL57" s="758"/>
    </row>
    <row r="58" spans="1:221" ht="12" customHeight="1">
      <c r="A58" s="1092"/>
      <c r="B58" s="1092"/>
      <c r="C58" s="5"/>
      <c r="D58" s="2"/>
      <c r="E58" s="2"/>
      <c r="F58" s="2"/>
      <c r="G58" s="44" t="s">
        <v>3308</v>
      </c>
      <c r="H58" s="382">
        <f>SUM(H56:H57)</f>
        <v>0</v>
      </c>
      <c r="I58" s="382">
        <f>SUM(I56:I57)</f>
        <v>64</v>
      </c>
      <c r="J58" s="382">
        <f>SUM(J56:J57)</f>
        <v>19</v>
      </c>
      <c r="K58" s="382">
        <f>SUM(K56:K57)</f>
        <v>0</v>
      </c>
      <c r="L58" s="382">
        <f>SUM(L56:L57)</f>
        <v>0</v>
      </c>
      <c r="M58" s="382">
        <f t="shared" si="211"/>
        <v>83</v>
      </c>
      <c r="N58" s="385"/>
      <c r="O58" s="110"/>
      <c r="Q58" s="644">
        <f t="shared" si="212"/>
        <v>83</v>
      </c>
      <c r="R58" s="644"/>
      <c r="S58" s="644"/>
      <c r="T58" s="1455"/>
      <c r="U58" s="1456"/>
      <c r="V58" s="787"/>
      <c r="W58" s="784"/>
      <c r="X58" s="784"/>
      <c r="Y58" s="784"/>
      <c r="Z58" s="785"/>
      <c r="AA58" s="786"/>
      <c r="AB58" s="786"/>
      <c r="AC58" s="786"/>
      <c r="AD58" s="786"/>
      <c r="AE58" s="786"/>
      <c r="AF58" s="786"/>
      <c r="AG58" s="785"/>
      <c r="AH58" s="770"/>
      <c r="GW58" s="782"/>
      <c r="HL58" s="758"/>
    </row>
    <row r="59" spans="1:221" ht="12" customHeight="1">
      <c r="A59" s="1092"/>
      <c r="B59" s="1092"/>
      <c r="C59" s="2" t="s">
        <v>3724</v>
      </c>
      <c r="D59" s="2"/>
      <c r="E59" s="2"/>
      <c r="F59" s="2"/>
      <c r="G59" s="44"/>
      <c r="H59" s="382">
        <f>AK48</f>
        <v>0</v>
      </c>
      <c r="I59" s="382">
        <f>AL48</f>
        <v>5</v>
      </c>
      <c r="J59" s="382">
        <f>AM48</f>
        <v>3</v>
      </c>
      <c r="K59" s="382">
        <f>AN48</f>
        <v>0</v>
      </c>
      <c r="L59" s="382">
        <f>AO48</f>
        <v>0</v>
      </c>
      <c r="M59" s="382">
        <f t="shared" si="211"/>
        <v>8</v>
      </c>
      <c r="N59" s="65"/>
      <c r="O59" s="110"/>
      <c r="Q59" s="644">
        <f t="shared" si="212"/>
        <v>8</v>
      </c>
      <c r="R59" s="644"/>
      <c r="S59" s="644"/>
      <c r="T59" s="1455"/>
      <c r="U59" s="1456"/>
      <c r="V59" s="770"/>
      <c r="W59" s="784"/>
      <c r="X59" s="784"/>
      <c r="Y59" s="784"/>
      <c r="Z59" s="785"/>
      <c r="AA59" s="786"/>
      <c r="AB59" s="786"/>
      <c r="AC59" s="786"/>
      <c r="AD59" s="786"/>
      <c r="AE59" s="786"/>
      <c r="AF59" s="786"/>
      <c r="AG59" s="755"/>
      <c r="AH59" s="770"/>
      <c r="GW59" s="782"/>
      <c r="HL59" s="758"/>
    </row>
    <row r="60" spans="1:221" ht="12" customHeight="1">
      <c r="A60" s="1092"/>
      <c r="B60" s="1092"/>
      <c r="C60" s="2" t="s">
        <v>2398</v>
      </c>
      <c r="D60" s="2"/>
      <c r="E60" s="2"/>
      <c r="F60" s="2"/>
      <c r="G60" s="44"/>
      <c r="H60" s="382">
        <f>SUM(H58:H59)</f>
        <v>0</v>
      </c>
      <c r="I60" s="382">
        <f>SUM(I58:I59)</f>
        <v>69</v>
      </c>
      <c r="J60" s="382">
        <f>SUM(J58:J59)</f>
        <v>22</v>
      </c>
      <c r="K60" s="382">
        <f>SUM(K58:K59)</f>
        <v>0</v>
      </c>
      <c r="L60" s="382">
        <f>SUM(L58:L59)</f>
        <v>0</v>
      </c>
      <c r="M60" s="382">
        <f t="shared" si="211"/>
        <v>91</v>
      </c>
      <c r="N60" s="65"/>
      <c r="O60" s="110"/>
      <c r="Q60" s="644">
        <f t="shared" si="212"/>
        <v>91</v>
      </c>
      <c r="R60" s="644"/>
      <c r="S60" s="644"/>
      <c r="T60" s="1455"/>
      <c r="U60" s="1456"/>
      <c r="V60" s="784"/>
      <c r="W60" s="784"/>
      <c r="X60" s="784"/>
      <c r="Y60" s="784"/>
      <c r="Z60" s="785"/>
      <c r="AA60" s="786"/>
      <c r="AB60" s="786"/>
      <c r="AC60" s="786"/>
      <c r="AD60" s="786"/>
      <c r="AE60" s="786"/>
      <c r="AF60" s="786"/>
      <c r="AG60" s="755"/>
      <c r="AH60" s="770"/>
      <c r="GW60" s="782"/>
      <c r="HL60" s="758"/>
    </row>
    <row r="61" spans="1:221" ht="12" customHeight="1">
      <c r="A61" s="1092"/>
      <c r="B61" s="1092"/>
      <c r="C61" s="2" t="s">
        <v>600</v>
      </c>
      <c r="D61" s="2"/>
      <c r="E61" s="2"/>
      <c r="F61" s="2"/>
      <c r="G61" s="44"/>
      <c r="H61" s="382">
        <f>BT48</f>
        <v>0</v>
      </c>
      <c r="I61" s="382">
        <f>BU48</f>
        <v>0</v>
      </c>
      <c r="J61" s="382">
        <f>BV48</f>
        <v>0</v>
      </c>
      <c r="K61" s="382">
        <f>BW48</f>
        <v>0</v>
      </c>
      <c r="L61" s="382">
        <f>BX48</f>
        <v>0</v>
      </c>
      <c r="M61" s="382">
        <f t="shared" si="211"/>
        <v>0</v>
      </c>
      <c r="N61" s="62" t="s">
        <v>942</v>
      </c>
      <c r="O61" s="110"/>
      <c r="Q61" s="644">
        <f t="shared" si="212"/>
        <v>0</v>
      </c>
      <c r="R61" s="644"/>
      <c r="S61" s="644"/>
      <c r="T61" s="1455"/>
      <c r="U61" s="1456"/>
      <c r="V61" s="784"/>
      <c r="W61" s="784"/>
      <c r="X61" s="784"/>
      <c r="Y61" s="784"/>
      <c r="Z61" s="785"/>
      <c r="AA61" s="786"/>
      <c r="AB61" s="786"/>
      <c r="AC61" s="786"/>
      <c r="AD61" s="786"/>
      <c r="AE61" s="786"/>
      <c r="AF61" s="786"/>
      <c r="AG61" s="785"/>
      <c r="AH61" s="770"/>
      <c r="GW61" s="782"/>
      <c r="HL61" s="758"/>
    </row>
    <row r="62" spans="1:221" ht="12" customHeight="1">
      <c r="A62" s="1092"/>
      <c r="B62" s="1092"/>
      <c r="C62" s="2" t="s">
        <v>3308</v>
      </c>
      <c r="D62" s="2"/>
      <c r="E62" s="2"/>
      <c r="F62" s="2"/>
      <c r="G62" s="44"/>
      <c r="H62" s="382">
        <f>SUM(H60:H61)</f>
        <v>0</v>
      </c>
      <c r="I62" s="382">
        <f>SUM(I60:I61)</f>
        <v>69</v>
      </c>
      <c r="J62" s="382">
        <f>SUM(J60:J61)</f>
        <v>22</v>
      </c>
      <c r="K62" s="382">
        <f>SUM(K60:K61)</f>
        <v>0</v>
      </c>
      <c r="L62" s="382">
        <f>SUM(L60:L61)</f>
        <v>0</v>
      </c>
      <c r="M62" s="382">
        <f t="shared" si="211"/>
        <v>91</v>
      </c>
      <c r="O62" s="110"/>
      <c r="Q62" s="644">
        <f t="shared" si="212"/>
        <v>91</v>
      </c>
      <c r="R62" s="644"/>
      <c r="S62" s="644"/>
      <c r="T62" s="1458"/>
      <c r="U62" s="1459"/>
      <c r="V62" s="784"/>
      <c r="W62" s="784"/>
      <c r="X62" s="784"/>
      <c r="Y62" s="784"/>
      <c r="Z62" s="785"/>
      <c r="AA62" s="786"/>
      <c r="AB62" s="786"/>
      <c r="AC62" s="786"/>
      <c r="AD62" s="786"/>
      <c r="AE62" s="786"/>
      <c r="AF62" s="786"/>
      <c r="AG62" s="781"/>
      <c r="AH62" s="770"/>
      <c r="GW62" s="782"/>
      <c r="HL62" s="758"/>
    </row>
    <row r="63" spans="1:221" ht="12" customHeight="1">
      <c r="A63" s="1092"/>
      <c r="B63" s="1092"/>
      <c r="C63" s="2"/>
      <c r="D63" s="2"/>
      <c r="E63" s="2"/>
      <c r="F63" s="2"/>
      <c r="G63" s="44"/>
      <c r="H63" s="15"/>
      <c r="I63" s="15"/>
      <c r="J63" s="15"/>
      <c r="K63" s="15"/>
      <c r="L63" s="15"/>
      <c r="M63" s="15"/>
      <c r="O63" s="110"/>
      <c r="Q63" s="644"/>
      <c r="R63" s="644"/>
      <c r="S63" s="644"/>
      <c r="T63" s="472" t="str">
        <f>C64</f>
        <v>PBRA-Assisted</v>
      </c>
      <c r="U63" s="206"/>
      <c r="V63" s="784"/>
      <c r="W63" s="784"/>
      <c r="X63" s="784"/>
      <c r="Y63" s="784"/>
      <c r="Z63" s="785"/>
      <c r="AA63" s="784"/>
      <c r="AB63" s="784"/>
      <c r="AC63" s="784"/>
      <c r="AD63" s="784"/>
      <c r="AE63" s="784"/>
      <c r="AF63" s="784"/>
      <c r="AG63" s="781"/>
      <c r="AH63" s="770"/>
      <c r="GW63" s="782"/>
      <c r="HL63" s="758"/>
    </row>
    <row r="64" spans="1:221" ht="12" customHeight="1">
      <c r="A64" s="1092"/>
      <c r="B64" s="1092"/>
      <c r="C64" s="2" t="s">
        <v>2623</v>
      </c>
      <c r="D64" s="2"/>
      <c r="E64" s="149"/>
      <c r="F64" s="2"/>
      <c r="G64" s="44" t="s">
        <v>2410</v>
      </c>
      <c r="H64" s="380">
        <f>AZ48</f>
        <v>0</v>
      </c>
      <c r="I64" s="380">
        <f>BA48</f>
        <v>0</v>
      </c>
      <c r="J64" s="380">
        <f>BB48</f>
        <v>0</v>
      </c>
      <c r="K64" s="380">
        <f>BC48</f>
        <v>0</v>
      </c>
      <c r="L64" s="380">
        <f>BD48</f>
        <v>0</v>
      </c>
      <c r="M64" s="380">
        <f>SUM(H64:L64)</f>
        <v>0</v>
      </c>
      <c r="N64" s="62"/>
      <c r="O64" s="110"/>
      <c r="Q64" s="644">
        <f>ABS(M64-AF64)</f>
        <v>0</v>
      </c>
      <c r="R64" s="644"/>
      <c r="S64" s="644"/>
      <c r="T64" s="1453"/>
      <c r="U64" s="1454"/>
      <c r="V64" s="784"/>
      <c r="W64" s="784"/>
      <c r="X64" s="788"/>
      <c r="Y64" s="784"/>
      <c r="Z64" s="785"/>
      <c r="AA64" s="786"/>
      <c r="AB64" s="786"/>
      <c r="AC64" s="786"/>
      <c r="AD64" s="786"/>
      <c r="AE64" s="786"/>
      <c r="AF64" s="786"/>
      <c r="AG64" s="785"/>
      <c r="AH64" s="770"/>
      <c r="GW64" s="782"/>
      <c r="HL64" s="758"/>
    </row>
    <row r="65" spans="1:220" ht="12" customHeight="1">
      <c r="A65" s="1092"/>
      <c r="B65" s="1092"/>
      <c r="C65" s="44" t="s">
        <v>601</v>
      </c>
      <c r="D65" s="2"/>
      <c r="E65" s="149"/>
      <c r="F65" s="2"/>
      <c r="G65" s="44" t="s">
        <v>3991</v>
      </c>
      <c r="H65" s="381">
        <f>AU48</f>
        <v>0</v>
      </c>
      <c r="I65" s="381">
        <f>AV48</f>
        <v>0</v>
      </c>
      <c r="J65" s="381">
        <f>AW48</f>
        <v>0</v>
      </c>
      <c r="K65" s="381">
        <f>AX48</f>
        <v>0</v>
      </c>
      <c r="L65" s="381">
        <f>AY48</f>
        <v>0</v>
      </c>
      <c r="M65" s="383">
        <f>SUM(H65:L65)</f>
        <v>0</v>
      </c>
      <c r="N65" s="62"/>
      <c r="O65" s="110"/>
      <c r="Q65" s="644">
        <f>ABS(M65-AF65)</f>
        <v>0</v>
      </c>
      <c r="R65" s="644"/>
      <c r="S65" s="644"/>
      <c r="T65" s="1455"/>
      <c r="U65" s="1456"/>
      <c r="V65" s="785"/>
      <c r="W65" s="784"/>
      <c r="X65" s="788"/>
      <c r="Y65" s="784"/>
      <c r="Z65" s="785"/>
      <c r="AA65" s="786"/>
      <c r="AB65" s="786"/>
      <c r="AC65" s="786"/>
      <c r="AD65" s="786"/>
      <c r="AE65" s="786"/>
      <c r="AF65" s="786"/>
      <c r="AG65" s="785"/>
      <c r="AH65" s="770"/>
      <c r="GW65" s="782"/>
      <c r="HL65" s="758"/>
    </row>
    <row r="66" spans="1:220" ht="12" customHeight="1">
      <c r="A66" s="1092"/>
      <c r="B66" s="1092"/>
      <c r="C66" s="5"/>
      <c r="D66" s="2"/>
      <c r="E66" s="149"/>
      <c r="F66" s="2"/>
      <c r="G66" s="44" t="s">
        <v>3308</v>
      </c>
      <c r="H66" s="382">
        <f>SUM(H64:H65)</f>
        <v>0</v>
      </c>
      <c r="I66" s="382">
        <f>SUM(I64:I65)</f>
        <v>0</v>
      </c>
      <c r="J66" s="382">
        <f>SUM(J64:J65)</f>
        <v>0</v>
      </c>
      <c r="K66" s="382">
        <f>SUM(K64:K65)</f>
        <v>0</v>
      </c>
      <c r="L66" s="382">
        <f>SUM(L64:L65)</f>
        <v>0</v>
      </c>
      <c r="M66" s="382">
        <f>SUM(H66:L66)</f>
        <v>0</v>
      </c>
      <c r="N66" s="62"/>
      <c r="O66" s="110"/>
      <c r="Q66" s="644">
        <f>ABS(M66-AF66)</f>
        <v>0</v>
      </c>
      <c r="R66" s="644"/>
      <c r="S66" s="644"/>
      <c r="T66" s="1458"/>
      <c r="U66" s="1459"/>
      <c r="V66" s="787"/>
      <c r="W66" s="784"/>
      <c r="X66" s="788"/>
      <c r="Y66" s="784"/>
      <c r="Z66" s="785"/>
      <c r="AA66" s="786"/>
      <c r="AB66" s="786"/>
      <c r="AC66" s="786"/>
      <c r="AD66" s="786"/>
      <c r="AE66" s="786"/>
      <c r="AF66" s="786"/>
      <c r="AG66" s="785"/>
      <c r="AH66" s="770"/>
      <c r="GW66" s="782"/>
      <c r="HL66" s="758"/>
    </row>
    <row r="67" spans="1:220" ht="12" customHeight="1">
      <c r="A67" s="1092"/>
      <c r="B67" s="1092"/>
      <c r="C67" s="2"/>
      <c r="D67" s="2"/>
      <c r="E67" s="2"/>
      <c r="F67" s="2"/>
      <c r="G67" s="44"/>
      <c r="H67" s="15"/>
      <c r="I67" s="15"/>
      <c r="J67" s="15"/>
      <c r="K67" s="15"/>
      <c r="L67" s="15"/>
      <c r="M67" s="15"/>
      <c r="O67" s="110"/>
      <c r="Q67" s="644"/>
      <c r="R67" s="644"/>
      <c r="S67" s="644"/>
      <c r="T67" s="472" t="str">
        <f>C68</f>
        <v>PHA Operating Subsidy-Assisted</v>
      </c>
      <c r="U67" s="206"/>
      <c r="V67" s="784"/>
      <c r="W67" s="784"/>
      <c r="X67" s="784"/>
      <c r="Y67" s="784"/>
      <c r="Z67" s="785"/>
      <c r="AA67" s="784"/>
      <c r="AB67" s="784"/>
      <c r="AC67" s="784"/>
      <c r="AD67" s="784"/>
      <c r="AE67" s="784"/>
      <c r="AF67" s="784"/>
      <c r="AG67" s="781"/>
      <c r="AH67" s="770"/>
      <c r="GW67" s="782"/>
      <c r="HL67" s="758"/>
    </row>
    <row r="68" spans="1:220" ht="12" customHeight="1">
      <c r="A68" s="1092"/>
      <c r="B68" s="1092"/>
      <c r="C68" s="2" t="s">
        <v>2656</v>
      </c>
      <c r="D68" s="2"/>
      <c r="E68" s="149"/>
      <c r="F68" s="2"/>
      <c r="G68" s="44" t="s">
        <v>2410</v>
      </c>
      <c r="H68" s="380">
        <f>BO48</f>
        <v>0</v>
      </c>
      <c r="I68" s="380">
        <f>BP48</f>
        <v>0</v>
      </c>
      <c r="J68" s="380">
        <f>BQ48</f>
        <v>0</v>
      </c>
      <c r="K68" s="380">
        <f>BR48</f>
        <v>0</v>
      </c>
      <c r="L68" s="380">
        <f>BS48</f>
        <v>0</v>
      </c>
      <c r="M68" s="380">
        <f>SUM(H68:L68)</f>
        <v>0</v>
      </c>
      <c r="N68" s="62"/>
      <c r="O68" s="110"/>
      <c r="Q68" s="644">
        <f>ABS(M68-AF68)</f>
        <v>0</v>
      </c>
      <c r="R68" s="644"/>
      <c r="S68" s="644"/>
      <c r="T68" s="1453"/>
      <c r="U68" s="1454"/>
      <c r="V68" s="770"/>
      <c r="W68" s="784"/>
      <c r="X68" s="788"/>
      <c r="Y68" s="784"/>
      <c r="Z68" s="785"/>
      <c r="AA68" s="786"/>
      <c r="AB68" s="786"/>
      <c r="AC68" s="786"/>
      <c r="AD68" s="786"/>
      <c r="AE68" s="786"/>
      <c r="AF68" s="786"/>
      <c r="AG68" s="785"/>
      <c r="AH68" s="770"/>
      <c r="GW68" s="782"/>
      <c r="HL68" s="758"/>
    </row>
    <row r="69" spans="1:220" ht="12" customHeight="1">
      <c r="A69" s="1092"/>
      <c r="B69" s="1092"/>
      <c r="C69" s="44" t="s">
        <v>601</v>
      </c>
      <c r="D69" s="2"/>
      <c r="E69" s="149"/>
      <c r="F69" s="2"/>
      <c r="G69" s="44" t="s">
        <v>3991</v>
      </c>
      <c r="H69" s="381">
        <f>BJ48</f>
        <v>0</v>
      </c>
      <c r="I69" s="381">
        <f>BK48</f>
        <v>0</v>
      </c>
      <c r="J69" s="381">
        <f>BL48</f>
        <v>0</v>
      </c>
      <c r="K69" s="381">
        <f>BM48</f>
        <v>0</v>
      </c>
      <c r="L69" s="381">
        <f>BN48</f>
        <v>0</v>
      </c>
      <c r="M69" s="383">
        <f>SUM(H69:L69)</f>
        <v>0</v>
      </c>
      <c r="N69" s="62"/>
      <c r="O69" s="110"/>
      <c r="Q69" s="644">
        <f>ABS(M69-AF69)</f>
        <v>0</v>
      </c>
      <c r="R69" s="644"/>
      <c r="S69" s="644"/>
      <c r="T69" s="1455"/>
      <c r="U69" s="1456"/>
      <c r="V69" s="789"/>
      <c r="W69" s="784"/>
      <c r="X69" s="788"/>
      <c r="Y69" s="784"/>
      <c r="Z69" s="785"/>
      <c r="AA69" s="786"/>
      <c r="AB69" s="786"/>
      <c r="AC69" s="786"/>
      <c r="AD69" s="786"/>
      <c r="AE69" s="786"/>
      <c r="AF69" s="786"/>
      <c r="AG69" s="785"/>
      <c r="AH69" s="770"/>
      <c r="GW69" s="782"/>
      <c r="HL69" s="758"/>
    </row>
    <row r="70" spans="1:220" ht="12" customHeight="1">
      <c r="A70" s="1092"/>
      <c r="B70" s="1092"/>
      <c r="C70" s="5"/>
      <c r="D70" s="2"/>
      <c r="E70" s="149"/>
      <c r="F70" s="2"/>
      <c r="G70" s="44" t="s">
        <v>3308</v>
      </c>
      <c r="H70" s="382">
        <f>SUM(H68:H69)</f>
        <v>0</v>
      </c>
      <c r="I70" s="382">
        <f>SUM(I68:I69)</f>
        <v>0</v>
      </c>
      <c r="J70" s="382">
        <f>SUM(J68:J69)</f>
        <v>0</v>
      </c>
      <c r="K70" s="382">
        <f>SUM(K68:K69)</f>
        <v>0</v>
      </c>
      <c r="L70" s="382">
        <f>SUM(L68:L69)</f>
        <v>0</v>
      </c>
      <c r="M70" s="382">
        <f>SUM(H70:L70)</f>
        <v>0</v>
      </c>
      <c r="N70" s="62"/>
      <c r="O70" s="110"/>
      <c r="Q70" s="644">
        <f>ABS(M70-AF70)</f>
        <v>0</v>
      </c>
      <c r="R70" s="644"/>
      <c r="S70" s="644"/>
      <c r="T70" s="1458"/>
      <c r="U70" s="1459"/>
      <c r="V70" s="787"/>
      <c r="W70" s="784"/>
      <c r="X70" s="788"/>
      <c r="Y70" s="784"/>
      <c r="Z70" s="785"/>
      <c r="AA70" s="786"/>
      <c r="AB70" s="786"/>
      <c r="AC70" s="786"/>
      <c r="AD70" s="786"/>
      <c r="AE70" s="786"/>
      <c r="AF70" s="786"/>
      <c r="AG70" s="785"/>
      <c r="AH70" s="770"/>
      <c r="GW70" s="782"/>
      <c r="HL70" s="758"/>
    </row>
    <row r="71" spans="1:220" ht="12" customHeight="1">
      <c r="A71" s="1092"/>
      <c r="B71" s="1092"/>
      <c r="C71" s="2" t="s">
        <v>3999</v>
      </c>
      <c r="D71" s="2"/>
      <c r="E71" s="149"/>
      <c r="F71" s="2"/>
      <c r="G71" s="44"/>
      <c r="H71" s="15"/>
      <c r="I71" s="15"/>
      <c r="J71" s="15"/>
      <c r="K71" s="15"/>
      <c r="L71" s="15"/>
      <c r="M71" s="15"/>
      <c r="O71" s="110"/>
      <c r="Q71" s="644"/>
      <c r="R71" s="644"/>
      <c r="S71" s="644"/>
      <c r="T71" s="472" t="str">
        <f>C71</f>
        <v>Type of Construction Activity</v>
      </c>
      <c r="U71" s="206"/>
      <c r="V71" s="784"/>
      <c r="W71" s="784"/>
      <c r="X71" s="788"/>
      <c r="Y71" s="784"/>
      <c r="Z71" s="785"/>
      <c r="AA71" s="784"/>
      <c r="AB71" s="784"/>
      <c r="AC71" s="784"/>
      <c r="AD71" s="784"/>
      <c r="AE71" s="784"/>
      <c r="AF71" s="784"/>
      <c r="AG71" s="781"/>
      <c r="AH71" s="770"/>
      <c r="GW71" s="782"/>
      <c r="HL71" s="758"/>
    </row>
    <row r="72" spans="1:220" ht="12" customHeight="1">
      <c r="A72" s="1092"/>
      <c r="B72" s="1092"/>
      <c r="C72" s="2"/>
      <c r="D72" s="2"/>
      <c r="E72" s="136" t="s">
        <v>936</v>
      </c>
      <c r="F72" s="2"/>
      <c r="G72" s="44" t="s">
        <v>2032</v>
      </c>
      <c r="H72" s="380">
        <f>DC48</f>
        <v>0</v>
      </c>
      <c r="I72" s="380">
        <f>DD48</f>
        <v>64</v>
      </c>
      <c r="J72" s="380">
        <f>DE48</f>
        <v>19</v>
      </c>
      <c r="K72" s="380">
        <f>DF48</f>
        <v>0</v>
      </c>
      <c r="L72" s="380">
        <f>DG48</f>
        <v>0</v>
      </c>
      <c r="M72" s="380">
        <f t="shared" ref="M72:M82" si="213">SUM(H72:L72)</f>
        <v>83</v>
      </c>
      <c r="N72" s="31"/>
      <c r="O72" s="110"/>
      <c r="Q72" s="644">
        <f t="shared" ref="Q72:Q80" si="214">ABS(M72-AF72)</f>
        <v>83</v>
      </c>
      <c r="R72" s="644"/>
      <c r="S72" s="644"/>
      <c r="T72" s="1453"/>
      <c r="U72" s="1454"/>
      <c r="V72" s="784"/>
      <c r="W72" s="784"/>
      <c r="X72" s="788"/>
      <c r="Y72" s="784"/>
      <c r="Z72" s="785"/>
      <c r="AA72" s="786"/>
      <c r="AB72" s="786"/>
      <c r="AC72" s="786"/>
      <c r="AD72" s="786"/>
      <c r="AE72" s="786"/>
      <c r="AF72" s="786"/>
      <c r="AG72" s="781"/>
      <c r="FY72" s="758"/>
      <c r="FZ72" s="758"/>
      <c r="GA72" s="758"/>
      <c r="GB72" s="758"/>
      <c r="GC72" s="758"/>
      <c r="GD72" s="758"/>
      <c r="GE72" s="758"/>
      <c r="GF72" s="758"/>
      <c r="GG72" s="758"/>
      <c r="GH72" s="758"/>
      <c r="GI72" s="758"/>
      <c r="GJ72" s="758"/>
      <c r="GK72" s="758"/>
      <c r="GL72" s="758"/>
      <c r="GM72" s="758"/>
      <c r="GN72" s="758"/>
      <c r="GO72" s="758"/>
      <c r="GW72" s="782"/>
      <c r="HL72" s="758"/>
    </row>
    <row r="73" spans="1:220" ht="12" customHeight="1">
      <c r="A73" s="1092"/>
      <c r="B73" s="1092"/>
      <c r="C73" s="2"/>
      <c r="D73" s="2"/>
      <c r="E73" s="149"/>
      <c r="F73" s="2"/>
      <c r="G73" s="44" t="s">
        <v>3724</v>
      </c>
      <c r="H73" s="384">
        <f>DH48</f>
        <v>0</v>
      </c>
      <c r="I73" s="384">
        <f>DI48</f>
        <v>5</v>
      </c>
      <c r="J73" s="384">
        <f>DJ48</f>
        <v>3</v>
      </c>
      <c r="K73" s="384">
        <f>DK48</f>
        <v>0</v>
      </c>
      <c r="L73" s="384">
        <f>DL48</f>
        <v>0</v>
      </c>
      <c r="M73" s="384">
        <f t="shared" si="213"/>
        <v>8</v>
      </c>
      <c r="N73" s="65"/>
      <c r="O73" s="110"/>
      <c r="Q73" s="644">
        <f t="shared" si="214"/>
        <v>8</v>
      </c>
      <c r="R73" s="644"/>
      <c r="S73" s="644"/>
      <c r="T73" s="1455"/>
      <c r="U73" s="1456"/>
      <c r="V73" s="784"/>
      <c r="W73" s="784"/>
      <c r="X73" s="788"/>
      <c r="Y73" s="784"/>
      <c r="Z73" s="785"/>
      <c r="AA73" s="786"/>
      <c r="AB73" s="786"/>
      <c r="AC73" s="786"/>
      <c r="AD73" s="786"/>
      <c r="AE73" s="786"/>
      <c r="AF73" s="786"/>
      <c r="AG73" s="755"/>
      <c r="AH73" s="770"/>
      <c r="GW73" s="782"/>
      <c r="HL73" s="758"/>
    </row>
    <row r="74" spans="1:220" ht="12" customHeight="1">
      <c r="A74" s="1092"/>
      <c r="B74" s="1092"/>
      <c r="C74" s="5"/>
      <c r="D74" s="2"/>
      <c r="E74" s="149"/>
      <c r="F74" s="2"/>
      <c r="G74" s="44" t="s">
        <v>4105</v>
      </c>
      <c r="H74" s="382">
        <f>SUM(H72:H73)+DM48</f>
        <v>0</v>
      </c>
      <c r="I74" s="382">
        <f>SUM(I72:I73)+DN48</f>
        <v>69</v>
      </c>
      <c r="J74" s="382">
        <f>SUM(J72:J73)+DO48</f>
        <v>22</v>
      </c>
      <c r="K74" s="382">
        <f>SUM(K72:K73)+DP48</f>
        <v>0</v>
      </c>
      <c r="L74" s="382">
        <f>SUM(L72:L73)+DQ48</f>
        <v>0</v>
      </c>
      <c r="M74" s="382">
        <f t="shared" si="213"/>
        <v>91</v>
      </c>
      <c r="N74" s="62"/>
      <c r="O74" s="110"/>
      <c r="Q74" s="644">
        <f t="shared" si="214"/>
        <v>91</v>
      </c>
      <c r="R74" s="644"/>
      <c r="S74" s="644"/>
      <c r="T74" s="1455"/>
      <c r="U74" s="1456"/>
      <c r="V74" s="787"/>
      <c r="W74" s="784"/>
      <c r="X74" s="788"/>
      <c r="Y74" s="784"/>
      <c r="Z74" s="789"/>
      <c r="AA74" s="786"/>
      <c r="AB74" s="786"/>
      <c r="AC74" s="786"/>
      <c r="AD74" s="786"/>
      <c r="AE74" s="786"/>
      <c r="AF74" s="786"/>
      <c r="AG74" s="785"/>
      <c r="AH74" s="770"/>
      <c r="GW74" s="782"/>
      <c r="HL74" s="758"/>
    </row>
    <row r="75" spans="1:220" ht="12" customHeight="1">
      <c r="A75" s="1092"/>
      <c r="B75" s="1092"/>
      <c r="C75" s="2"/>
      <c r="D75" s="2"/>
      <c r="E75" s="136" t="s">
        <v>963</v>
      </c>
      <c r="F75" s="2"/>
      <c r="G75" s="44" t="s">
        <v>2032</v>
      </c>
      <c r="H75" s="380">
        <f>DR48</f>
        <v>0</v>
      </c>
      <c r="I75" s="380">
        <f>DS48</f>
        <v>0</v>
      </c>
      <c r="J75" s="380">
        <f>DT48</f>
        <v>0</v>
      </c>
      <c r="K75" s="380">
        <f>DU48</f>
        <v>0</v>
      </c>
      <c r="L75" s="380">
        <f>DV48</f>
        <v>0</v>
      </c>
      <c r="M75" s="380">
        <f t="shared" si="213"/>
        <v>0</v>
      </c>
      <c r="N75" s="31"/>
      <c r="O75" s="110"/>
      <c r="Q75" s="644">
        <f t="shared" si="214"/>
        <v>0</v>
      </c>
      <c r="R75" s="644"/>
      <c r="S75" s="644"/>
      <c r="T75" s="1455"/>
      <c r="U75" s="1456"/>
      <c r="V75" s="784"/>
      <c r="W75" s="784"/>
      <c r="X75" s="788"/>
      <c r="Y75" s="784"/>
      <c r="Z75" s="785"/>
      <c r="AA75" s="786"/>
      <c r="AB75" s="786"/>
      <c r="AC75" s="786"/>
      <c r="AD75" s="786"/>
      <c r="AE75" s="786"/>
      <c r="AF75" s="786"/>
      <c r="AG75" s="781"/>
      <c r="FY75" s="758"/>
      <c r="FZ75" s="758"/>
      <c r="GA75" s="758"/>
      <c r="GB75" s="758"/>
      <c r="GC75" s="758"/>
      <c r="GD75" s="758"/>
      <c r="GE75" s="758"/>
      <c r="GF75" s="758"/>
      <c r="GG75" s="758"/>
      <c r="GH75" s="758"/>
      <c r="GI75" s="758"/>
      <c r="GJ75" s="758"/>
      <c r="GK75" s="758"/>
      <c r="GL75" s="758"/>
      <c r="GM75" s="758"/>
      <c r="GN75" s="758"/>
      <c r="GO75" s="758"/>
      <c r="GW75" s="782"/>
      <c r="HL75" s="758"/>
    </row>
    <row r="76" spans="1:220" ht="12" customHeight="1">
      <c r="C76" s="2"/>
      <c r="D76" s="2"/>
      <c r="E76" s="149"/>
      <c r="F76" s="2"/>
      <c r="G76" s="44" t="s">
        <v>3724</v>
      </c>
      <c r="H76" s="384">
        <f>DW48</f>
        <v>0</v>
      </c>
      <c r="I76" s="384">
        <f>DX48</f>
        <v>0</v>
      </c>
      <c r="J76" s="384">
        <f>DY48</f>
        <v>0</v>
      </c>
      <c r="K76" s="384">
        <f>DZ48</f>
        <v>0</v>
      </c>
      <c r="L76" s="384">
        <f>EA48</f>
        <v>0</v>
      </c>
      <c r="M76" s="384">
        <f t="shared" si="213"/>
        <v>0</v>
      </c>
      <c r="N76" s="65"/>
      <c r="O76" s="110"/>
      <c r="Q76" s="644">
        <f t="shared" si="214"/>
        <v>0</v>
      </c>
      <c r="R76" s="644"/>
      <c r="S76" s="644"/>
      <c r="T76" s="1455"/>
      <c r="U76" s="1456"/>
      <c r="V76" s="784"/>
      <c r="W76" s="784"/>
      <c r="X76" s="788"/>
      <c r="Y76" s="784"/>
      <c r="Z76" s="785"/>
      <c r="AA76" s="786"/>
      <c r="AB76" s="786"/>
      <c r="AC76" s="786"/>
      <c r="AD76" s="786"/>
      <c r="AE76" s="786"/>
      <c r="AF76" s="786"/>
      <c r="AG76" s="755"/>
      <c r="AH76" s="770"/>
      <c r="GW76" s="782"/>
      <c r="HL76" s="758"/>
    </row>
    <row r="77" spans="1:220" ht="12" customHeight="1">
      <c r="C77" s="5"/>
      <c r="D77" s="2"/>
      <c r="E77" s="149"/>
      <c r="F77" s="2"/>
      <c r="G77" s="44" t="s">
        <v>4105</v>
      </c>
      <c r="H77" s="382">
        <f>SUM(H75:H76)+EB48</f>
        <v>0</v>
      </c>
      <c r="I77" s="382">
        <f>SUM(I75:I76)+EC48</f>
        <v>0</v>
      </c>
      <c r="J77" s="382">
        <f>SUM(J75:J76)+ED48</f>
        <v>0</v>
      </c>
      <c r="K77" s="382">
        <f>SUM(K75:K76)+EE48</f>
        <v>0</v>
      </c>
      <c r="L77" s="382">
        <f>SUM(L75:L76)+EF48</f>
        <v>0</v>
      </c>
      <c r="M77" s="382">
        <f t="shared" si="213"/>
        <v>0</v>
      </c>
      <c r="N77" s="62"/>
      <c r="O77" s="110"/>
      <c r="Q77" s="644">
        <f t="shared" si="214"/>
        <v>0</v>
      </c>
      <c r="R77" s="644"/>
      <c r="S77" s="644"/>
      <c r="T77" s="1455"/>
      <c r="U77" s="1456"/>
      <c r="V77" s="787"/>
      <c r="W77" s="784"/>
      <c r="X77" s="788"/>
      <c r="Y77" s="784"/>
      <c r="Z77" s="789"/>
      <c r="AA77" s="786"/>
      <c r="AB77" s="786"/>
      <c r="AC77" s="786"/>
      <c r="AD77" s="786"/>
      <c r="AE77" s="786"/>
      <c r="AF77" s="786"/>
      <c r="AG77" s="785"/>
      <c r="AH77" s="770"/>
      <c r="GW77" s="782"/>
      <c r="HL77" s="758"/>
    </row>
    <row r="78" spans="1:220" ht="12" customHeight="1">
      <c r="C78" s="2"/>
      <c r="D78" s="2"/>
      <c r="E78" s="1090" t="s">
        <v>2115</v>
      </c>
      <c r="F78" s="1090"/>
      <c r="G78" s="44" t="s">
        <v>2032</v>
      </c>
      <c r="H78" s="380">
        <f>EG48</f>
        <v>0</v>
      </c>
      <c r="I78" s="380">
        <f>EH48</f>
        <v>0</v>
      </c>
      <c r="J78" s="380">
        <f>EI48</f>
        <v>0</v>
      </c>
      <c r="K78" s="380">
        <f>EJ48</f>
        <v>0</v>
      </c>
      <c r="L78" s="380">
        <f>EK48</f>
        <v>0</v>
      </c>
      <c r="M78" s="380">
        <f t="shared" si="213"/>
        <v>0</v>
      </c>
      <c r="N78" s="31"/>
      <c r="O78" s="110"/>
      <c r="Q78" s="644">
        <f t="shared" si="214"/>
        <v>0</v>
      </c>
      <c r="R78" s="644"/>
      <c r="S78" s="644"/>
      <c r="T78" s="1455"/>
      <c r="U78" s="1456"/>
      <c r="V78" s="784"/>
      <c r="W78" s="784"/>
      <c r="X78" s="788"/>
      <c r="Y78" s="784"/>
      <c r="Z78" s="785"/>
      <c r="AA78" s="786"/>
      <c r="AB78" s="786"/>
      <c r="AC78" s="786"/>
      <c r="AD78" s="786"/>
      <c r="AE78" s="786"/>
      <c r="AF78" s="786"/>
      <c r="AG78" s="781"/>
      <c r="FY78" s="758"/>
      <c r="FZ78" s="758"/>
      <c r="GA78" s="758"/>
      <c r="GB78" s="758"/>
      <c r="GC78" s="758"/>
      <c r="GD78" s="758"/>
      <c r="GE78" s="758"/>
      <c r="GF78" s="758"/>
      <c r="GG78" s="758"/>
      <c r="GH78" s="758"/>
      <c r="GI78" s="758"/>
      <c r="GJ78" s="758"/>
      <c r="GK78" s="758"/>
      <c r="GL78" s="758"/>
      <c r="GM78" s="758"/>
      <c r="GN78" s="758"/>
      <c r="GO78" s="758"/>
      <c r="GW78" s="782"/>
      <c r="HL78" s="758"/>
    </row>
    <row r="79" spans="1:220" ht="12" customHeight="1">
      <c r="C79" s="2"/>
      <c r="D79" s="2"/>
      <c r="E79" s="1090"/>
      <c r="F79" s="1090"/>
      <c r="G79" s="44" t="s">
        <v>3724</v>
      </c>
      <c r="H79" s="384">
        <f>EL48</f>
        <v>0</v>
      </c>
      <c r="I79" s="384">
        <f>EM48</f>
        <v>0</v>
      </c>
      <c r="J79" s="384">
        <f>EN48</f>
        <v>0</v>
      </c>
      <c r="K79" s="384">
        <f>EO48</f>
        <v>0</v>
      </c>
      <c r="L79" s="384">
        <f>EP48</f>
        <v>0</v>
      </c>
      <c r="M79" s="384">
        <f t="shared" si="213"/>
        <v>0</v>
      </c>
      <c r="N79" s="65"/>
      <c r="O79" s="110"/>
      <c r="Q79" s="644">
        <f t="shared" si="214"/>
        <v>0</v>
      </c>
      <c r="R79" s="644"/>
      <c r="S79" s="644"/>
      <c r="T79" s="1455"/>
      <c r="U79" s="1456"/>
      <c r="V79" s="784"/>
      <c r="W79" s="784"/>
      <c r="X79" s="784"/>
      <c r="Y79" s="784"/>
      <c r="Z79" s="785"/>
      <c r="AA79" s="786"/>
      <c r="AB79" s="786"/>
      <c r="AC79" s="786"/>
      <c r="AD79" s="786"/>
      <c r="AE79" s="786"/>
      <c r="AF79" s="786"/>
      <c r="AG79" s="755"/>
      <c r="AH79" s="770"/>
      <c r="GW79" s="782"/>
      <c r="HL79" s="758"/>
    </row>
    <row r="80" spans="1:220" ht="12" customHeight="1">
      <c r="C80" s="5"/>
      <c r="D80" s="2"/>
      <c r="E80" s="149"/>
      <c r="F80" s="2"/>
      <c r="G80" s="44" t="s">
        <v>4105</v>
      </c>
      <c r="H80" s="382">
        <f>SUM(H78:H79)+EQ48</f>
        <v>0</v>
      </c>
      <c r="I80" s="382">
        <f>SUM(I78:I79)+ER48</f>
        <v>0</v>
      </c>
      <c r="J80" s="382">
        <f>SUM(J78:J79)+ES48</f>
        <v>0</v>
      </c>
      <c r="K80" s="382">
        <f>SUM(K78:K79)+ET48</f>
        <v>0</v>
      </c>
      <c r="L80" s="382">
        <f>SUM(L78:L79)+EU48</f>
        <v>0</v>
      </c>
      <c r="M80" s="382">
        <f t="shared" si="213"/>
        <v>0</v>
      </c>
      <c r="N80" s="62"/>
      <c r="O80" s="110"/>
      <c r="Q80" s="644">
        <f t="shared" si="214"/>
        <v>0</v>
      </c>
      <c r="R80" s="644"/>
      <c r="S80" s="644"/>
      <c r="T80" s="1455"/>
      <c r="U80" s="1456"/>
      <c r="V80" s="787"/>
      <c r="W80" s="784"/>
      <c r="X80" s="788"/>
      <c r="Y80" s="784"/>
      <c r="Z80" s="789"/>
      <c r="AA80" s="786"/>
      <c r="AB80" s="786"/>
      <c r="AC80" s="786"/>
      <c r="AD80" s="786"/>
      <c r="AE80" s="786"/>
      <c r="AF80" s="786"/>
      <c r="AG80" s="785"/>
      <c r="AH80" s="770"/>
      <c r="GW80" s="782"/>
      <c r="HL80" s="758"/>
    </row>
    <row r="81" spans="1:220" ht="12" customHeight="1">
      <c r="C81" s="2"/>
      <c r="D81" s="2"/>
      <c r="E81" s="149" t="s">
        <v>3663</v>
      </c>
      <c r="F81" s="2"/>
      <c r="G81" s="44"/>
      <c r="H81" s="1528"/>
      <c r="I81" s="1528"/>
      <c r="J81" s="1528"/>
      <c r="K81" s="1528"/>
      <c r="L81" s="1528"/>
      <c r="M81" s="380">
        <f t="shared" si="213"/>
        <v>0</v>
      </c>
      <c r="N81" s="31"/>
      <c r="O81" s="110"/>
      <c r="T81" s="1455"/>
      <c r="U81" s="1456"/>
      <c r="V81" s="784"/>
      <c r="W81" s="784"/>
      <c r="X81" s="784"/>
      <c r="Y81" s="784"/>
      <c r="Z81" s="785"/>
      <c r="AA81" s="786"/>
      <c r="AB81" s="786"/>
      <c r="AC81" s="786"/>
      <c r="AD81" s="786"/>
      <c r="AE81" s="786"/>
      <c r="AF81" s="786"/>
      <c r="AG81" s="755"/>
      <c r="AH81" s="770"/>
      <c r="GW81" s="782"/>
      <c r="HL81" s="758"/>
    </row>
    <row r="82" spans="1:220" ht="12" customHeight="1">
      <c r="C82" s="2"/>
      <c r="D82" s="2"/>
      <c r="E82" s="149" t="s">
        <v>3664</v>
      </c>
      <c r="F82" s="2"/>
      <c r="G82" s="44"/>
      <c r="H82" s="1529"/>
      <c r="I82" s="1529"/>
      <c r="J82" s="1529"/>
      <c r="K82" s="1529"/>
      <c r="L82" s="1529"/>
      <c r="M82" s="384">
        <f t="shared" si="213"/>
        <v>0</v>
      </c>
      <c r="N82" s="65"/>
      <c r="O82" s="110"/>
      <c r="T82" s="1458"/>
      <c r="U82" s="1459"/>
      <c r="V82" s="784"/>
      <c r="W82" s="784"/>
      <c r="X82" s="784"/>
      <c r="Y82" s="784"/>
      <c r="Z82" s="785"/>
      <c r="AA82" s="786"/>
      <c r="AB82" s="786"/>
      <c r="AC82" s="786"/>
      <c r="AD82" s="786"/>
      <c r="AE82" s="786"/>
      <c r="AF82" s="786"/>
      <c r="AG82" s="755"/>
      <c r="AH82" s="770"/>
      <c r="GW82" s="782"/>
      <c r="HL82" s="758"/>
    </row>
    <row r="83" spans="1:220" ht="12" customHeight="1">
      <c r="C83" s="2" t="s">
        <v>4000</v>
      </c>
      <c r="D83" s="2"/>
      <c r="E83" s="149"/>
      <c r="F83" s="2"/>
      <c r="G83" s="44"/>
      <c r="H83" s="15"/>
      <c r="I83" s="15"/>
      <c r="J83" s="15"/>
      <c r="K83" s="15"/>
      <c r="L83" s="15"/>
      <c r="M83" s="15"/>
      <c r="O83" s="110"/>
      <c r="Q83" s="644"/>
      <c r="R83" s="644"/>
      <c r="S83" s="644"/>
      <c r="T83" s="472" t="str">
        <f>C83</f>
        <v>Building Type:</v>
      </c>
      <c r="U83" s="206"/>
      <c r="V83" s="770"/>
      <c r="W83" s="770"/>
      <c r="X83" s="775"/>
      <c r="Y83" s="770"/>
      <c r="Z83" s="785"/>
      <c r="AA83" s="784"/>
      <c r="AB83" s="784"/>
      <c r="AC83" s="784"/>
      <c r="AD83" s="784"/>
      <c r="AE83" s="784"/>
      <c r="AF83" s="784"/>
      <c r="AG83" s="781"/>
      <c r="AH83" s="770"/>
      <c r="GW83" s="782"/>
      <c r="HL83" s="758"/>
    </row>
    <row r="84" spans="1:220" ht="12" customHeight="1">
      <c r="C84" s="2"/>
      <c r="D84" s="2"/>
      <c r="E84" s="136" t="s">
        <v>4001</v>
      </c>
      <c r="F84" s="2"/>
      <c r="G84" s="44"/>
      <c r="H84" s="380">
        <f>SUM(H85:H88)</f>
        <v>0</v>
      </c>
      <c r="I84" s="380">
        <f t="shared" ref="I84:L84" si="215">SUM(I85:I88)</f>
        <v>69</v>
      </c>
      <c r="J84" s="380">
        <f t="shared" si="215"/>
        <v>22</v>
      </c>
      <c r="K84" s="380">
        <f t="shared" si="215"/>
        <v>0</v>
      </c>
      <c r="L84" s="380">
        <f t="shared" si="215"/>
        <v>0</v>
      </c>
      <c r="M84" s="380">
        <f>SUM(H84:L84)</f>
        <v>91</v>
      </c>
      <c r="N84" s="31"/>
      <c r="O84" s="110"/>
      <c r="Q84" s="644">
        <f>ABS(M84-AF84)</f>
        <v>91</v>
      </c>
      <c r="R84" s="644"/>
      <c r="S84" s="644"/>
      <c r="T84" s="1453"/>
      <c r="U84" s="1454"/>
      <c r="V84" s="770"/>
      <c r="W84" s="770"/>
      <c r="X84" s="788"/>
      <c r="Y84" s="770"/>
      <c r="Z84" s="785"/>
      <c r="AA84" s="786"/>
      <c r="AB84" s="786"/>
      <c r="AC84" s="786"/>
      <c r="AD84" s="786"/>
      <c r="AE84" s="786"/>
      <c r="AF84" s="786"/>
      <c r="AG84" s="781"/>
      <c r="FY84" s="758"/>
      <c r="FZ84" s="758"/>
      <c r="GA84" s="758"/>
      <c r="GB84" s="758"/>
      <c r="GC84" s="758"/>
      <c r="GD84" s="758"/>
      <c r="GE84" s="758"/>
      <c r="GF84" s="758"/>
      <c r="GG84" s="758"/>
      <c r="GH84" s="758"/>
      <c r="GI84" s="758"/>
      <c r="GJ84" s="758"/>
      <c r="GK84" s="758"/>
      <c r="GL84" s="758"/>
      <c r="GM84" s="758"/>
      <c r="GN84" s="758"/>
      <c r="GO84" s="758"/>
      <c r="GW84" s="782"/>
      <c r="HL84" s="758"/>
    </row>
    <row r="85" spans="1:220" ht="12" customHeight="1">
      <c r="C85" s="2"/>
      <c r="D85" s="2"/>
      <c r="E85" s="136"/>
      <c r="F85" s="2"/>
      <c r="G85" s="44" t="s">
        <v>508</v>
      </c>
      <c r="H85" s="383">
        <f>FU48</f>
        <v>0</v>
      </c>
      <c r="I85" s="383">
        <f t="shared" ref="I85:L85" si="216">FV48</f>
        <v>0</v>
      </c>
      <c r="J85" s="383">
        <f t="shared" si="216"/>
        <v>0</v>
      </c>
      <c r="K85" s="383">
        <f t="shared" si="216"/>
        <v>0</v>
      </c>
      <c r="L85" s="383">
        <f t="shared" si="216"/>
        <v>0</v>
      </c>
      <c r="M85" s="381">
        <f t="shared" ref="M85:M88" si="217">SUM(H85:L85)</f>
        <v>0</v>
      </c>
      <c r="N85" s="31"/>
      <c r="O85" s="110"/>
      <c r="Q85" s="644"/>
      <c r="R85" s="644"/>
      <c r="S85" s="644"/>
      <c r="T85" s="1455"/>
      <c r="U85" s="1456"/>
      <c r="V85" s="770"/>
      <c r="W85" s="770"/>
      <c r="X85" s="788"/>
      <c r="Y85" s="770"/>
      <c r="Z85" s="785"/>
      <c r="AA85" s="786"/>
      <c r="AB85" s="786"/>
      <c r="AC85" s="786"/>
      <c r="AD85" s="786"/>
      <c r="AE85" s="786"/>
      <c r="AF85" s="786"/>
      <c r="AG85" s="781"/>
      <c r="FY85" s="758"/>
      <c r="FZ85" s="758"/>
      <c r="GA85" s="758"/>
      <c r="GB85" s="758"/>
      <c r="GC85" s="758"/>
      <c r="GD85" s="758"/>
      <c r="GE85" s="758"/>
      <c r="GF85" s="758"/>
      <c r="GG85" s="758"/>
      <c r="GH85" s="758"/>
      <c r="GI85" s="758"/>
      <c r="GJ85" s="758"/>
      <c r="GK85" s="758"/>
      <c r="GL85" s="758"/>
      <c r="GM85" s="758"/>
      <c r="GN85" s="758"/>
      <c r="GO85" s="758"/>
      <c r="GW85" s="782"/>
      <c r="HL85" s="758"/>
    </row>
    <row r="86" spans="1:220" ht="12" customHeight="1">
      <c r="C86" s="2"/>
      <c r="D86" s="2"/>
      <c r="E86" s="136"/>
      <c r="F86" s="2"/>
      <c r="G86" s="44" t="s">
        <v>509</v>
      </c>
      <c r="H86" s="383">
        <f>FZ48</f>
        <v>0</v>
      </c>
      <c r="I86" s="383">
        <f t="shared" ref="I86:L86" si="218">GA48</f>
        <v>0</v>
      </c>
      <c r="J86" s="383">
        <f t="shared" si="218"/>
        <v>0</v>
      </c>
      <c r="K86" s="383">
        <f t="shared" si="218"/>
        <v>0</v>
      </c>
      <c r="L86" s="383">
        <f t="shared" si="218"/>
        <v>0</v>
      </c>
      <c r="M86" s="381">
        <f t="shared" si="217"/>
        <v>0</v>
      </c>
      <c r="N86" s="31"/>
      <c r="O86" s="110"/>
      <c r="Q86" s="644"/>
      <c r="R86" s="644"/>
      <c r="S86" s="644"/>
      <c r="T86" s="1455"/>
      <c r="U86" s="1456"/>
      <c r="V86" s="770"/>
      <c r="W86" s="770"/>
      <c r="X86" s="788"/>
      <c r="Y86" s="770"/>
      <c r="Z86" s="785"/>
      <c r="AA86" s="786"/>
      <c r="AB86" s="786"/>
      <c r="AC86" s="786"/>
      <c r="AD86" s="786"/>
      <c r="AE86" s="786"/>
      <c r="AF86" s="786"/>
      <c r="AG86" s="781"/>
      <c r="FY86" s="758"/>
      <c r="FZ86" s="758"/>
      <c r="GA86" s="758"/>
      <c r="GB86" s="758"/>
      <c r="GC86" s="758"/>
      <c r="GD86" s="758"/>
      <c r="GE86" s="758"/>
      <c r="GF86" s="758"/>
      <c r="GG86" s="758"/>
      <c r="GH86" s="758"/>
      <c r="GI86" s="758"/>
      <c r="GJ86" s="758"/>
      <c r="GK86" s="758"/>
      <c r="GL86" s="758"/>
      <c r="GM86" s="758"/>
      <c r="GN86" s="758"/>
      <c r="GO86" s="758"/>
      <c r="GW86" s="782"/>
      <c r="HL86" s="758"/>
    </row>
    <row r="87" spans="1:220" ht="12" customHeight="1">
      <c r="C87" s="2"/>
      <c r="D87" s="2"/>
      <c r="E87" s="136"/>
      <c r="F87" s="2"/>
      <c r="G87" s="44" t="s">
        <v>511</v>
      </c>
      <c r="H87" s="383">
        <f>GE48</f>
        <v>0</v>
      </c>
      <c r="I87" s="383">
        <f t="shared" ref="I87:L87" si="219">GF48</f>
        <v>0</v>
      </c>
      <c r="J87" s="383">
        <f t="shared" si="219"/>
        <v>0</v>
      </c>
      <c r="K87" s="383">
        <f t="shared" si="219"/>
        <v>0</v>
      </c>
      <c r="L87" s="383">
        <f t="shared" si="219"/>
        <v>0</v>
      </c>
      <c r="M87" s="381">
        <f t="shared" si="217"/>
        <v>0</v>
      </c>
      <c r="N87" s="31"/>
      <c r="O87" s="110"/>
      <c r="Q87" s="644"/>
      <c r="R87" s="644"/>
      <c r="S87" s="644"/>
      <c r="T87" s="1455"/>
      <c r="U87" s="1456"/>
      <c r="V87" s="770"/>
      <c r="W87" s="770"/>
      <c r="X87" s="788"/>
      <c r="Y87" s="770"/>
      <c r="Z87" s="785"/>
      <c r="AA87" s="786"/>
      <c r="AB87" s="786"/>
      <c r="AC87" s="786"/>
      <c r="AD87" s="786"/>
      <c r="AE87" s="786"/>
      <c r="AF87" s="786"/>
      <c r="AG87" s="781"/>
      <c r="FY87" s="758"/>
      <c r="FZ87" s="758"/>
      <c r="GA87" s="758"/>
      <c r="GB87" s="758"/>
      <c r="GC87" s="758"/>
      <c r="GD87" s="758"/>
      <c r="GE87" s="758"/>
      <c r="GF87" s="758"/>
      <c r="GG87" s="758"/>
      <c r="GH87" s="758"/>
      <c r="GI87" s="758"/>
      <c r="GJ87" s="758"/>
      <c r="GK87" s="758"/>
      <c r="GL87" s="758"/>
      <c r="GM87" s="758"/>
      <c r="GN87" s="758"/>
      <c r="GO87" s="758"/>
      <c r="GW87" s="782"/>
      <c r="HL87" s="758"/>
    </row>
    <row r="88" spans="1:220" ht="12" customHeight="1">
      <c r="C88" s="2"/>
      <c r="D88" s="2"/>
      <c r="E88" s="136"/>
      <c r="F88" s="2"/>
      <c r="G88" s="44" t="s">
        <v>510</v>
      </c>
      <c r="H88" s="383">
        <f>GJ48</f>
        <v>0</v>
      </c>
      <c r="I88" s="383">
        <f t="shared" ref="I88:L88" si="220">GK48</f>
        <v>69</v>
      </c>
      <c r="J88" s="383">
        <f t="shared" si="220"/>
        <v>22</v>
      </c>
      <c r="K88" s="383">
        <f t="shared" si="220"/>
        <v>0</v>
      </c>
      <c r="L88" s="383">
        <f t="shared" si="220"/>
        <v>0</v>
      </c>
      <c r="M88" s="383">
        <f t="shared" si="217"/>
        <v>91</v>
      </c>
      <c r="N88" s="31"/>
      <c r="O88" s="110"/>
      <c r="Q88" s="644"/>
      <c r="R88" s="644"/>
      <c r="S88" s="644"/>
      <c r="T88" s="1455"/>
      <c r="U88" s="1456"/>
      <c r="V88" s="770"/>
      <c r="W88" s="770"/>
      <c r="X88" s="788"/>
      <c r="Y88" s="770"/>
      <c r="Z88" s="785"/>
      <c r="AA88" s="786"/>
      <c r="AB88" s="786"/>
      <c r="AC88" s="786"/>
      <c r="AD88" s="786"/>
      <c r="AE88" s="786"/>
      <c r="AF88" s="786"/>
      <c r="AG88" s="781"/>
      <c r="FY88" s="758"/>
      <c r="FZ88" s="758"/>
      <c r="GA88" s="758"/>
      <c r="GB88" s="758"/>
      <c r="GC88" s="758"/>
      <c r="GD88" s="758"/>
      <c r="GE88" s="758"/>
      <c r="GF88" s="758"/>
      <c r="GG88" s="758"/>
      <c r="GH88" s="758"/>
      <c r="GI88" s="758"/>
      <c r="GJ88" s="758"/>
      <c r="GK88" s="758"/>
      <c r="GL88" s="758"/>
      <c r="GM88" s="758"/>
      <c r="GN88" s="758"/>
      <c r="GO88" s="758"/>
      <c r="GW88" s="782"/>
      <c r="HL88" s="758"/>
    </row>
    <row r="89" spans="1:220" ht="12" customHeight="1">
      <c r="C89" s="2"/>
      <c r="D89" s="2"/>
      <c r="E89" s="136" t="s">
        <v>4002</v>
      </c>
      <c r="F89" s="2"/>
      <c r="G89" s="44"/>
      <c r="H89" s="381">
        <f>FA48</f>
        <v>0</v>
      </c>
      <c r="I89" s="381">
        <f>FB48</f>
        <v>0</v>
      </c>
      <c r="J89" s="381">
        <f>FC48</f>
        <v>0</v>
      </c>
      <c r="K89" s="381">
        <f>FD48</f>
        <v>0</v>
      </c>
      <c r="L89" s="381">
        <f>FE48</f>
        <v>0</v>
      </c>
      <c r="M89" s="381">
        <f>SUM(H89:L89)</f>
        <v>0</v>
      </c>
      <c r="N89" s="65"/>
      <c r="O89" s="110"/>
      <c r="Q89" s="644">
        <f>ABS(M89-AF89)</f>
        <v>0</v>
      </c>
      <c r="R89" s="644"/>
      <c r="S89" s="644"/>
      <c r="T89" s="1455"/>
      <c r="U89" s="1456"/>
      <c r="V89" s="770"/>
      <c r="W89" s="770"/>
      <c r="X89" s="788"/>
      <c r="Y89" s="770"/>
      <c r="Z89" s="785"/>
      <c r="AA89" s="786"/>
      <c r="AB89" s="786"/>
      <c r="AC89" s="786"/>
      <c r="AD89" s="786"/>
      <c r="AE89" s="786"/>
      <c r="AF89" s="786"/>
      <c r="AG89" s="755"/>
      <c r="AH89" s="770"/>
      <c r="GW89" s="782"/>
      <c r="HL89" s="758"/>
    </row>
    <row r="90" spans="1:220" ht="12" customHeight="1">
      <c r="C90" s="2"/>
      <c r="D90" s="2"/>
      <c r="E90" s="136" t="s">
        <v>4003</v>
      </c>
      <c r="F90" s="2"/>
      <c r="G90" s="44"/>
      <c r="H90" s="381">
        <f>FP48</f>
        <v>0</v>
      </c>
      <c r="I90" s="381">
        <f>FQ48</f>
        <v>0</v>
      </c>
      <c r="J90" s="381">
        <f>FR48</f>
        <v>0</v>
      </c>
      <c r="K90" s="381">
        <f>FS48</f>
        <v>0</v>
      </c>
      <c r="L90" s="381">
        <f>FT48</f>
        <v>0</v>
      </c>
      <c r="M90" s="381">
        <f>SUM(H90:L90)</f>
        <v>0</v>
      </c>
      <c r="N90" s="31"/>
      <c r="O90" s="110"/>
      <c r="Q90" s="644">
        <f>ABS(M90-AF90)</f>
        <v>0</v>
      </c>
      <c r="R90" s="644"/>
      <c r="S90" s="644"/>
      <c r="T90" s="1455"/>
      <c r="U90" s="1456"/>
      <c r="V90" s="770"/>
      <c r="W90" s="770"/>
      <c r="X90" s="788"/>
      <c r="Y90" s="770"/>
      <c r="Z90" s="785"/>
      <c r="AA90" s="786"/>
      <c r="AB90" s="786"/>
      <c r="AC90" s="786"/>
      <c r="AD90" s="786"/>
      <c r="AE90" s="786"/>
      <c r="AF90" s="786"/>
      <c r="AG90" s="781"/>
      <c r="FY90" s="758"/>
      <c r="FZ90" s="758"/>
      <c r="GA90" s="758"/>
      <c r="GB90" s="758"/>
      <c r="GC90" s="758"/>
      <c r="GD90" s="758"/>
      <c r="GE90" s="758"/>
      <c r="GF90" s="758"/>
      <c r="GG90" s="758"/>
      <c r="GH90" s="758"/>
      <c r="GI90" s="758"/>
      <c r="GJ90" s="758"/>
      <c r="GK90" s="758"/>
      <c r="GL90" s="758"/>
      <c r="GM90" s="758"/>
      <c r="GN90" s="758"/>
      <c r="GO90" s="758"/>
      <c r="GW90" s="782"/>
      <c r="HL90" s="758"/>
    </row>
    <row r="91" spans="1:220" ht="12" customHeight="1">
      <c r="C91" s="2"/>
      <c r="D91" s="2"/>
      <c r="E91" s="149" t="s">
        <v>3339</v>
      </c>
      <c r="F91" s="2"/>
      <c r="G91" s="44"/>
      <c r="H91" s="381">
        <f>FK48</f>
        <v>0</v>
      </c>
      <c r="I91" s="381">
        <f>FL48</f>
        <v>0</v>
      </c>
      <c r="J91" s="381">
        <f>FM48</f>
        <v>0</v>
      </c>
      <c r="K91" s="381">
        <f>FN48</f>
        <v>0</v>
      </c>
      <c r="L91" s="381">
        <f>FO48</f>
        <v>0</v>
      </c>
      <c r="M91" s="381">
        <f>SUM(H91:L91)</f>
        <v>0</v>
      </c>
      <c r="N91" s="65"/>
      <c r="O91" s="110"/>
      <c r="Q91" s="644">
        <f>ABS(M91-AF91)</f>
        <v>0</v>
      </c>
      <c r="R91" s="644"/>
      <c r="S91" s="644"/>
      <c r="T91" s="1455"/>
      <c r="U91" s="1456"/>
      <c r="V91" s="770"/>
      <c r="W91" s="770"/>
      <c r="X91" s="775"/>
      <c r="Y91" s="770"/>
      <c r="Z91" s="785"/>
      <c r="AA91" s="786"/>
      <c r="AB91" s="786"/>
      <c r="AC91" s="786"/>
      <c r="AD91" s="786"/>
      <c r="AE91" s="786"/>
      <c r="AF91" s="786"/>
      <c r="AG91" s="755"/>
      <c r="AH91" s="770"/>
      <c r="GW91" s="782"/>
      <c r="HL91" s="758"/>
    </row>
    <row r="92" spans="1:220" ht="12" customHeight="1">
      <c r="C92" s="2"/>
      <c r="D92" s="2"/>
      <c r="E92" s="118" t="s">
        <v>3340</v>
      </c>
      <c r="F92" s="2"/>
      <c r="G92" s="44"/>
      <c r="H92" s="384">
        <f>FF48</f>
        <v>0</v>
      </c>
      <c r="I92" s="384">
        <f>FG48</f>
        <v>0</v>
      </c>
      <c r="J92" s="384">
        <f>FH48</f>
        <v>0</v>
      </c>
      <c r="K92" s="384">
        <f>FI48</f>
        <v>0</v>
      </c>
      <c r="L92" s="384">
        <f>FJ48</f>
        <v>0</v>
      </c>
      <c r="M92" s="384">
        <f>SUM(H92:L92)</f>
        <v>0</v>
      </c>
      <c r="N92" s="31"/>
      <c r="O92" s="110"/>
      <c r="Q92" s="644">
        <f>ABS(M92-AF92)</f>
        <v>0</v>
      </c>
      <c r="R92" s="644"/>
      <c r="S92" s="644"/>
      <c r="T92" s="1458"/>
      <c r="U92" s="1459"/>
      <c r="V92" s="770"/>
      <c r="W92" s="770"/>
      <c r="X92" s="773"/>
      <c r="Y92" s="770"/>
      <c r="Z92" s="785"/>
      <c r="AA92" s="786"/>
      <c r="AB92" s="786"/>
      <c r="AC92" s="786"/>
      <c r="AD92" s="786"/>
      <c r="AE92" s="786"/>
      <c r="AF92" s="786"/>
      <c r="AG92" s="781"/>
      <c r="FY92" s="758"/>
      <c r="FZ92" s="758"/>
      <c r="GA92" s="758"/>
      <c r="GB92" s="758"/>
      <c r="GC92" s="758"/>
      <c r="GD92" s="758"/>
      <c r="GE92" s="758"/>
      <c r="GF92" s="758"/>
      <c r="GG92" s="758"/>
      <c r="GH92" s="758"/>
      <c r="GI92" s="758"/>
      <c r="GJ92" s="758"/>
      <c r="GK92" s="758"/>
      <c r="GL92" s="758"/>
      <c r="GM92" s="758"/>
      <c r="GN92" s="758"/>
      <c r="GO92" s="758"/>
      <c r="GW92" s="782"/>
      <c r="HL92" s="758"/>
    </row>
    <row r="93" spans="1:220" ht="12" customHeight="1">
      <c r="A93" s="16"/>
      <c r="B93" s="16" t="s">
        <v>1141</v>
      </c>
      <c r="C93" s="2"/>
      <c r="D93" s="2"/>
      <c r="E93" s="2"/>
      <c r="F93" s="2"/>
      <c r="G93" s="44"/>
      <c r="H93" s="2"/>
      <c r="I93" s="2"/>
      <c r="J93" s="2"/>
      <c r="K93" s="2"/>
      <c r="L93" s="2"/>
      <c r="M93" s="2"/>
      <c r="O93" s="110"/>
      <c r="Q93" s="644"/>
      <c r="R93" s="644"/>
      <c r="S93" s="644"/>
      <c r="T93" s="472" t="str">
        <f>B93</f>
        <v>Unit Square Footage:</v>
      </c>
      <c r="U93" s="643" t="s">
        <v>2396</v>
      </c>
      <c r="V93" s="784"/>
      <c r="W93" s="784"/>
      <c r="X93" s="784"/>
      <c r="Y93" s="784"/>
      <c r="Z93" s="785"/>
      <c r="AA93" s="784"/>
      <c r="AB93" s="784"/>
      <c r="AC93" s="784"/>
      <c r="AD93" s="784"/>
      <c r="AE93" s="784"/>
      <c r="AF93" s="784"/>
      <c r="AG93" s="781"/>
      <c r="AH93" s="770"/>
      <c r="GW93" s="782"/>
      <c r="HL93" s="758"/>
    </row>
    <row r="94" spans="1:220" ht="12" customHeight="1">
      <c r="C94" s="6" t="s">
        <v>962</v>
      </c>
      <c r="D94" s="2"/>
      <c r="E94" s="2"/>
      <c r="F94" s="2"/>
      <c r="G94" s="44" t="s">
        <v>2410</v>
      </c>
      <c r="H94" s="221">
        <f>BY48</f>
        <v>0</v>
      </c>
      <c r="I94" s="221">
        <f>BZ48</f>
        <v>35447.040000000001</v>
      </c>
      <c r="J94" s="221">
        <f>CA48</f>
        <v>15809.44</v>
      </c>
      <c r="K94" s="221">
        <f>CB48</f>
        <v>0</v>
      </c>
      <c r="L94" s="221">
        <f>CC48</f>
        <v>0</v>
      </c>
      <c r="M94" s="221">
        <f t="shared" ref="M94:M100" si="221">SUM(H94:L94)</f>
        <v>51256.480000000003</v>
      </c>
      <c r="O94" s="110"/>
      <c r="Q94" s="644">
        <f t="shared" ref="Q94:Q100" si="222">ABS(M94-AF94)</f>
        <v>51256.480000000003</v>
      </c>
      <c r="R94" s="644"/>
      <c r="S94" s="644"/>
      <c r="T94" s="1453"/>
      <c r="U94" s="1454"/>
      <c r="V94" s="784"/>
      <c r="W94" s="784"/>
      <c r="X94" s="784"/>
      <c r="Y94" s="784"/>
      <c r="Z94" s="785"/>
      <c r="AA94" s="786"/>
      <c r="AB94" s="786"/>
      <c r="AC94" s="786"/>
      <c r="AD94" s="786"/>
      <c r="AE94" s="786"/>
      <c r="AF94" s="786"/>
      <c r="AG94" s="781"/>
      <c r="AH94" s="770"/>
      <c r="GW94" s="782"/>
      <c r="HL94" s="758"/>
    </row>
    <row r="95" spans="1:220" ht="12" customHeight="1">
      <c r="C95" s="5"/>
      <c r="D95" s="2"/>
      <c r="E95" s="2"/>
      <c r="F95" s="2"/>
      <c r="G95" s="44" t="s">
        <v>3991</v>
      </c>
      <c r="H95" s="223">
        <f>CD48</f>
        <v>0</v>
      </c>
      <c r="I95" s="223">
        <f>CE48</f>
        <v>11815.68</v>
      </c>
      <c r="J95" s="223">
        <f>CF48</f>
        <v>2964.27</v>
      </c>
      <c r="K95" s="223">
        <f>CG48</f>
        <v>0</v>
      </c>
      <c r="L95" s="223">
        <f>CH48</f>
        <v>0</v>
      </c>
      <c r="M95" s="223">
        <f t="shared" si="221"/>
        <v>14779.95</v>
      </c>
      <c r="N95" s="6"/>
      <c r="O95" s="110"/>
      <c r="Q95" s="644">
        <f t="shared" si="222"/>
        <v>14779.95</v>
      </c>
      <c r="R95" s="644"/>
      <c r="S95" s="644"/>
      <c r="T95" s="1455"/>
      <c r="U95" s="1456"/>
      <c r="V95" s="787"/>
      <c r="W95" s="784"/>
      <c r="X95" s="784"/>
      <c r="Y95" s="784"/>
      <c r="Z95" s="785"/>
      <c r="AA95" s="786"/>
      <c r="AB95" s="786"/>
      <c r="AC95" s="786"/>
      <c r="AD95" s="786"/>
      <c r="AE95" s="786"/>
      <c r="AF95" s="786"/>
      <c r="AG95" s="784"/>
      <c r="AH95" s="770"/>
      <c r="GW95" s="782"/>
      <c r="HL95" s="758"/>
    </row>
    <row r="96" spans="1:220" ht="12" customHeight="1">
      <c r="C96" s="5"/>
      <c r="D96" s="2"/>
      <c r="E96" s="2"/>
      <c r="F96" s="2"/>
      <c r="G96" s="44" t="s">
        <v>3308</v>
      </c>
      <c r="H96" s="220">
        <f>SUM(H94:H95)</f>
        <v>0</v>
      </c>
      <c r="I96" s="220">
        <f>SUM(I94:I95)</f>
        <v>47262.720000000001</v>
      </c>
      <c r="J96" s="220">
        <f>SUM(J94:J95)</f>
        <v>18773.71</v>
      </c>
      <c r="K96" s="220">
        <f>SUM(K94:K95)</f>
        <v>0</v>
      </c>
      <c r="L96" s="220">
        <f>SUM(L94:L95)</f>
        <v>0</v>
      </c>
      <c r="M96" s="220">
        <f t="shared" si="221"/>
        <v>66036.429999999993</v>
      </c>
      <c r="N96" s="6"/>
      <c r="O96" s="110"/>
      <c r="Q96" s="644">
        <f t="shared" si="222"/>
        <v>66036.429999999993</v>
      </c>
      <c r="R96" s="644"/>
      <c r="S96" s="644"/>
      <c r="T96" s="1455"/>
      <c r="U96" s="1456"/>
      <c r="V96" s="787"/>
      <c r="W96" s="784"/>
      <c r="X96" s="784"/>
      <c r="Y96" s="784"/>
      <c r="Z96" s="785"/>
      <c r="AA96" s="786"/>
      <c r="AB96" s="786"/>
      <c r="AC96" s="786"/>
      <c r="AD96" s="786"/>
      <c r="AE96" s="786"/>
      <c r="AF96" s="786"/>
      <c r="AG96" s="784"/>
      <c r="AH96" s="770"/>
      <c r="GW96" s="782"/>
      <c r="HL96" s="758"/>
    </row>
    <row r="97" spans="1:222" ht="12" customHeight="1">
      <c r="C97" s="2" t="s">
        <v>3724</v>
      </c>
      <c r="D97" s="2"/>
      <c r="E97" s="2"/>
      <c r="F97" s="2"/>
      <c r="G97" s="2"/>
      <c r="H97" s="220">
        <f>CN48</f>
        <v>0</v>
      </c>
      <c r="I97" s="220">
        <f>CO48</f>
        <v>3692.4</v>
      </c>
      <c r="J97" s="220">
        <f>CP48</f>
        <v>2964.27</v>
      </c>
      <c r="K97" s="220">
        <f>CQ48</f>
        <v>0</v>
      </c>
      <c r="L97" s="220">
        <f>CR48</f>
        <v>0</v>
      </c>
      <c r="M97" s="220">
        <f t="shared" si="221"/>
        <v>6656.67</v>
      </c>
      <c r="O97" s="110"/>
      <c r="Q97" s="644">
        <f t="shared" si="222"/>
        <v>6656.67</v>
      </c>
      <c r="R97" s="644"/>
      <c r="S97" s="644"/>
      <c r="T97" s="1455"/>
      <c r="U97" s="1456"/>
      <c r="V97" s="770"/>
      <c r="W97" s="784"/>
      <c r="X97" s="784"/>
      <c r="Y97" s="784"/>
      <c r="Z97" s="784"/>
      <c r="AA97" s="786"/>
      <c r="AB97" s="786"/>
      <c r="AC97" s="786"/>
      <c r="AD97" s="786"/>
      <c r="AE97" s="786"/>
      <c r="AF97" s="786"/>
      <c r="AG97" s="781"/>
      <c r="AH97" s="770"/>
      <c r="GW97" s="782"/>
      <c r="HL97" s="758"/>
    </row>
    <row r="98" spans="1:222" ht="12" customHeight="1">
      <c r="C98" s="6" t="s">
        <v>2398</v>
      </c>
      <c r="D98" s="2"/>
      <c r="E98" s="2"/>
      <c r="F98" s="2"/>
      <c r="G98" s="2"/>
      <c r="H98" s="220">
        <f>SUM(H96:H97)</f>
        <v>0</v>
      </c>
      <c r="I98" s="220">
        <f>SUM(I96:I97)</f>
        <v>50955.12</v>
      </c>
      <c r="J98" s="220">
        <f>SUM(J96:J97)</f>
        <v>21737.98</v>
      </c>
      <c r="K98" s="220">
        <f>SUM(K96:K97)</f>
        <v>0</v>
      </c>
      <c r="L98" s="220">
        <f>SUM(L96:L97)</f>
        <v>0</v>
      </c>
      <c r="M98" s="220">
        <f t="shared" si="221"/>
        <v>72693.100000000006</v>
      </c>
      <c r="O98" s="110"/>
      <c r="Q98" s="644">
        <f t="shared" si="222"/>
        <v>72693.100000000006</v>
      </c>
      <c r="R98" s="644"/>
      <c r="S98" s="644"/>
      <c r="T98" s="1455"/>
      <c r="U98" s="1456"/>
      <c r="V98" s="784"/>
      <c r="W98" s="784"/>
      <c r="X98" s="784"/>
      <c r="Y98" s="784"/>
      <c r="Z98" s="784"/>
      <c r="AA98" s="786"/>
      <c r="AB98" s="786"/>
      <c r="AC98" s="786"/>
      <c r="AD98" s="786"/>
      <c r="AE98" s="786"/>
      <c r="AF98" s="786"/>
      <c r="AG98" s="781"/>
      <c r="AH98" s="770"/>
      <c r="GW98" s="782"/>
      <c r="HL98" s="758"/>
    </row>
    <row r="99" spans="1:222" ht="12" customHeight="1">
      <c r="C99" s="6" t="s">
        <v>600</v>
      </c>
      <c r="D99" s="2"/>
      <c r="E99" s="2"/>
      <c r="F99" s="2"/>
      <c r="G99" s="2"/>
      <c r="H99" s="220">
        <f>CX48</f>
        <v>0</v>
      </c>
      <c r="I99" s="220">
        <f>CY48</f>
        <v>0</v>
      </c>
      <c r="J99" s="220">
        <f>CZ48</f>
        <v>0</v>
      </c>
      <c r="K99" s="220">
        <f>DA48</f>
        <v>0</v>
      </c>
      <c r="L99" s="220">
        <f>DB48</f>
        <v>0</v>
      </c>
      <c r="M99" s="220">
        <f t="shared" si="221"/>
        <v>0</v>
      </c>
      <c r="O99" s="110"/>
      <c r="Q99" s="644">
        <f t="shared" si="222"/>
        <v>0</v>
      </c>
      <c r="R99" s="644"/>
      <c r="S99" s="644"/>
      <c r="T99" s="1455"/>
      <c r="U99" s="1456"/>
      <c r="V99" s="784"/>
      <c r="W99" s="784"/>
      <c r="X99" s="784"/>
      <c r="Y99" s="784"/>
      <c r="Z99" s="784"/>
      <c r="AA99" s="786"/>
      <c r="AB99" s="786"/>
      <c r="AC99" s="786"/>
      <c r="AD99" s="786"/>
      <c r="AE99" s="786"/>
      <c r="AF99" s="786"/>
      <c r="AG99" s="781"/>
      <c r="AH99" s="770"/>
      <c r="GW99" s="782"/>
      <c r="HL99" s="758"/>
    </row>
    <row r="100" spans="1:222" ht="12" customHeight="1">
      <c r="C100" s="6" t="s">
        <v>3308</v>
      </c>
      <c r="D100" s="2"/>
      <c r="E100" s="2"/>
      <c r="F100" s="2"/>
      <c r="G100" s="2"/>
      <c r="H100" s="220">
        <f>SUM(H98:H99)</f>
        <v>0</v>
      </c>
      <c r="I100" s="220">
        <f>SUM(I98:I99)</f>
        <v>50955.12</v>
      </c>
      <c r="J100" s="220">
        <f>SUM(J98:J99)</f>
        <v>21737.98</v>
      </c>
      <c r="K100" s="220">
        <f>SUM(K98:K99)</f>
        <v>0</v>
      </c>
      <c r="L100" s="220">
        <f>SUM(L98:L99)</f>
        <v>0</v>
      </c>
      <c r="M100" s="220">
        <f t="shared" si="221"/>
        <v>72693.100000000006</v>
      </c>
      <c r="O100" s="110"/>
      <c r="Q100" s="644">
        <f t="shared" si="222"/>
        <v>72693.100000000006</v>
      </c>
      <c r="R100" s="644"/>
      <c r="S100" s="644"/>
      <c r="T100" s="1458"/>
      <c r="U100" s="1459"/>
      <c r="V100" s="784"/>
      <c r="W100" s="784"/>
      <c r="X100" s="784"/>
      <c r="Y100" s="784"/>
      <c r="Z100" s="784"/>
      <c r="AA100" s="786"/>
      <c r="AB100" s="786"/>
      <c r="AC100" s="786"/>
      <c r="AD100" s="786"/>
      <c r="AE100" s="786"/>
      <c r="AF100" s="786"/>
      <c r="AG100" s="781"/>
      <c r="AH100" s="770"/>
      <c r="GW100" s="782"/>
      <c r="HL100" s="758"/>
    </row>
    <row r="101" spans="1:222" ht="5.0999999999999996" customHeight="1">
      <c r="B101" s="16"/>
      <c r="O101" s="106"/>
      <c r="P101" s="106"/>
      <c r="Q101" s="120"/>
      <c r="R101" s="120"/>
      <c r="S101" s="120"/>
      <c r="U101" s="206"/>
      <c r="V101" s="781"/>
      <c r="W101" s="781"/>
      <c r="X101" s="781"/>
      <c r="Y101" s="781"/>
      <c r="Z101" s="781"/>
      <c r="AA101" s="781"/>
      <c r="AB101" s="781"/>
      <c r="AC101" s="781"/>
      <c r="AD101" s="781"/>
      <c r="AE101" s="781"/>
      <c r="AF101" s="781"/>
      <c r="AG101" s="781"/>
      <c r="GW101" s="782"/>
      <c r="HL101" s="758"/>
    </row>
    <row r="102" spans="1:222" ht="14.1" customHeight="1">
      <c r="A102" s="16" t="s">
        <v>2834</v>
      </c>
      <c r="B102" s="16" t="s">
        <v>3861</v>
      </c>
      <c r="P102" s="9"/>
      <c r="Q102" s="645"/>
      <c r="R102" s="645"/>
      <c r="S102" s="645"/>
      <c r="T102" s="16" t="s">
        <v>1370</v>
      </c>
      <c r="FY102" s="758"/>
      <c r="GP102" s="777"/>
      <c r="GV102" s="758"/>
      <c r="GW102" s="782"/>
      <c r="HL102" s="758"/>
      <c r="HN102" s="782"/>
    </row>
    <row r="103" spans="1:222" ht="9" customHeight="1">
      <c r="P103" s="645"/>
    </row>
    <row r="104" spans="1:222" ht="12.6" customHeight="1">
      <c r="B104" s="16" t="s">
        <v>2497</v>
      </c>
      <c r="D104" s="149"/>
      <c r="E104" s="185"/>
      <c r="G104" s="1530">
        <v>4550</v>
      </c>
      <c r="H104" s="1531"/>
      <c r="I104" s="147" t="s">
        <v>118</v>
      </c>
      <c r="O104" s="816">
        <f>G104/L49</f>
        <v>5.8074232909582886E-3</v>
      </c>
      <c r="P104" s="560"/>
      <c r="T104" s="5" t="str">
        <f>B104</f>
        <v>Ancillary Income</v>
      </c>
    </row>
    <row r="105" spans="1:222" ht="15" customHeight="1">
      <c r="B105" s="16"/>
      <c r="D105" s="149"/>
      <c r="E105" s="185"/>
      <c r="G105" s="300"/>
      <c r="H105" s="300"/>
      <c r="I105" s="147"/>
      <c r="P105" s="560"/>
    </row>
    <row r="106" spans="1:222" ht="14.1" customHeight="1">
      <c r="B106" s="16" t="s">
        <v>2047</v>
      </c>
      <c r="I106" s="16"/>
      <c r="K106" s="41"/>
      <c r="T106" s="5" t="str">
        <f>B106</f>
        <v>Other Income (OI) by Year:</v>
      </c>
    </row>
    <row r="107" spans="1:222" ht="15" customHeight="1">
      <c r="B107" s="16"/>
      <c r="I107" s="16"/>
      <c r="K107" s="41"/>
    </row>
    <row r="108" spans="1:222" ht="14.1" customHeight="1">
      <c r="B108" s="555" t="s">
        <v>923</v>
      </c>
      <c r="G108" s="557">
        <v>1</v>
      </c>
      <c r="H108" s="557">
        <v>2</v>
      </c>
      <c r="I108" s="557">
        <v>3</v>
      </c>
      <c r="J108" s="557">
        <v>4</v>
      </c>
      <c r="K108" s="558">
        <v>5</v>
      </c>
      <c r="L108" s="557">
        <v>6</v>
      </c>
      <c r="M108" s="557">
        <v>7</v>
      </c>
      <c r="N108" s="557">
        <v>8</v>
      </c>
      <c r="O108" s="557">
        <v>9</v>
      </c>
      <c r="P108" s="557">
        <v>10</v>
      </c>
      <c r="T108" s="126" t="str">
        <f>B108</f>
        <v>Included in Mgt Fee:</v>
      </c>
    </row>
    <row r="109" spans="1:222" ht="15" customHeight="1">
      <c r="B109" s="9" t="s">
        <v>2498</v>
      </c>
      <c r="G109" s="1532"/>
      <c r="H109" s="1532"/>
      <c r="I109" s="1532"/>
      <c r="J109" s="1532"/>
      <c r="K109" s="1533"/>
      <c r="L109" s="1532"/>
      <c r="M109" s="1532"/>
      <c r="N109" s="1532"/>
      <c r="O109" s="1532"/>
      <c r="P109" s="1532"/>
      <c r="T109" s="1453"/>
      <c r="U109" s="1454"/>
    </row>
    <row r="110" spans="1:222" ht="15" customHeight="1">
      <c r="B110" s="9" t="s">
        <v>2833</v>
      </c>
      <c r="C110" s="1534"/>
      <c r="D110" s="1535"/>
      <c r="E110" s="1535"/>
      <c r="F110" s="1536"/>
      <c r="G110" s="1537"/>
      <c r="H110" s="1537"/>
      <c r="I110" s="1537"/>
      <c r="J110" s="1537"/>
      <c r="K110" s="1538"/>
      <c r="L110" s="1537"/>
      <c r="M110" s="1537"/>
      <c r="N110" s="1537"/>
      <c r="O110" s="1537"/>
      <c r="P110" s="1537"/>
      <c r="T110" s="1455"/>
      <c r="U110" s="1456"/>
    </row>
    <row r="111" spans="1:222" ht="15" customHeight="1">
      <c r="C111" s="118" t="s">
        <v>2706</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58"/>
      <c r="U111" s="1459"/>
    </row>
    <row r="112" spans="1:222" ht="6.6" customHeight="1">
      <c r="C112" s="118"/>
      <c r="G112" s="25"/>
      <c r="H112" s="25"/>
      <c r="I112" s="25"/>
      <c r="J112" s="25"/>
      <c r="K112" s="25"/>
      <c r="L112" s="25"/>
      <c r="M112" s="25"/>
      <c r="N112" s="25"/>
      <c r="O112" s="25"/>
      <c r="P112" s="25"/>
    </row>
    <row r="113" spans="2:21" ht="15.6" customHeight="1">
      <c r="B113" s="556" t="s">
        <v>3240</v>
      </c>
      <c r="G113" s="42"/>
      <c r="P113" s="9"/>
      <c r="T113" s="126" t="str">
        <f>B113</f>
        <v>NOT Included in Mgt Fee:</v>
      </c>
    </row>
    <row r="114" spans="2:21" ht="15" customHeight="1">
      <c r="B114" s="9" t="s">
        <v>3302</v>
      </c>
      <c r="G114" s="1532"/>
      <c r="H114" s="1532"/>
      <c r="I114" s="1532"/>
      <c r="J114" s="1532"/>
      <c r="K114" s="1533"/>
      <c r="L114" s="1532"/>
      <c r="M114" s="1532"/>
      <c r="N114" s="1532"/>
      <c r="O114" s="1532"/>
      <c r="P114" s="1532"/>
      <c r="T114" s="1455"/>
      <c r="U114" s="1456"/>
    </row>
    <row r="115" spans="2:21" ht="15" customHeight="1">
      <c r="B115" s="9" t="s">
        <v>2833</v>
      </c>
      <c r="C115" s="1534"/>
      <c r="D115" s="1535"/>
      <c r="E115" s="1535"/>
      <c r="F115" s="1536"/>
      <c r="G115" s="1537"/>
      <c r="H115" s="1537"/>
      <c r="I115" s="1537"/>
      <c r="J115" s="1537"/>
      <c r="K115" s="1538"/>
      <c r="L115" s="1537"/>
      <c r="M115" s="1537"/>
      <c r="N115" s="1537"/>
      <c r="O115" s="1537"/>
      <c r="P115" s="1537"/>
      <c r="T115" s="1455"/>
      <c r="U115" s="1456"/>
    </row>
    <row r="116" spans="2:21" ht="15" customHeight="1">
      <c r="C116" s="118" t="s">
        <v>3829</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58"/>
      <c r="U116" s="1459"/>
    </row>
    <row r="117" spans="2:21" ht="42.6" customHeight="1">
      <c r="B117" s="16"/>
      <c r="G117" s="42"/>
      <c r="P117" s="9"/>
      <c r="T117" s="236" t="s">
        <v>385</v>
      </c>
    </row>
    <row r="118" spans="2:21" ht="14.1" customHeight="1">
      <c r="B118" s="555" t="s">
        <v>923</v>
      </c>
      <c r="G118" s="557">
        <v>11</v>
      </c>
      <c r="H118" s="557">
        <v>12</v>
      </c>
      <c r="I118" s="557">
        <v>13</v>
      </c>
      <c r="J118" s="557">
        <v>14</v>
      </c>
      <c r="K118" s="557">
        <v>15</v>
      </c>
      <c r="L118" s="557">
        <v>16</v>
      </c>
      <c r="M118" s="557">
        <v>17</v>
      </c>
      <c r="N118" s="557">
        <v>18</v>
      </c>
      <c r="O118" s="557">
        <v>19</v>
      </c>
      <c r="P118" s="557">
        <v>20</v>
      </c>
      <c r="T118" s="126" t="str">
        <f>B118</f>
        <v>Included in Mgt Fee:</v>
      </c>
    </row>
    <row r="119" spans="2:21" ht="15" customHeight="1">
      <c r="B119" s="9" t="s">
        <v>2498</v>
      </c>
      <c r="G119" s="1532"/>
      <c r="H119" s="1532"/>
      <c r="I119" s="1532"/>
      <c r="J119" s="1532"/>
      <c r="K119" s="1533"/>
      <c r="L119" s="1532"/>
      <c r="M119" s="1532"/>
      <c r="N119" s="1532"/>
      <c r="O119" s="1532"/>
      <c r="P119" s="1532"/>
      <c r="T119" s="1453"/>
      <c r="U119" s="1454"/>
    </row>
    <row r="120" spans="2:21" ht="15" customHeight="1">
      <c r="B120" s="9" t="s">
        <v>2833</v>
      </c>
      <c r="C120" s="1534"/>
      <c r="D120" s="1535"/>
      <c r="E120" s="1535"/>
      <c r="F120" s="1536"/>
      <c r="G120" s="1537"/>
      <c r="H120" s="1537"/>
      <c r="I120" s="1537"/>
      <c r="J120" s="1537"/>
      <c r="K120" s="1538"/>
      <c r="L120" s="1537"/>
      <c r="M120" s="1537"/>
      <c r="N120" s="1537"/>
      <c r="O120" s="1537"/>
      <c r="P120" s="1537"/>
      <c r="T120" s="1455"/>
      <c r="U120" s="1456"/>
    </row>
    <row r="121" spans="2:21" ht="15" customHeight="1">
      <c r="C121" s="118" t="s">
        <v>2706</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58"/>
      <c r="U121" s="1459"/>
    </row>
    <row r="122" spans="2:21" ht="6.6" customHeight="1">
      <c r="C122" s="118"/>
      <c r="G122" s="25"/>
      <c r="H122" s="25"/>
      <c r="I122" s="25"/>
      <c r="J122" s="25"/>
      <c r="K122" s="25"/>
      <c r="L122" s="25"/>
      <c r="M122" s="25"/>
      <c r="N122" s="25"/>
      <c r="O122" s="25"/>
      <c r="P122" s="25"/>
    </row>
    <row r="123" spans="2:21" ht="15.6" customHeight="1">
      <c r="B123" s="556" t="s">
        <v>3240</v>
      </c>
      <c r="G123" s="42"/>
      <c r="P123" s="9"/>
      <c r="T123" s="126" t="str">
        <f>B123</f>
        <v>NOT Included in Mgt Fee:</v>
      </c>
    </row>
    <row r="124" spans="2:21" ht="15" customHeight="1">
      <c r="B124" s="9" t="s">
        <v>3302</v>
      </c>
      <c r="G124" s="1532"/>
      <c r="H124" s="1532"/>
      <c r="I124" s="1532"/>
      <c r="J124" s="1532"/>
      <c r="K124" s="1533"/>
      <c r="L124" s="1532"/>
      <c r="M124" s="1532"/>
      <c r="N124" s="1532"/>
      <c r="O124" s="1532"/>
      <c r="P124" s="1532"/>
      <c r="T124" s="1455"/>
      <c r="U124" s="1456"/>
    </row>
    <row r="125" spans="2:21" ht="15" customHeight="1">
      <c r="B125" s="9" t="s">
        <v>2833</v>
      </c>
      <c r="C125" s="1534"/>
      <c r="D125" s="1535"/>
      <c r="E125" s="1535"/>
      <c r="F125" s="1536"/>
      <c r="G125" s="1537"/>
      <c r="H125" s="1537"/>
      <c r="I125" s="1537"/>
      <c r="J125" s="1537"/>
      <c r="K125" s="1538"/>
      <c r="L125" s="1537"/>
      <c r="M125" s="1537"/>
      <c r="N125" s="1537"/>
      <c r="O125" s="1537"/>
      <c r="P125" s="1537"/>
      <c r="T125" s="1455"/>
      <c r="U125" s="1456"/>
    </row>
    <row r="126" spans="2:21" ht="15" customHeight="1">
      <c r="C126" s="118" t="s">
        <v>3829</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58"/>
      <c r="U126" s="1459"/>
    </row>
    <row r="127" spans="2:21" ht="42.6" customHeight="1">
      <c r="B127" s="16"/>
      <c r="G127" s="42"/>
      <c r="P127" s="9"/>
      <c r="T127" s="236" t="s">
        <v>386</v>
      </c>
    </row>
    <row r="128" spans="2:21" ht="14.1" customHeight="1">
      <c r="B128" s="555" t="s">
        <v>923</v>
      </c>
      <c r="G128" s="557">
        <v>21</v>
      </c>
      <c r="H128" s="557">
        <v>22</v>
      </c>
      <c r="I128" s="557">
        <v>23</v>
      </c>
      <c r="J128" s="557">
        <v>24</v>
      </c>
      <c r="K128" s="557">
        <v>25</v>
      </c>
      <c r="L128" s="557">
        <v>26</v>
      </c>
      <c r="M128" s="557">
        <v>27</v>
      </c>
      <c r="N128" s="557">
        <v>28</v>
      </c>
      <c r="O128" s="557">
        <v>29</v>
      </c>
      <c r="P128" s="557">
        <v>30</v>
      </c>
      <c r="T128" s="126" t="str">
        <f>B128</f>
        <v>Included in Mgt Fee:</v>
      </c>
    </row>
    <row r="129" spans="1:255" ht="15" customHeight="1">
      <c r="B129" s="9" t="s">
        <v>2498</v>
      </c>
      <c r="G129" s="1532"/>
      <c r="H129" s="1532"/>
      <c r="I129" s="1532"/>
      <c r="J129" s="1532"/>
      <c r="K129" s="1533"/>
      <c r="L129" s="1532"/>
      <c r="M129" s="1532"/>
      <c r="N129" s="1532"/>
      <c r="O129" s="1532"/>
      <c r="P129" s="1532"/>
      <c r="T129" s="1453"/>
      <c r="U129" s="1454"/>
    </row>
    <row r="130" spans="1:255" ht="15" customHeight="1">
      <c r="B130" s="9" t="s">
        <v>2833</v>
      </c>
      <c r="C130" s="1534"/>
      <c r="D130" s="1535"/>
      <c r="E130" s="1535"/>
      <c r="F130" s="1536"/>
      <c r="G130" s="1537"/>
      <c r="H130" s="1537"/>
      <c r="I130" s="1537"/>
      <c r="J130" s="1537"/>
      <c r="K130" s="1538"/>
      <c r="L130" s="1537"/>
      <c r="M130" s="1537"/>
      <c r="N130" s="1537"/>
      <c r="O130" s="1537"/>
      <c r="P130" s="1537"/>
      <c r="T130" s="1455"/>
      <c r="U130" s="1456"/>
    </row>
    <row r="131" spans="1:255" ht="15" customHeight="1">
      <c r="C131" s="118" t="s">
        <v>2706</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58"/>
      <c r="U131" s="1459"/>
    </row>
    <row r="132" spans="1:255" ht="6.6" customHeight="1">
      <c r="C132" s="118"/>
      <c r="G132" s="25"/>
      <c r="H132" s="25"/>
      <c r="I132" s="25"/>
      <c r="J132" s="25"/>
      <c r="K132" s="25"/>
      <c r="L132" s="25"/>
      <c r="M132" s="25"/>
      <c r="N132" s="25"/>
      <c r="O132" s="25"/>
      <c r="P132" s="25"/>
    </row>
    <row r="133" spans="1:255" ht="15" customHeight="1">
      <c r="B133" s="556" t="s">
        <v>3240</v>
      </c>
      <c r="G133" s="42"/>
      <c r="P133" s="9"/>
      <c r="T133" s="126" t="str">
        <f>B133</f>
        <v>NOT Included in Mgt Fee:</v>
      </c>
    </row>
    <row r="134" spans="1:255" ht="15" customHeight="1">
      <c r="B134" s="9" t="s">
        <v>3302</v>
      </c>
      <c r="G134" s="1532"/>
      <c r="H134" s="1532"/>
      <c r="I134" s="1532"/>
      <c r="J134" s="1532"/>
      <c r="K134" s="1533"/>
      <c r="L134" s="1532"/>
      <c r="M134" s="1532"/>
      <c r="N134" s="1532"/>
      <c r="O134" s="1532"/>
      <c r="P134" s="1532"/>
      <c r="T134" s="1455"/>
      <c r="U134" s="1456"/>
    </row>
    <row r="135" spans="1:255" ht="15" customHeight="1">
      <c r="B135" s="9" t="s">
        <v>2833</v>
      </c>
      <c r="C135" s="1534"/>
      <c r="D135" s="1535"/>
      <c r="E135" s="1535"/>
      <c r="F135" s="1536"/>
      <c r="G135" s="1537"/>
      <c r="H135" s="1537"/>
      <c r="I135" s="1537"/>
      <c r="J135" s="1537"/>
      <c r="K135" s="1538"/>
      <c r="L135" s="1537"/>
      <c r="M135" s="1537"/>
      <c r="N135" s="1537"/>
      <c r="O135" s="1537"/>
      <c r="P135" s="1537"/>
      <c r="T135" s="1455"/>
      <c r="U135" s="1456"/>
    </row>
    <row r="136" spans="1:255" ht="15" customHeight="1">
      <c r="C136" s="118" t="s">
        <v>3829</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58"/>
      <c r="U136" s="1459"/>
    </row>
    <row r="137" spans="1:255" ht="9.6" customHeight="1">
      <c r="B137" s="16"/>
      <c r="F137" s="42"/>
      <c r="G137" s="42"/>
      <c r="J137" s="19"/>
      <c r="P137" s="9"/>
    </row>
    <row r="138" spans="1:255" s="119" customFormat="1" ht="11.25" customHeight="1">
      <c r="A138" s="5" t="s">
        <v>1418</v>
      </c>
      <c r="B138" s="823" t="s">
        <v>2500</v>
      </c>
      <c r="C138" s="823"/>
      <c r="D138" s="823"/>
      <c r="E138" s="823"/>
      <c r="F138" s="823"/>
      <c r="G138" s="823"/>
      <c r="H138" s="823"/>
      <c r="I138" s="823"/>
      <c r="J138" s="823"/>
      <c r="K138" s="823"/>
      <c r="L138" s="2"/>
      <c r="M138" s="17"/>
      <c r="N138" s="7"/>
      <c r="O138" s="7"/>
      <c r="P138" s="2"/>
      <c r="T138" s="5" t="str">
        <f>B138</f>
        <v>ANNUAL OPERATING EXPENSE BUDGET</v>
      </c>
      <c r="U138" s="110"/>
      <c r="V138" s="758"/>
      <c r="W138" s="758"/>
      <c r="X138" s="758"/>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0"/>
      <c r="DY138" s="770"/>
      <c r="DZ138" s="770"/>
      <c r="EA138" s="770"/>
      <c r="EB138" s="770"/>
      <c r="EC138" s="770"/>
      <c r="ED138" s="770"/>
      <c r="EE138" s="770"/>
      <c r="EF138" s="770"/>
      <c r="EG138" s="770"/>
      <c r="EH138" s="770"/>
      <c r="EI138" s="770"/>
      <c r="EJ138" s="770"/>
      <c r="EK138" s="770"/>
      <c r="EL138" s="770"/>
      <c r="EM138" s="770"/>
      <c r="EN138" s="770"/>
      <c r="EO138" s="770"/>
      <c r="EP138" s="770"/>
      <c r="EQ138" s="770"/>
      <c r="ER138" s="770"/>
      <c r="ES138" s="770"/>
      <c r="ET138" s="770"/>
      <c r="EU138" s="770"/>
      <c r="EV138" s="770"/>
      <c r="EW138" s="770"/>
      <c r="EX138" s="770"/>
      <c r="EY138" s="770"/>
      <c r="EZ138" s="770"/>
      <c r="FA138" s="770"/>
      <c r="FB138" s="770"/>
      <c r="FC138" s="770"/>
      <c r="FD138" s="770"/>
      <c r="FE138" s="770"/>
      <c r="FF138" s="770"/>
      <c r="FG138" s="770"/>
      <c r="FH138" s="770"/>
      <c r="FI138" s="770"/>
      <c r="FJ138" s="770"/>
      <c r="FK138" s="770"/>
      <c r="FL138" s="770"/>
      <c r="FM138" s="770"/>
      <c r="FN138" s="770"/>
      <c r="FO138" s="770"/>
      <c r="FP138" s="770"/>
      <c r="FQ138" s="770"/>
      <c r="FR138" s="770"/>
      <c r="FS138" s="770"/>
      <c r="FT138" s="770"/>
      <c r="FU138" s="770"/>
      <c r="FV138" s="770"/>
      <c r="FW138" s="770"/>
      <c r="FX138" s="770"/>
      <c r="FY138" s="771"/>
      <c r="FZ138" s="771"/>
      <c r="GA138" s="771"/>
      <c r="GB138" s="771"/>
      <c r="GC138" s="771"/>
      <c r="GD138" s="771"/>
      <c r="GE138" s="771"/>
      <c r="GF138" s="771"/>
      <c r="GG138" s="771"/>
      <c r="GH138" s="771"/>
      <c r="GI138" s="771"/>
      <c r="GJ138" s="771"/>
      <c r="GK138" s="771"/>
      <c r="GL138" s="771"/>
      <c r="GM138" s="771"/>
      <c r="GN138" s="771"/>
      <c r="GO138" s="771"/>
      <c r="GP138" s="770"/>
      <c r="GQ138" s="770"/>
      <c r="GR138" s="770"/>
      <c r="GS138" s="770"/>
      <c r="GT138" s="770"/>
      <c r="GU138" s="770"/>
      <c r="GV138" s="772"/>
      <c r="GW138" s="770"/>
      <c r="GX138" s="770"/>
      <c r="GY138" s="770"/>
      <c r="GZ138" s="770"/>
      <c r="HA138" s="770"/>
      <c r="HB138" s="770"/>
      <c r="HC138" s="770"/>
      <c r="HD138" s="770"/>
      <c r="HE138" s="770"/>
      <c r="HF138" s="770"/>
      <c r="HG138" s="770"/>
      <c r="HH138" s="770"/>
      <c r="HI138" s="770"/>
      <c r="HJ138" s="770"/>
      <c r="HK138" s="770"/>
      <c r="HL138" s="772"/>
      <c r="HM138" s="772"/>
      <c r="HN138" s="770"/>
      <c r="HO138" s="770"/>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3"/>
      <c r="C139" s="823"/>
      <c r="D139" s="823"/>
      <c r="E139" s="823"/>
      <c r="F139" s="823"/>
      <c r="G139" s="823"/>
      <c r="H139" s="823"/>
      <c r="I139" s="823"/>
      <c r="J139" s="823"/>
      <c r="K139" s="2"/>
      <c r="L139" s="2"/>
      <c r="M139" s="2"/>
      <c r="N139" s="2"/>
      <c r="O139" s="2"/>
      <c r="P139" s="2"/>
      <c r="T139" s="1103" t="s">
        <v>1370</v>
      </c>
      <c r="U139" s="1103"/>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770"/>
      <c r="BY139" s="770"/>
      <c r="BZ139" s="770"/>
      <c r="CA139" s="770"/>
      <c r="CB139" s="770"/>
      <c r="CC139" s="770"/>
      <c r="CD139" s="770"/>
      <c r="CE139" s="770"/>
      <c r="CF139" s="770"/>
      <c r="CG139" s="770"/>
      <c r="CH139" s="770"/>
      <c r="CI139" s="770"/>
      <c r="CJ139" s="770"/>
      <c r="CK139" s="770"/>
      <c r="CL139" s="770"/>
      <c r="CM139" s="770"/>
      <c r="CN139" s="770"/>
      <c r="CO139" s="770"/>
      <c r="CP139" s="770"/>
      <c r="CQ139" s="770"/>
      <c r="CR139" s="770"/>
      <c r="CS139" s="770"/>
      <c r="CT139" s="770"/>
      <c r="CU139" s="770"/>
      <c r="CV139" s="770"/>
      <c r="CW139" s="770"/>
      <c r="CX139" s="770"/>
      <c r="CY139" s="770"/>
      <c r="CZ139" s="770"/>
      <c r="DA139" s="770"/>
      <c r="DB139" s="770"/>
      <c r="DC139" s="770"/>
      <c r="DD139" s="770"/>
      <c r="DE139" s="770"/>
      <c r="DF139" s="770"/>
      <c r="DG139" s="770"/>
      <c r="DH139" s="770"/>
      <c r="DI139" s="770"/>
      <c r="DJ139" s="770"/>
      <c r="DK139" s="770"/>
      <c r="DL139" s="770"/>
      <c r="DM139" s="770"/>
      <c r="DN139" s="770"/>
      <c r="DO139" s="770"/>
      <c r="DP139" s="770"/>
      <c r="DQ139" s="770"/>
      <c r="DR139" s="770"/>
      <c r="DS139" s="770"/>
      <c r="DT139" s="770"/>
      <c r="DU139" s="770"/>
      <c r="DV139" s="770"/>
      <c r="DW139" s="770"/>
      <c r="DX139" s="770"/>
      <c r="DY139" s="770"/>
      <c r="DZ139" s="770"/>
      <c r="EA139" s="770"/>
      <c r="EB139" s="770"/>
      <c r="EC139" s="770"/>
      <c r="ED139" s="770"/>
      <c r="EE139" s="770"/>
      <c r="EF139" s="770"/>
      <c r="EG139" s="770"/>
      <c r="EH139" s="770"/>
      <c r="EI139" s="770"/>
      <c r="EJ139" s="770"/>
      <c r="EK139" s="770"/>
      <c r="EL139" s="770"/>
      <c r="EM139" s="770"/>
      <c r="EN139" s="770"/>
      <c r="EO139" s="770"/>
      <c r="EP139" s="770"/>
      <c r="EQ139" s="770"/>
      <c r="ER139" s="770"/>
      <c r="ES139" s="770"/>
      <c r="ET139" s="770"/>
      <c r="EU139" s="770"/>
      <c r="EV139" s="770"/>
      <c r="EW139" s="770"/>
      <c r="EX139" s="770"/>
      <c r="EY139" s="770"/>
      <c r="EZ139" s="770"/>
      <c r="FA139" s="770"/>
      <c r="FB139" s="770"/>
      <c r="FC139" s="770"/>
      <c r="FD139" s="770"/>
      <c r="FE139" s="770"/>
      <c r="FF139" s="770"/>
      <c r="FG139" s="770"/>
      <c r="FH139" s="770"/>
      <c r="FI139" s="770"/>
      <c r="FJ139" s="770"/>
      <c r="FK139" s="770"/>
      <c r="FL139" s="770"/>
      <c r="FM139" s="770"/>
      <c r="FN139" s="770"/>
      <c r="FO139" s="770"/>
      <c r="FP139" s="770"/>
      <c r="FQ139" s="770"/>
      <c r="FR139" s="770"/>
      <c r="FS139" s="770"/>
      <c r="FT139" s="770"/>
      <c r="FU139" s="770"/>
      <c r="FV139" s="770"/>
      <c r="FW139" s="770"/>
      <c r="FX139" s="770"/>
      <c r="FY139" s="771"/>
      <c r="FZ139" s="771"/>
      <c r="GA139" s="771"/>
      <c r="GB139" s="771"/>
      <c r="GC139" s="771"/>
      <c r="GD139" s="771"/>
      <c r="GE139" s="771"/>
      <c r="GF139" s="771"/>
      <c r="GG139" s="771"/>
      <c r="GH139" s="771"/>
      <c r="GI139" s="771"/>
      <c r="GJ139" s="771"/>
      <c r="GK139" s="771"/>
      <c r="GL139" s="771"/>
      <c r="GM139" s="771"/>
      <c r="GN139" s="771"/>
      <c r="GO139" s="771"/>
      <c r="GP139" s="770"/>
      <c r="GQ139" s="770"/>
      <c r="GR139" s="770"/>
      <c r="GS139" s="770"/>
      <c r="GT139" s="770"/>
      <c r="GU139" s="770"/>
      <c r="GV139" s="772"/>
      <c r="GW139" s="770"/>
      <c r="GX139" s="770"/>
      <c r="GY139" s="770"/>
      <c r="GZ139" s="770"/>
      <c r="HA139" s="770"/>
      <c r="HB139" s="770"/>
      <c r="HC139" s="770"/>
      <c r="HD139" s="770"/>
      <c r="HE139" s="770"/>
      <c r="HF139" s="770"/>
      <c r="HG139" s="770"/>
      <c r="HH139" s="770"/>
      <c r="HI139" s="770"/>
      <c r="HJ139" s="770"/>
      <c r="HK139" s="770"/>
      <c r="HL139" s="772"/>
      <c r="HM139" s="772"/>
      <c r="HN139" s="770"/>
      <c r="HO139" s="770"/>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35" customHeight="1">
      <c r="A140" s="2"/>
      <c r="B140" s="11" t="s">
        <v>2272</v>
      </c>
      <c r="C140" s="2"/>
      <c r="D140" s="2"/>
      <c r="E140" s="2"/>
      <c r="F140" s="31"/>
      <c r="G140" s="31"/>
      <c r="H140" s="2"/>
      <c r="I140" s="11" t="s">
        <v>2209</v>
      </c>
      <c r="J140" s="2"/>
      <c r="K140" s="2"/>
      <c r="L140" s="2"/>
      <c r="M140" s="2"/>
      <c r="N140" s="11" t="s">
        <v>2208</v>
      </c>
      <c r="O140" s="2"/>
      <c r="P140" s="2"/>
      <c r="T140" s="1453"/>
      <c r="U140" s="1454"/>
      <c r="V140" s="758"/>
      <c r="W140" s="758"/>
      <c r="X140" s="758"/>
      <c r="Y140" s="770"/>
      <c r="Z140" s="770"/>
      <c r="AA140" s="770"/>
      <c r="AB140" s="770"/>
      <c r="AC140" s="770"/>
      <c r="AD140" s="770"/>
      <c r="AE140" s="770"/>
      <c r="AF140" s="770"/>
      <c r="AG140" s="770"/>
      <c r="AH140" s="770"/>
      <c r="AI140" s="770"/>
      <c r="AJ140" s="770"/>
      <c r="AK140" s="770"/>
      <c r="AL140" s="770"/>
      <c r="AM140" s="770"/>
      <c r="AN140" s="770"/>
      <c r="AO140" s="770"/>
      <c r="AP140" s="770"/>
      <c r="AQ140" s="770"/>
      <c r="AR140" s="770"/>
      <c r="AS140" s="770"/>
      <c r="AT140" s="770"/>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770"/>
      <c r="BY140" s="770"/>
      <c r="BZ140" s="770"/>
      <c r="CA140" s="770"/>
      <c r="CB140" s="770"/>
      <c r="CC140" s="770"/>
      <c r="CD140" s="770"/>
      <c r="CE140" s="770"/>
      <c r="CF140" s="770"/>
      <c r="CG140" s="770"/>
      <c r="CH140" s="770"/>
      <c r="CI140" s="770"/>
      <c r="CJ140" s="770"/>
      <c r="CK140" s="770"/>
      <c r="CL140" s="770"/>
      <c r="CM140" s="770"/>
      <c r="CN140" s="770"/>
      <c r="CO140" s="770"/>
      <c r="CP140" s="770"/>
      <c r="CQ140" s="770"/>
      <c r="CR140" s="770"/>
      <c r="CS140" s="770"/>
      <c r="CT140" s="770"/>
      <c r="CU140" s="770"/>
      <c r="CV140" s="770"/>
      <c r="CW140" s="770"/>
      <c r="CX140" s="770"/>
      <c r="CY140" s="770"/>
      <c r="CZ140" s="770"/>
      <c r="DA140" s="770"/>
      <c r="DB140" s="770"/>
      <c r="DC140" s="770"/>
      <c r="DD140" s="770"/>
      <c r="DE140" s="770"/>
      <c r="DF140" s="770"/>
      <c r="DG140" s="770"/>
      <c r="DH140" s="770"/>
      <c r="DI140" s="770"/>
      <c r="DJ140" s="770"/>
      <c r="DK140" s="770"/>
      <c r="DL140" s="770"/>
      <c r="DM140" s="770"/>
      <c r="DN140" s="770"/>
      <c r="DO140" s="770"/>
      <c r="DP140" s="770"/>
      <c r="DQ140" s="770"/>
      <c r="DR140" s="770"/>
      <c r="DS140" s="770"/>
      <c r="DT140" s="770"/>
      <c r="DU140" s="770"/>
      <c r="DV140" s="770"/>
      <c r="DW140" s="770"/>
      <c r="DX140" s="770"/>
      <c r="DY140" s="770"/>
      <c r="DZ140" s="770"/>
      <c r="EA140" s="770"/>
      <c r="EB140" s="770"/>
      <c r="EC140" s="770"/>
      <c r="ED140" s="770"/>
      <c r="EE140" s="770"/>
      <c r="EF140" s="770"/>
      <c r="EG140" s="770"/>
      <c r="EH140" s="770"/>
      <c r="EI140" s="770"/>
      <c r="EJ140" s="770"/>
      <c r="EK140" s="770"/>
      <c r="EL140" s="770"/>
      <c r="EM140" s="770"/>
      <c r="EN140" s="770"/>
      <c r="EO140" s="770"/>
      <c r="EP140" s="770"/>
      <c r="EQ140" s="770"/>
      <c r="ER140" s="770"/>
      <c r="ES140" s="770"/>
      <c r="ET140" s="770"/>
      <c r="EU140" s="770"/>
      <c r="EV140" s="770"/>
      <c r="EW140" s="770"/>
      <c r="EX140" s="770"/>
      <c r="EY140" s="770"/>
      <c r="EZ140" s="770"/>
      <c r="FA140" s="770"/>
      <c r="FB140" s="770"/>
      <c r="FC140" s="770"/>
      <c r="FD140" s="770"/>
      <c r="FE140" s="770"/>
      <c r="FF140" s="770"/>
      <c r="FG140" s="770"/>
      <c r="FH140" s="770"/>
      <c r="FI140" s="770"/>
      <c r="FJ140" s="770"/>
      <c r="FK140" s="770"/>
      <c r="FL140" s="770"/>
      <c r="FM140" s="770"/>
      <c r="FN140" s="770"/>
      <c r="FO140" s="770"/>
      <c r="FP140" s="770"/>
      <c r="FQ140" s="770"/>
      <c r="FR140" s="770"/>
      <c r="FS140" s="770"/>
      <c r="FT140" s="770"/>
      <c r="FU140" s="770"/>
      <c r="FV140" s="770"/>
      <c r="FW140" s="770"/>
      <c r="FX140" s="770"/>
      <c r="FY140" s="771"/>
      <c r="FZ140" s="771"/>
      <c r="GA140" s="771"/>
      <c r="GB140" s="771"/>
      <c r="GC140" s="771"/>
      <c r="GD140" s="771"/>
      <c r="GE140" s="771"/>
      <c r="GF140" s="771"/>
      <c r="GG140" s="771"/>
      <c r="GH140" s="771"/>
      <c r="GI140" s="771"/>
      <c r="GJ140" s="771"/>
      <c r="GK140" s="771"/>
      <c r="GL140" s="771"/>
      <c r="GM140" s="771"/>
      <c r="GN140" s="771"/>
      <c r="GO140" s="771"/>
      <c r="GP140" s="770"/>
      <c r="GQ140" s="770"/>
      <c r="GR140" s="770"/>
      <c r="GS140" s="770"/>
      <c r="GT140" s="770"/>
      <c r="GU140" s="770"/>
      <c r="GV140" s="772"/>
      <c r="GW140" s="770"/>
      <c r="GX140" s="770"/>
      <c r="GY140" s="770"/>
      <c r="GZ140" s="770"/>
      <c r="HA140" s="770"/>
      <c r="HB140" s="770"/>
      <c r="HC140" s="770"/>
      <c r="HD140" s="770"/>
      <c r="HE140" s="770"/>
      <c r="HF140" s="770"/>
      <c r="HG140" s="770"/>
      <c r="HH140" s="770"/>
      <c r="HI140" s="770"/>
      <c r="HJ140" s="770"/>
      <c r="HK140" s="770"/>
      <c r="HL140" s="772"/>
      <c r="HM140" s="772"/>
      <c r="HN140" s="770"/>
      <c r="HO140" s="770"/>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909</v>
      </c>
      <c r="C141" s="2"/>
      <c r="D141" s="2"/>
      <c r="E141" s="2"/>
      <c r="F141" s="1539">
        <v>35000</v>
      </c>
      <c r="G141" s="1540"/>
      <c r="H141" s="2"/>
      <c r="I141" s="2" t="s">
        <v>2210</v>
      </c>
      <c r="J141" s="2"/>
      <c r="K141" s="1539"/>
      <c r="L141" s="1540"/>
      <c r="M141" s="2"/>
      <c r="N141" s="2" t="s">
        <v>2707</v>
      </c>
      <c r="O141" s="2"/>
      <c r="P141" s="1541">
        <v>151060</v>
      </c>
      <c r="T141" s="1455"/>
      <c r="U141" s="1456"/>
      <c r="V141" s="758"/>
      <c r="W141" s="758"/>
      <c r="X141" s="758"/>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0"/>
      <c r="DP141" s="770"/>
      <c r="DQ141" s="770"/>
      <c r="DR141" s="770"/>
      <c r="DS141" s="770"/>
      <c r="DT141" s="770"/>
      <c r="DU141" s="770"/>
      <c r="DV141" s="770"/>
      <c r="DW141" s="770"/>
      <c r="DX141" s="770"/>
      <c r="DY141" s="770"/>
      <c r="DZ141" s="770"/>
      <c r="EA141" s="770"/>
      <c r="EB141" s="770"/>
      <c r="EC141" s="770"/>
      <c r="ED141" s="770"/>
      <c r="EE141" s="770"/>
      <c r="EF141" s="770"/>
      <c r="EG141" s="770"/>
      <c r="EH141" s="770"/>
      <c r="EI141" s="770"/>
      <c r="EJ141" s="770"/>
      <c r="EK141" s="770"/>
      <c r="EL141" s="770"/>
      <c r="EM141" s="770"/>
      <c r="EN141" s="770"/>
      <c r="EO141" s="770"/>
      <c r="EP141" s="770"/>
      <c r="EQ141" s="770"/>
      <c r="ER141" s="770"/>
      <c r="ES141" s="770"/>
      <c r="ET141" s="770"/>
      <c r="EU141" s="770"/>
      <c r="EV141" s="770"/>
      <c r="EW141" s="770"/>
      <c r="EX141" s="770"/>
      <c r="EY141" s="770"/>
      <c r="EZ141" s="770"/>
      <c r="FA141" s="770"/>
      <c r="FB141" s="770"/>
      <c r="FC141" s="770"/>
      <c r="FD141" s="770"/>
      <c r="FE141" s="770"/>
      <c r="FF141" s="770"/>
      <c r="FG141" s="770"/>
      <c r="FH141" s="770"/>
      <c r="FI141" s="770"/>
      <c r="FJ141" s="770"/>
      <c r="FK141" s="770"/>
      <c r="FL141" s="770"/>
      <c r="FM141" s="770"/>
      <c r="FN141" s="770"/>
      <c r="FO141" s="770"/>
      <c r="FP141" s="770"/>
      <c r="FQ141" s="770"/>
      <c r="FR141" s="770"/>
      <c r="FS141" s="770"/>
      <c r="FT141" s="770"/>
      <c r="FU141" s="770"/>
      <c r="FV141" s="770"/>
      <c r="FW141" s="770"/>
      <c r="FX141" s="770"/>
      <c r="FY141" s="771"/>
      <c r="FZ141" s="771"/>
      <c r="GA141" s="771"/>
      <c r="GB141" s="771"/>
      <c r="GC141" s="771"/>
      <c r="GD141" s="771"/>
      <c r="GE141" s="771"/>
      <c r="GF141" s="771"/>
      <c r="GG141" s="771"/>
      <c r="GH141" s="771"/>
      <c r="GI141" s="771"/>
      <c r="GJ141" s="771"/>
      <c r="GK141" s="771"/>
      <c r="GL141" s="771"/>
      <c r="GM141" s="771"/>
      <c r="GN141" s="771"/>
      <c r="GO141" s="771"/>
      <c r="GP141" s="770"/>
      <c r="GQ141" s="770"/>
      <c r="GR141" s="770"/>
      <c r="GS141" s="770"/>
      <c r="GT141" s="770"/>
      <c r="GU141" s="770"/>
      <c r="GV141" s="772"/>
      <c r="GW141" s="770"/>
      <c r="GX141" s="770"/>
      <c r="GY141" s="770"/>
      <c r="GZ141" s="770"/>
      <c r="HA141" s="770"/>
      <c r="HB141" s="770"/>
      <c r="HC141" s="770"/>
      <c r="HD141" s="770"/>
      <c r="HE141" s="770"/>
      <c r="HF141" s="770"/>
      <c r="HG141" s="770"/>
      <c r="HH141" s="770"/>
      <c r="HI141" s="770"/>
      <c r="HJ141" s="770"/>
      <c r="HK141" s="770"/>
      <c r="HL141" s="772"/>
      <c r="HM141" s="772"/>
      <c r="HN141" s="770"/>
      <c r="HO141" s="770"/>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2199</v>
      </c>
      <c r="C142" s="2"/>
      <c r="D142" s="2"/>
      <c r="E142" s="2"/>
      <c r="F142" s="1539">
        <v>44000</v>
      </c>
      <c r="G142" s="1540"/>
      <c r="H142" s="2"/>
      <c r="I142" s="2" t="s">
        <v>2211</v>
      </c>
      <c r="J142" s="2"/>
      <c r="K142" s="1539">
        <v>4000</v>
      </c>
      <c r="L142" s="1540"/>
      <c r="M142" s="2"/>
      <c r="N142" s="2" t="s">
        <v>3880</v>
      </c>
      <c r="O142" s="2"/>
      <c r="P142" s="1541">
        <v>35850</v>
      </c>
      <c r="T142" s="1455"/>
      <c r="U142" s="1456"/>
      <c r="V142" s="758"/>
      <c r="W142" s="758"/>
      <c r="X142" s="758"/>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0"/>
      <c r="DP142" s="770"/>
      <c r="DQ142" s="770"/>
      <c r="DR142" s="770"/>
      <c r="DS142" s="770"/>
      <c r="DT142" s="770"/>
      <c r="DU142" s="770"/>
      <c r="DV142" s="770"/>
      <c r="DW142" s="770"/>
      <c r="DX142" s="770"/>
      <c r="DY142" s="770"/>
      <c r="DZ142" s="770"/>
      <c r="EA142" s="770"/>
      <c r="EB142" s="770"/>
      <c r="EC142" s="770"/>
      <c r="ED142" s="770"/>
      <c r="EE142" s="770"/>
      <c r="EF142" s="770"/>
      <c r="EG142" s="770"/>
      <c r="EH142" s="770"/>
      <c r="EI142" s="770"/>
      <c r="EJ142" s="770"/>
      <c r="EK142" s="770"/>
      <c r="EL142" s="770"/>
      <c r="EM142" s="770"/>
      <c r="EN142" s="770"/>
      <c r="EO142" s="770"/>
      <c r="EP142" s="770"/>
      <c r="EQ142" s="770"/>
      <c r="ER142" s="770"/>
      <c r="ES142" s="770"/>
      <c r="ET142" s="770"/>
      <c r="EU142" s="770"/>
      <c r="EV142" s="770"/>
      <c r="EW142" s="770"/>
      <c r="EX142" s="770"/>
      <c r="EY142" s="770"/>
      <c r="EZ142" s="770"/>
      <c r="FA142" s="770"/>
      <c r="FB142" s="770"/>
      <c r="FC142" s="770"/>
      <c r="FD142" s="770"/>
      <c r="FE142" s="770"/>
      <c r="FF142" s="770"/>
      <c r="FG142" s="770"/>
      <c r="FH142" s="770"/>
      <c r="FI142" s="770"/>
      <c r="FJ142" s="770"/>
      <c r="FK142" s="770"/>
      <c r="FL142" s="770"/>
      <c r="FM142" s="770"/>
      <c r="FN142" s="770"/>
      <c r="FO142" s="770"/>
      <c r="FP142" s="770"/>
      <c r="FQ142" s="770"/>
      <c r="FR142" s="770"/>
      <c r="FS142" s="770"/>
      <c r="FT142" s="770"/>
      <c r="FU142" s="770"/>
      <c r="FV142" s="770"/>
      <c r="FW142" s="770"/>
      <c r="FX142" s="770"/>
      <c r="FY142" s="771"/>
      <c r="FZ142" s="771"/>
      <c r="GA142" s="771"/>
      <c r="GB142" s="771"/>
      <c r="GC142" s="771"/>
      <c r="GD142" s="771"/>
      <c r="GE142" s="771"/>
      <c r="GF142" s="771"/>
      <c r="GG142" s="771"/>
      <c r="GH142" s="771"/>
      <c r="GI142" s="771"/>
      <c r="GJ142" s="771"/>
      <c r="GK142" s="771"/>
      <c r="GL142" s="771"/>
      <c r="GM142" s="771"/>
      <c r="GN142" s="771"/>
      <c r="GO142" s="771"/>
      <c r="GP142" s="770"/>
      <c r="GQ142" s="770"/>
      <c r="GR142" s="770"/>
      <c r="GS142" s="770"/>
      <c r="GT142" s="770"/>
      <c r="GU142" s="770"/>
      <c r="GV142" s="772"/>
      <c r="GW142" s="770"/>
      <c r="GX142" s="770"/>
      <c r="GY142" s="770"/>
      <c r="GZ142" s="770"/>
      <c r="HA142" s="770"/>
      <c r="HB142" s="770"/>
      <c r="HC142" s="770"/>
      <c r="HD142" s="770"/>
      <c r="HE142" s="770"/>
      <c r="HF142" s="770"/>
      <c r="HG142" s="770"/>
      <c r="HH142" s="770"/>
      <c r="HI142" s="770"/>
      <c r="HJ142" s="770"/>
      <c r="HK142" s="770"/>
      <c r="HL142" s="772"/>
      <c r="HM142" s="772"/>
      <c r="HN142" s="770"/>
      <c r="HO142" s="770"/>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2313</v>
      </c>
      <c r="C143" s="2"/>
      <c r="D143" s="2"/>
      <c r="E143" s="2"/>
      <c r="F143" s="1539"/>
      <c r="G143" s="1540"/>
      <c r="H143" s="2"/>
      <c r="I143" s="2"/>
      <c r="J143" s="169" t="s">
        <v>3828</v>
      </c>
      <c r="K143" s="1088">
        <f>SUM(K141:L142)</f>
        <v>4000</v>
      </c>
      <c r="L143" s="1089"/>
      <c r="M143" s="2"/>
      <c r="N143" s="1542" t="s">
        <v>68</v>
      </c>
      <c r="O143" s="1543"/>
      <c r="P143" s="1544">
        <v>3000</v>
      </c>
      <c r="T143" s="1455"/>
      <c r="U143" s="1456"/>
      <c r="V143" s="758"/>
      <c r="W143" s="758"/>
      <c r="X143" s="758"/>
      <c r="Y143" s="770"/>
      <c r="Z143" s="770"/>
      <c r="AA143" s="770"/>
      <c r="AB143" s="770"/>
      <c r="AC143" s="770"/>
      <c r="AD143" s="770"/>
      <c r="AE143" s="770"/>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0"/>
      <c r="DP143" s="770"/>
      <c r="DQ143" s="770"/>
      <c r="DR143" s="770"/>
      <c r="DS143" s="770"/>
      <c r="DT143" s="770"/>
      <c r="DU143" s="770"/>
      <c r="DV143" s="770"/>
      <c r="DW143" s="770"/>
      <c r="DX143" s="770"/>
      <c r="DY143" s="770"/>
      <c r="DZ143" s="770"/>
      <c r="EA143" s="770"/>
      <c r="EB143" s="770"/>
      <c r="EC143" s="770"/>
      <c r="ED143" s="770"/>
      <c r="EE143" s="770"/>
      <c r="EF143" s="770"/>
      <c r="EG143" s="770"/>
      <c r="EH143" s="770"/>
      <c r="EI143" s="770"/>
      <c r="EJ143" s="770"/>
      <c r="EK143" s="770"/>
      <c r="EL143" s="770"/>
      <c r="EM143" s="770"/>
      <c r="EN143" s="770"/>
      <c r="EO143" s="770"/>
      <c r="EP143" s="770"/>
      <c r="EQ143" s="770"/>
      <c r="ER143" s="770"/>
      <c r="ES143" s="770"/>
      <c r="ET143" s="770"/>
      <c r="EU143" s="770"/>
      <c r="EV143" s="770"/>
      <c r="EW143" s="770"/>
      <c r="EX143" s="770"/>
      <c r="EY143" s="770"/>
      <c r="EZ143" s="770"/>
      <c r="FA143" s="770"/>
      <c r="FB143" s="770"/>
      <c r="FC143" s="770"/>
      <c r="FD143" s="770"/>
      <c r="FE143" s="770"/>
      <c r="FF143" s="770"/>
      <c r="FG143" s="770"/>
      <c r="FH143" s="770"/>
      <c r="FI143" s="770"/>
      <c r="FJ143" s="770"/>
      <c r="FK143" s="770"/>
      <c r="FL143" s="770"/>
      <c r="FM143" s="770"/>
      <c r="FN143" s="770"/>
      <c r="FO143" s="770"/>
      <c r="FP143" s="770"/>
      <c r="FQ143" s="770"/>
      <c r="FR143" s="770"/>
      <c r="FS143" s="770"/>
      <c r="FT143" s="770"/>
      <c r="FU143" s="770"/>
      <c r="FV143" s="770"/>
      <c r="FW143" s="770"/>
      <c r="FX143" s="770"/>
      <c r="FY143" s="771"/>
      <c r="FZ143" s="771"/>
      <c r="GA143" s="771"/>
      <c r="GB143" s="771"/>
      <c r="GC143" s="771"/>
      <c r="GD143" s="771"/>
      <c r="GE143" s="771"/>
      <c r="GF143" s="771"/>
      <c r="GG143" s="771"/>
      <c r="GH143" s="771"/>
      <c r="GI143" s="771"/>
      <c r="GJ143" s="771"/>
      <c r="GK143" s="771"/>
      <c r="GL143" s="771"/>
      <c r="GM143" s="771"/>
      <c r="GN143" s="771"/>
      <c r="GO143" s="771"/>
      <c r="GP143" s="770"/>
      <c r="GQ143" s="770"/>
      <c r="GR143" s="770"/>
      <c r="GS143" s="770"/>
      <c r="GT143" s="770"/>
      <c r="GU143" s="770"/>
      <c r="GV143" s="772"/>
      <c r="GW143" s="770"/>
      <c r="GX143" s="770"/>
      <c r="GY143" s="770"/>
      <c r="GZ143" s="770"/>
      <c r="HA143" s="770"/>
      <c r="HB143" s="770"/>
      <c r="HC143" s="770"/>
      <c r="HD143" s="770"/>
      <c r="HE143" s="770"/>
      <c r="HF143" s="770"/>
      <c r="HG143" s="770"/>
      <c r="HH143" s="770"/>
      <c r="HI143" s="770"/>
      <c r="HJ143" s="770"/>
      <c r="HK143" s="770"/>
      <c r="HL143" s="772"/>
      <c r="HM143" s="772"/>
      <c r="HN143" s="770"/>
      <c r="HO143" s="770"/>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45" t="s">
        <v>4011</v>
      </c>
      <c r="C144" s="1546"/>
      <c r="D144" s="1546"/>
      <c r="E144" s="1547"/>
      <c r="F144" s="1548"/>
      <c r="G144" s="1549"/>
      <c r="H144" s="2"/>
      <c r="I144" s="2"/>
      <c r="J144" s="2"/>
      <c r="K144" s="2"/>
      <c r="L144" s="2"/>
      <c r="M144" s="2"/>
      <c r="N144" s="13" t="s">
        <v>3828</v>
      </c>
      <c r="O144" s="2"/>
      <c r="P144" s="634">
        <f>SUM(P141:P143)</f>
        <v>189910</v>
      </c>
      <c r="T144" s="1455"/>
      <c r="U144" s="1456"/>
      <c r="V144" s="758"/>
      <c r="W144" s="758"/>
      <c r="X144" s="758"/>
      <c r="Y144" s="770"/>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0"/>
      <c r="DP144" s="770"/>
      <c r="DQ144" s="770"/>
      <c r="DR144" s="770"/>
      <c r="DS144" s="770"/>
      <c r="DT144" s="770"/>
      <c r="DU144" s="770"/>
      <c r="DV144" s="770"/>
      <c r="DW144" s="770"/>
      <c r="DX144" s="770"/>
      <c r="DY144" s="770"/>
      <c r="DZ144" s="770"/>
      <c r="EA144" s="770"/>
      <c r="EB144" s="770"/>
      <c r="EC144" s="770"/>
      <c r="ED144" s="770"/>
      <c r="EE144" s="770"/>
      <c r="EF144" s="770"/>
      <c r="EG144" s="770"/>
      <c r="EH144" s="770"/>
      <c r="EI144" s="770"/>
      <c r="EJ144" s="770"/>
      <c r="EK144" s="770"/>
      <c r="EL144" s="770"/>
      <c r="EM144" s="770"/>
      <c r="EN144" s="770"/>
      <c r="EO144" s="770"/>
      <c r="EP144" s="770"/>
      <c r="EQ144" s="770"/>
      <c r="ER144" s="770"/>
      <c r="ES144" s="770"/>
      <c r="ET144" s="770"/>
      <c r="EU144" s="770"/>
      <c r="EV144" s="770"/>
      <c r="EW144" s="770"/>
      <c r="EX144" s="770"/>
      <c r="EY144" s="770"/>
      <c r="EZ144" s="770"/>
      <c r="FA144" s="770"/>
      <c r="FB144" s="770"/>
      <c r="FC144" s="770"/>
      <c r="FD144" s="770"/>
      <c r="FE144" s="770"/>
      <c r="FF144" s="770"/>
      <c r="FG144" s="770"/>
      <c r="FH144" s="770"/>
      <c r="FI144" s="770"/>
      <c r="FJ144" s="770"/>
      <c r="FK144" s="770"/>
      <c r="FL144" s="770"/>
      <c r="FM144" s="770"/>
      <c r="FN144" s="770"/>
      <c r="FO144" s="770"/>
      <c r="FP144" s="770"/>
      <c r="FQ144" s="770"/>
      <c r="FR144" s="770"/>
      <c r="FS144" s="770"/>
      <c r="FT144" s="770"/>
      <c r="FU144" s="770"/>
      <c r="FV144" s="770"/>
      <c r="FW144" s="770"/>
      <c r="FX144" s="770"/>
      <c r="FY144" s="771"/>
      <c r="FZ144" s="771"/>
      <c r="GA144" s="771"/>
      <c r="GB144" s="771"/>
      <c r="GC144" s="771"/>
      <c r="GD144" s="771"/>
      <c r="GE144" s="771"/>
      <c r="GF144" s="771"/>
      <c r="GG144" s="771"/>
      <c r="GH144" s="771"/>
      <c r="GI144" s="771"/>
      <c r="GJ144" s="771"/>
      <c r="GK144" s="771"/>
      <c r="GL144" s="771"/>
      <c r="GM144" s="771"/>
      <c r="GN144" s="771"/>
      <c r="GO144" s="771"/>
      <c r="GP144" s="770"/>
      <c r="GQ144" s="770"/>
      <c r="GR144" s="770"/>
      <c r="GS144" s="770"/>
      <c r="GT144" s="770"/>
      <c r="GU144" s="770"/>
      <c r="GV144" s="772"/>
      <c r="GW144" s="770"/>
      <c r="GX144" s="770"/>
      <c r="GY144" s="770"/>
      <c r="GZ144" s="770"/>
      <c r="HA144" s="770"/>
      <c r="HB144" s="770"/>
      <c r="HC144" s="770"/>
      <c r="HD144" s="770"/>
      <c r="HE144" s="770"/>
      <c r="HF144" s="770"/>
      <c r="HG144" s="770"/>
      <c r="HH144" s="770"/>
      <c r="HI144" s="770"/>
      <c r="HJ144" s="770"/>
      <c r="HK144" s="770"/>
      <c r="HL144" s="772"/>
      <c r="HM144" s="772"/>
      <c r="HN144" s="770"/>
      <c r="HO144" s="770"/>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3828</v>
      </c>
      <c r="D145" s="2"/>
      <c r="E145" s="2"/>
      <c r="F145" s="1088">
        <f>SUM(F141:G144)</f>
        <v>79000</v>
      </c>
      <c r="G145" s="1089"/>
      <c r="H145" s="2"/>
      <c r="I145" s="2"/>
      <c r="J145" s="14"/>
      <c r="K145" s="2"/>
      <c r="L145" s="2"/>
      <c r="M145" s="2"/>
      <c r="N145" s="2"/>
      <c r="O145" s="2"/>
      <c r="P145" s="2"/>
      <c r="T145" s="1455"/>
      <c r="U145" s="1456"/>
      <c r="V145" s="758"/>
      <c r="W145" s="758"/>
      <c r="X145" s="758"/>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0"/>
      <c r="DP145" s="770"/>
      <c r="DQ145" s="770"/>
      <c r="DR145" s="770"/>
      <c r="DS145" s="770"/>
      <c r="DT145" s="770"/>
      <c r="DU145" s="770"/>
      <c r="DV145" s="770"/>
      <c r="DW145" s="770"/>
      <c r="DX145" s="770"/>
      <c r="DY145" s="770"/>
      <c r="DZ145" s="770"/>
      <c r="EA145" s="770"/>
      <c r="EB145" s="770"/>
      <c r="EC145" s="770"/>
      <c r="ED145" s="770"/>
      <c r="EE145" s="770"/>
      <c r="EF145" s="770"/>
      <c r="EG145" s="770"/>
      <c r="EH145" s="770"/>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1"/>
      <c r="FZ145" s="771"/>
      <c r="GA145" s="771"/>
      <c r="GB145" s="771"/>
      <c r="GC145" s="771"/>
      <c r="GD145" s="771"/>
      <c r="GE145" s="771"/>
      <c r="GF145" s="771"/>
      <c r="GG145" s="771"/>
      <c r="GH145" s="771"/>
      <c r="GI145" s="771"/>
      <c r="GJ145" s="771"/>
      <c r="GK145" s="771"/>
      <c r="GL145" s="771"/>
      <c r="GM145" s="771"/>
      <c r="GN145" s="771"/>
      <c r="GO145" s="771"/>
      <c r="GP145" s="770"/>
      <c r="GQ145" s="770"/>
      <c r="GR145" s="770"/>
      <c r="GS145" s="770"/>
      <c r="GT145" s="770"/>
      <c r="GU145" s="770"/>
      <c r="GV145" s="772"/>
      <c r="GW145" s="770"/>
      <c r="GX145" s="770"/>
      <c r="GY145" s="770"/>
      <c r="GZ145" s="770"/>
      <c r="HA145" s="770"/>
      <c r="HB145" s="770"/>
      <c r="HC145" s="770"/>
      <c r="HD145" s="770"/>
      <c r="HE145" s="770"/>
      <c r="HF145" s="770"/>
      <c r="HG145" s="770"/>
      <c r="HH145" s="770"/>
      <c r="HI145" s="770"/>
      <c r="HJ145" s="770"/>
      <c r="HK145" s="770"/>
      <c r="HL145" s="772"/>
      <c r="HM145" s="772"/>
      <c r="HN145" s="770"/>
      <c r="HO145" s="770"/>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55"/>
      <c r="U146" s="1456"/>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0"/>
      <c r="DP146" s="770"/>
      <c r="DQ146" s="770"/>
      <c r="DR146" s="770"/>
      <c r="DS146" s="770"/>
      <c r="DT146" s="770"/>
      <c r="DU146" s="770"/>
      <c r="DV146" s="770"/>
      <c r="DW146" s="770"/>
      <c r="DX146" s="770"/>
      <c r="DY146" s="770"/>
      <c r="DZ146" s="770"/>
      <c r="EA146" s="770"/>
      <c r="EB146" s="770"/>
      <c r="EC146" s="770"/>
      <c r="ED146" s="770"/>
      <c r="EE146" s="770"/>
      <c r="EF146" s="770"/>
      <c r="EG146" s="770"/>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1"/>
      <c r="FZ146" s="771"/>
      <c r="GA146" s="771"/>
      <c r="GB146" s="771"/>
      <c r="GC146" s="771"/>
      <c r="GD146" s="771"/>
      <c r="GE146" s="771"/>
      <c r="GF146" s="771"/>
      <c r="GG146" s="771"/>
      <c r="GH146" s="771"/>
      <c r="GI146" s="771"/>
      <c r="GJ146" s="771"/>
      <c r="GK146" s="771"/>
      <c r="GL146" s="771"/>
      <c r="GM146" s="771"/>
      <c r="GN146" s="771"/>
      <c r="GO146" s="771"/>
      <c r="GP146" s="770"/>
      <c r="GQ146" s="770"/>
      <c r="GR146" s="770"/>
      <c r="GS146" s="770"/>
      <c r="GT146" s="770"/>
      <c r="GU146" s="770"/>
      <c r="GV146" s="772"/>
      <c r="GW146" s="770"/>
      <c r="GX146" s="770"/>
      <c r="GY146" s="770"/>
      <c r="GZ146" s="770"/>
      <c r="HA146" s="770"/>
      <c r="HB146" s="770"/>
      <c r="HC146" s="770"/>
      <c r="HD146" s="770"/>
      <c r="HE146" s="770"/>
      <c r="HF146" s="770"/>
      <c r="HG146" s="770"/>
      <c r="HH146" s="770"/>
      <c r="HI146" s="770"/>
      <c r="HJ146" s="770"/>
      <c r="HK146" s="770"/>
      <c r="HL146" s="772"/>
      <c r="HM146" s="772"/>
      <c r="HN146" s="770"/>
      <c r="HO146" s="770"/>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35" customHeight="1" thickBot="1">
      <c r="A147" s="2"/>
      <c r="B147" s="11" t="s">
        <v>2273</v>
      </c>
      <c r="C147" s="2"/>
      <c r="D147" s="10"/>
      <c r="E147" s="2"/>
      <c r="F147" s="2"/>
      <c r="G147" s="2"/>
      <c r="H147" s="2"/>
      <c r="I147" s="11" t="s">
        <v>2127</v>
      </c>
      <c r="J147" s="2"/>
      <c r="K147" s="2"/>
      <c r="L147" s="2"/>
      <c r="M147" s="2"/>
      <c r="N147" s="11" t="s">
        <v>2212</v>
      </c>
      <c r="O147" s="2"/>
      <c r="P147" s="633">
        <f>IF(OR('Part VII-Pro Forma'!$B$20 = "Choose Mgt Fee",'Part VII-Pro Forma'!$B$20 = "Choose One!"), 0,- 'Part VII-Pro Forma'!$B$20)</f>
        <v>43972</v>
      </c>
      <c r="T147" s="1455"/>
      <c r="U147" s="1456"/>
      <c r="V147" s="758"/>
      <c r="W147" s="758"/>
      <c r="X147" s="758"/>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0"/>
      <c r="DL147" s="770"/>
      <c r="DM147" s="770"/>
      <c r="DN147" s="770"/>
      <c r="DO147" s="770"/>
      <c r="DP147" s="770"/>
      <c r="DQ147" s="770"/>
      <c r="DR147" s="770"/>
      <c r="DS147" s="770"/>
      <c r="DT147" s="770"/>
      <c r="DU147" s="770"/>
      <c r="DV147" s="770"/>
      <c r="DW147" s="770"/>
      <c r="DX147" s="770"/>
      <c r="DY147" s="770"/>
      <c r="DZ147" s="770"/>
      <c r="EA147" s="770"/>
      <c r="EB147" s="770"/>
      <c r="EC147" s="770"/>
      <c r="ED147" s="770"/>
      <c r="EE147" s="770"/>
      <c r="EF147" s="770"/>
      <c r="EG147" s="770"/>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1"/>
      <c r="FZ147" s="771"/>
      <c r="GA147" s="771"/>
      <c r="GB147" s="771"/>
      <c r="GC147" s="771"/>
      <c r="GD147" s="771"/>
      <c r="GE147" s="771"/>
      <c r="GF147" s="771"/>
      <c r="GG147" s="771"/>
      <c r="GH147" s="771"/>
      <c r="GI147" s="771"/>
      <c r="GJ147" s="771"/>
      <c r="GK147" s="771"/>
      <c r="GL147" s="771"/>
      <c r="GM147" s="771"/>
      <c r="GN147" s="771"/>
      <c r="GO147" s="771"/>
      <c r="GP147" s="770"/>
      <c r="GQ147" s="770"/>
      <c r="GR147" s="770"/>
      <c r="GS147" s="770"/>
      <c r="GT147" s="770"/>
      <c r="GU147" s="770"/>
      <c r="GV147" s="772"/>
      <c r="GW147" s="770"/>
      <c r="GX147" s="770"/>
      <c r="GY147" s="770"/>
      <c r="GZ147" s="770"/>
      <c r="HA147" s="770"/>
      <c r="HB147" s="770"/>
      <c r="HC147" s="770"/>
      <c r="HD147" s="770"/>
      <c r="HE147" s="770"/>
      <c r="HF147" s="770"/>
      <c r="HG147" s="770"/>
      <c r="HH147" s="770"/>
      <c r="HI147" s="770"/>
      <c r="HJ147" s="770"/>
      <c r="HK147" s="770"/>
      <c r="HL147" s="772"/>
      <c r="HM147" s="772"/>
      <c r="HN147" s="770"/>
      <c r="HO147" s="770"/>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2204</v>
      </c>
      <c r="C148" s="2"/>
      <c r="D148" s="10"/>
      <c r="E148" s="2"/>
      <c r="F148" s="1539">
        <v>4000</v>
      </c>
      <c r="G148" s="1540"/>
      <c r="H148" s="2"/>
      <c r="I148" s="2" t="s">
        <v>1878</v>
      </c>
      <c r="J148" s="2"/>
      <c r="K148" s="1550">
        <v>4300</v>
      </c>
      <c r="L148" s="1551"/>
      <c r="M148" s="2"/>
      <c r="N148" s="596">
        <f>+P147/(M62*0.93)</f>
        <v>519.57934538579696</v>
      </c>
      <c r="O148" s="30" t="s">
        <v>662</v>
      </c>
      <c r="P148" s="2"/>
      <c r="T148" s="1455"/>
      <c r="U148" s="1456"/>
      <c r="V148" s="758"/>
      <c r="W148" s="758"/>
      <c r="X148" s="758"/>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0"/>
      <c r="CW148" s="770"/>
      <c r="CX148" s="770"/>
      <c r="CY148" s="770"/>
      <c r="CZ148" s="770"/>
      <c r="DA148" s="770"/>
      <c r="DB148" s="770"/>
      <c r="DC148" s="770"/>
      <c r="DD148" s="770"/>
      <c r="DE148" s="770"/>
      <c r="DF148" s="770"/>
      <c r="DG148" s="770"/>
      <c r="DH148" s="770"/>
      <c r="DI148" s="770"/>
      <c r="DJ148" s="770"/>
      <c r="DK148" s="770"/>
      <c r="DL148" s="770"/>
      <c r="DM148" s="770"/>
      <c r="DN148" s="770"/>
      <c r="DO148" s="770"/>
      <c r="DP148" s="770"/>
      <c r="DQ148" s="770"/>
      <c r="DR148" s="770"/>
      <c r="DS148" s="770"/>
      <c r="DT148" s="770"/>
      <c r="DU148" s="770"/>
      <c r="DV148" s="770"/>
      <c r="DW148" s="770"/>
      <c r="DX148" s="770"/>
      <c r="DY148" s="770"/>
      <c r="DZ148" s="770"/>
      <c r="EA148" s="770"/>
      <c r="EB148" s="770"/>
      <c r="EC148" s="770"/>
      <c r="ED148" s="770"/>
      <c r="EE148" s="770"/>
      <c r="EF148" s="770"/>
      <c r="EG148" s="770"/>
      <c r="EH148" s="770"/>
      <c r="EI148" s="770"/>
      <c r="EJ148" s="770"/>
      <c r="EK148" s="770"/>
      <c r="EL148" s="770"/>
      <c r="EM148" s="770"/>
      <c r="EN148" s="770"/>
      <c r="EO148" s="770"/>
      <c r="EP148" s="770"/>
      <c r="EQ148" s="770"/>
      <c r="ER148" s="770"/>
      <c r="ES148" s="770"/>
      <c r="ET148" s="770"/>
      <c r="EU148" s="770"/>
      <c r="EV148" s="770"/>
      <c r="EW148" s="770"/>
      <c r="EX148" s="770"/>
      <c r="EY148" s="770"/>
      <c r="EZ148" s="770"/>
      <c r="FA148" s="770"/>
      <c r="FB148" s="770"/>
      <c r="FC148" s="770"/>
      <c r="FD148" s="770"/>
      <c r="FE148" s="770"/>
      <c r="FF148" s="770"/>
      <c r="FG148" s="770"/>
      <c r="FH148" s="770"/>
      <c r="FI148" s="770"/>
      <c r="FJ148" s="770"/>
      <c r="FK148" s="770"/>
      <c r="FL148" s="770"/>
      <c r="FM148" s="770"/>
      <c r="FN148" s="770"/>
      <c r="FO148" s="770"/>
      <c r="FP148" s="770"/>
      <c r="FQ148" s="770"/>
      <c r="FR148" s="770"/>
      <c r="FS148" s="770"/>
      <c r="FT148" s="770"/>
      <c r="FU148" s="770"/>
      <c r="FV148" s="770"/>
      <c r="FW148" s="770"/>
      <c r="FX148" s="770"/>
      <c r="FY148" s="771"/>
      <c r="FZ148" s="771"/>
      <c r="GA148" s="771"/>
      <c r="GB148" s="771"/>
      <c r="GC148" s="771"/>
      <c r="GD148" s="771"/>
      <c r="GE148" s="771"/>
      <c r="GF148" s="771"/>
      <c r="GG148" s="771"/>
      <c r="GH148" s="771"/>
      <c r="GI148" s="771"/>
      <c r="GJ148" s="771"/>
      <c r="GK148" s="771"/>
      <c r="GL148" s="771"/>
      <c r="GM148" s="771"/>
      <c r="GN148" s="771"/>
      <c r="GO148" s="771"/>
      <c r="GP148" s="770"/>
      <c r="GQ148" s="770"/>
      <c r="GR148" s="770"/>
      <c r="GS148" s="770"/>
      <c r="GT148" s="770"/>
      <c r="GU148" s="770"/>
      <c r="GV148" s="772"/>
      <c r="GW148" s="770"/>
      <c r="GX148" s="770"/>
      <c r="GY148" s="770"/>
      <c r="GZ148" s="770"/>
      <c r="HA148" s="770"/>
      <c r="HB148" s="770"/>
      <c r="HC148" s="770"/>
      <c r="HD148" s="770"/>
      <c r="HE148" s="770"/>
      <c r="HF148" s="770"/>
      <c r="HG148" s="770"/>
      <c r="HH148" s="770"/>
      <c r="HI148" s="770"/>
      <c r="HJ148" s="770"/>
      <c r="HK148" s="770"/>
      <c r="HL148" s="772"/>
      <c r="HM148" s="772"/>
      <c r="HN148" s="770"/>
      <c r="HO148" s="770"/>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2205</v>
      </c>
      <c r="C149" s="2"/>
      <c r="D149" s="10"/>
      <c r="E149" s="2"/>
      <c r="F149" s="1539">
        <v>4000</v>
      </c>
      <c r="G149" s="1540"/>
      <c r="H149" s="2"/>
      <c r="I149" s="2" t="s">
        <v>1131</v>
      </c>
      <c r="J149" s="2"/>
      <c r="K149" s="1552">
        <v>6620</v>
      </c>
      <c r="L149" s="1553"/>
      <c r="M149" s="2"/>
      <c r="N149" s="596">
        <f>+P147/(M62*0.93)/12</f>
        <v>43.298278782149744</v>
      </c>
      <c r="O149" s="30" t="s">
        <v>663</v>
      </c>
      <c r="P149" s="2"/>
      <c r="T149" s="1455"/>
      <c r="U149" s="1456"/>
      <c r="V149" s="758"/>
      <c r="W149" s="758"/>
      <c r="X149" s="758"/>
      <c r="Y149" s="770"/>
      <c r="Z149" s="770"/>
      <c r="AA149" s="770"/>
      <c r="AB149" s="770"/>
      <c r="AC149" s="770"/>
      <c r="AD149" s="770"/>
      <c r="AE149" s="770"/>
      <c r="AF149" s="770"/>
      <c r="AG149" s="770"/>
      <c r="AH149" s="770"/>
      <c r="AI149" s="770"/>
      <c r="AJ149" s="770"/>
      <c r="AK149" s="770"/>
      <c r="AL149" s="770"/>
      <c r="AM149" s="770"/>
      <c r="AN149" s="770"/>
      <c r="AO149" s="770"/>
      <c r="AP149" s="770"/>
      <c r="AQ149" s="770"/>
      <c r="AR149" s="770"/>
      <c r="AS149" s="770"/>
      <c r="AT149" s="770"/>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0"/>
      <c r="BX149" s="770"/>
      <c r="BY149" s="770"/>
      <c r="BZ149" s="770"/>
      <c r="CA149" s="770"/>
      <c r="CB149" s="770"/>
      <c r="CC149" s="770"/>
      <c r="CD149" s="770"/>
      <c r="CE149" s="770"/>
      <c r="CF149" s="770"/>
      <c r="CG149" s="770"/>
      <c r="CH149" s="770"/>
      <c r="CI149" s="770"/>
      <c r="CJ149" s="770"/>
      <c r="CK149" s="770"/>
      <c r="CL149" s="770"/>
      <c r="CM149" s="770"/>
      <c r="CN149" s="770"/>
      <c r="CO149" s="770"/>
      <c r="CP149" s="770"/>
      <c r="CQ149" s="770"/>
      <c r="CR149" s="770"/>
      <c r="CS149" s="770"/>
      <c r="CT149" s="770"/>
      <c r="CU149" s="770"/>
      <c r="CV149" s="770"/>
      <c r="CW149" s="770"/>
      <c r="CX149" s="770"/>
      <c r="CY149" s="770"/>
      <c r="CZ149" s="770"/>
      <c r="DA149" s="770"/>
      <c r="DB149" s="770"/>
      <c r="DC149" s="770"/>
      <c r="DD149" s="770"/>
      <c r="DE149" s="770"/>
      <c r="DF149" s="770"/>
      <c r="DG149" s="770"/>
      <c r="DH149" s="770"/>
      <c r="DI149" s="770"/>
      <c r="DJ149" s="770"/>
      <c r="DK149" s="770"/>
      <c r="DL149" s="770"/>
      <c r="DM149" s="770"/>
      <c r="DN149" s="770"/>
      <c r="DO149" s="770"/>
      <c r="DP149" s="770"/>
      <c r="DQ149" s="770"/>
      <c r="DR149" s="770"/>
      <c r="DS149" s="770"/>
      <c r="DT149" s="770"/>
      <c r="DU149" s="770"/>
      <c r="DV149" s="770"/>
      <c r="DW149" s="770"/>
      <c r="DX149" s="770"/>
      <c r="DY149" s="770"/>
      <c r="DZ149" s="770"/>
      <c r="EA149" s="770"/>
      <c r="EB149" s="770"/>
      <c r="EC149" s="770"/>
      <c r="ED149" s="770"/>
      <c r="EE149" s="770"/>
      <c r="EF149" s="770"/>
      <c r="EG149" s="770"/>
      <c r="EH149" s="770"/>
      <c r="EI149" s="770"/>
      <c r="EJ149" s="770"/>
      <c r="EK149" s="770"/>
      <c r="EL149" s="770"/>
      <c r="EM149" s="770"/>
      <c r="EN149" s="770"/>
      <c r="EO149" s="770"/>
      <c r="EP149" s="770"/>
      <c r="EQ149" s="770"/>
      <c r="ER149" s="770"/>
      <c r="ES149" s="770"/>
      <c r="ET149" s="770"/>
      <c r="EU149" s="770"/>
      <c r="EV149" s="770"/>
      <c r="EW149" s="770"/>
      <c r="EX149" s="770"/>
      <c r="EY149" s="770"/>
      <c r="EZ149" s="770"/>
      <c r="FA149" s="770"/>
      <c r="FB149" s="770"/>
      <c r="FC149" s="770"/>
      <c r="FD149" s="770"/>
      <c r="FE149" s="770"/>
      <c r="FF149" s="770"/>
      <c r="FG149" s="770"/>
      <c r="FH149" s="770"/>
      <c r="FI149" s="770"/>
      <c r="FJ149" s="770"/>
      <c r="FK149" s="770"/>
      <c r="FL149" s="770"/>
      <c r="FM149" s="770"/>
      <c r="FN149" s="770"/>
      <c r="FO149" s="770"/>
      <c r="FP149" s="770"/>
      <c r="FQ149" s="770"/>
      <c r="FR149" s="770"/>
      <c r="FS149" s="770"/>
      <c r="FT149" s="770"/>
      <c r="FU149" s="770"/>
      <c r="FV149" s="770"/>
      <c r="FW149" s="770"/>
      <c r="FX149" s="770"/>
      <c r="FY149" s="771"/>
      <c r="FZ149" s="771"/>
      <c r="GA149" s="771"/>
      <c r="GB149" s="771"/>
      <c r="GC149" s="771"/>
      <c r="GD149" s="771"/>
      <c r="GE149" s="771"/>
      <c r="GF149" s="771"/>
      <c r="GG149" s="771"/>
      <c r="GH149" s="771"/>
      <c r="GI149" s="771"/>
      <c r="GJ149" s="771"/>
      <c r="GK149" s="771"/>
      <c r="GL149" s="771"/>
      <c r="GM149" s="771"/>
      <c r="GN149" s="771"/>
      <c r="GO149" s="771"/>
      <c r="GP149" s="770"/>
      <c r="GQ149" s="770"/>
      <c r="GR149" s="770"/>
      <c r="GS149" s="770"/>
      <c r="GT149" s="770"/>
      <c r="GU149" s="770"/>
      <c r="GV149" s="772"/>
      <c r="GW149" s="770"/>
      <c r="GX149" s="770"/>
      <c r="GY149" s="770"/>
      <c r="GZ149" s="770"/>
      <c r="HA149" s="770"/>
      <c r="HB149" s="770"/>
      <c r="HC149" s="770"/>
      <c r="HD149" s="770"/>
      <c r="HE149" s="770"/>
      <c r="HF149" s="770"/>
      <c r="HG149" s="770"/>
      <c r="HH149" s="770"/>
      <c r="HI149" s="770"/>
      <c r="HJ149" s="770"/>
      <c r="HK149" s="770"/>
      <c r="HL149" s="772"/>
      <c r="HM149" s="772"/>
      <c r="HN149" s="770"/>
      <c r="HO149" s="770"/>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2206</v>
      </c>
      <c r="C150" s="2"/>
      <c r="D150" s="10"/>
      <c r="E150" s="2"/>
      <c r="F150" s="1539">
        <v>2500</v>
      </c>
      <c r="G150" s="1540"/>
      <c r="H150" s="2"/>
      <c r="I150" s="2" t="s">
        <v>1879</v>
      </c>
      <c r="J150" s="2"/>
      <c r="K150" s="1552">
        <v>4095</v>
      </c>
      <c r="L150" s="1553"/>
      <c r="M150" s="2"/>
      <c r="N150" s="2"/>
      <c r="O150" s="2"/>
      <c r="P150" s="2"/>
      <c r="T150" s="1455"/>
      <c r="U150" s="1456"/>
      <c r="V150" s="758"/>
      <c r="W150" s="758"/>
      <c r="X150" s="758"/>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0"/>
      <c r="BX150" s="770"/>
      <c r="BY150" s="770"/>
      <c r="BZ150" s="770"/>
      <c r="CA150" s="770"/>
      <c r="CB150" s="770"/>
      <c r="CC150" s="770"/>
      <c r="CD150" s="770"/>
      <c r="CE150" s="770"/>
      <c r="CF150" s="770"/>
      <c r="CG150" s="770"/>
      <c r="CH150" s="770"/>
      <c r="CI150" s="770"/>
      <c r="CJ150" s="770"/>
      <c r="CK150" s="770"/>
      <c r="CL150" s="770"/>
      <c r="CM150" s="770"/>
      <c r="CN150" s="770"/>
      <c r="CO150" s="770"/>
      <c r="CP150" s="770"/>
      <c r="CQ150" s="770"/>
      <c r="CR150" s="770"/>
      <c r="CS150" s="770"/>
      <c r="CT150" s="770"/>
      <c r="CU150" s="770"/>
      <c r="CV150" s="770"/>
      <c r="CW150" s="770"/>
      <c r="CX150" s="770"/>
      <c r="CY150" s="770"/>
      <c r="CZ150" s="770"/>
      <c r="DA150" s="770"/>
      <c r="DB150" s="770"/>
      <c r="DC150" s="770"/>
      <c r="DD150" s="770"/>
      <c r="DE150" s="770"/>
      <c r="DF150" s="770"/>
      <c r="DG150" s="770"/>
      <c r="DH150" s="770"/>
      <c r="DI150" s="770"/>
      <c r="DJ150" s="770"/>
      <c r="DK150" s="770"/>
      <c r="DL150" s="770"/>
      <c r="DM150" s="770"/>
      <c r="DN150" s="770"/>
      <c r="DO150" s="770"/>
      <c r="DP150" s="770"/>
      <c r="DQ150" s="770"/>
      <c r="DR150" s="770"/>
      <c r="DS150" s="770"/>
      <c r="DT150" s="770"/>
      <c r="DU150" s="770"/>
      <c r="DV150" s="770"/>
      <c r="DW150" s="770"/>
      <c r="DX150" s="770"/>
      <c r="DY150" s="770"/>
      <c r="DZ150" s="770"/>
      <c r="EA150" s="770"/>
      <c r="EB150" s="770"/>
      <c r="EC150" s="770"/>
      <c r="ED150" s="770"/>
      <c r="EE150" s="770"/>
      <c r="EF150" s="770"/>
      <c r="EG150" s="770"/>
      <c r="EH150" s="770"/>
      <c r="EI150" s="770"/>
      <c r="EJ150" s="770"/>
      <c r="EK150" s="770"/>
      <c r="EL150" s="770"/>
      <c r="EM150" s="770"/>
      <c r="EN150" s="770"/>
      <c r="EO150" s="770"/>
      <c r="EP150" s="770"/>
      <c r="EQ150" s="770"/>
      <c r="ER150" s="770"/>
      <c r="ES150" s="770"/>
      <c r="ET150" s="770"/>
      <c r="EU150" s="770"/>
      <c r="EV150" s="770"/>
      <c r="EW150" s="770"/>
      <c r="EX150" s="770"/>
      <c r="EY150" s="770"/>
      <c r="EZ150" s="770"/>
      <c r="FA150" s="770"/>
      <c r="FB150" s="770"/>
      <c r="FC150" s="770"/>
      <c r="FD150" s="770"/>
      <c r="FE150" s="770"/>
      <c r="FF150" s="770"/>
      <c r="FG150" s="770"/>
      <c r="FH150" s="770"/>
      <c r="FI150" s="770"/>
      <c r="FJ150" s="770"/>
      <c r="FK150" s="770"/>
      <c r="FL150" s="770"/>
      <c r="FM150" s="770"/>
      <c r="FN150" s="770"/>
      <c r="FO150" s="770"/>
      <c r="FP150" s="770"/>
      <c r="FQ150" s="770"/>
      <c r="FR150" s="770"/>
      <c r="FS150" s="770"/>
      <c r="FT150" s="770"/>
      <c r="FU150" s="770"/>
      <c r="FV150" s="770"/>
      <c r="FW150" s="770"/>
      <c r="FX150" s="770"/>
      <c r="FY150" s="771"/>
      <c r="FZ150" s="771"/>
      <c r="GA150" s="771"/>
      <c r="GB150" s="771"/>
      <c r="GC150" s="771"/>
      <c r="GD150" s="771"/>
      <c r="GE150" s="771"/>
      <c r="GF150" s="771"/>
      <c r="GG150" s="771"/>
      <c r="GH150" s="771"/>
      <c r="GI150" s="771"/>
      <c r="GJ150" s="771"/>
      <c r="GK150" s="771"/>
      <c r="GL150" s="771"/>
      <c r="GM150" s="771"/>
      <c r="GN150" s="771"/>
      <c r="GO150" s="771"/>
      <c r="GP150" s="770"/>
      <c r="GQ150" s="770"/>
      <c r="GR150" s="770"/>
      <c r="GS150" s="770"/>
      <c r="GT150" s="770"/>
      <c r="GU150" s="770"/>
      <c r="GV150" s="772"/>
      <c r="GW150" s="770"/>
      <c r="GX150" s="770"/>
      <c r="GY150" s="770"/>
      <c r="GZ150" s="770"/>
      <c r="HA150" s="770"/>
      <c r="HB150" s="770"/>
      <c r="HC150" s="770"/>
      <c r="HD150" s="770"/>
      <c r="HE150" s="770"/>
      <c r="HF150" s="770"/>
      <c r="HG150" s="770"/>
      <c r="HH150" s="770"/>
      <c r="HI150" s="770"/>
      <c r="HJ150" s="770"/>
      <c r="HK150" s="770"/>
      <c r="HL150" s="772"/>
      <c r="HM150" s="772"/>
      <c r="HN150" s="770"/>
      <c r="HO150" s="770"/>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875</v>
      </c>
      <c r="C151" s="2"/>
      <c r="D151" s="10"/>
      <c r="E151" s="2"/>
      <c r="F151" s="1539"/>
      <c r="G151" s="1540"/>
      <c r="H151" s="2"/>
      <c r="I151" s="1542" t="s">
        <v>5</v>
      </c>
      <c r="J151" s="1543"/>
      <c r="K151" s="1550">
        <v>3640</v>
      </c>
      <c r="L151" s="1551"/>
      <c r="M151" s="2"/>
      <c r="N151" s="1082" t="s">
        <v>642</v>
      </c>
      <c r="O151" s="1083"/>
      <c r="P151" s="1083"/>
      <c r="T151" s="1455"/>
      <c r="U151" s="1456"/>
      <c r="V151" s="758"/>
      <c r="W151" s="758"/>
      <c r="X151" s="758"/>
      <c r="Y151" s="770"/>
      <c r="Z151" s="770"/>
      <c r="AA151" s="770"/>
      <c r="AB151" s="770"/>
      <c r="AC151" s="770"/>
      <c r="AD151" s="770"/>
      <c r="AE151" s="770"/>
      <c r="AF151" s="770"/>
      <c r="AG151" s="770"/>
      <c r="AH151" s="770"/>
      <c r="AI151" s="770"/>
      <c r="AJ151" s="770"/>
      <c r="AK151" s="770"/>
      <c r="AL151" s="770"/>
      <c r="AM151" s="770"/>
      <c r="AN151" s="770"/>
      <c r="AO151" s="770"/>
      <c r="AP151" s="770"/>
      <c r="AQ151" s="770"/>
      <c r="AR151" s="770"/>
      <c r="AS151" s="770"/>
      <c r="AT151" s="770"/>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0"/>
      <c r="BX151" s="770"/>
      <c r="BY151" s="770"/>
      <c r="BZ151" s="770"/>
      <c r="CA151" s="770"/>
      <c r="CB151" s="770"/>
      <c r="CC151" s="770"/>
      <c r="CD151" s="770"/>
      <c r="CE151" s="770"/>
      <c r="CF151" s="770"/>
      <c r="CG151" s="770"/>
      <c r="CH151" s="770"/>
      <c r="CI151" s="770"/>
      <c r="CJ151" s="770"/>
      <c r="CK151" s="770"/>
      <c r="CL151" s="770"/>
      <c r="CM151" s="770"/>
      <c r="CN151" s="770"/>
      <c r="CO151" s="770"/>
      <c r="CP151" s="770"/>
      <c r="CQ151" s="770"/>
      <c r="CR151" s="770"/>
      <c r="CS151" s="770"/>
      <c r="CT151" s="770"/>
      <c r="CU151" s="770"/>
      <c r="CV151" s="770"/>
      <c r="CW151" s="770"/>
      <c r="CX151" s="770"/>
      <c r="CY151" s="770"/>
      <c r="CZ151" s="770"/>
      <c r="DA151" s="770"/>
      <c r="DB151" s="770"/>
      <c r="DC151" s="770"/>
      <c r="DD151" s="770"/>
      <c r="DE151" s="770"/>
      <c r="DF151" s="770"/>
      <c r="DG151" s="770"/>
      <c r="DH151" s="770"/>
      <c r="DI151" s="770"/>
      <c r="DJ151" s="770"/>
      <c r="DK151" s="770"/>
      <c r="DL151" s="770"/>
      <c r="DM151" s="770"/>
      <c r="DN151" s="770"/>
      <c r="DO151" s="770"/>
      <c r="DP151" s="770"/>
      <c r="DQ151" s="770"/>
      <c r="DR151" s="770"/>
      <c r="DS151" s="770"/>
      <c r="DT151" s="770"/>
      <c r="DU151" s="770"/>
      <c r="DV151" s="770"/>
      <c r="DW151" s="770"/>
      <c r="DX151" s="770"/>
      <c r="DY151" s="770"/>
      <c r="DZ151" s="770"/>
      <c r="EA151" s="770"/>
      <c r="EB151" s="770"/>
      <c r="EC151" s="770"/>
      <c r="ED151" s="770"/>
      <c r="EE151" s="770"/>
      <c r="EF151" s="770"/>
      <c r="EG151" s="770"/>
      <c r="EH151" s="770"/>
      <c r="EI151" s="770"/>
      <c r="EJ151" s="770"/>
      <c r="EK151" s="770"/>
      <c r="EL151" s="770"/>
      <c r="EM151" s="770"/>
      <c r="EN151" s="770"/>
      <c r="EO151" s="770"/>
      <c r="EP151" s="770"/>
      <c r="EQ151" s="770"/>
      <c r="ER151" s="770"/>
      <c r="ES151" s="770"/>
      <c r="ET151" s="770"/>
      <c r="EU151" s="770"/>
      <c r="EV151" s="770"/>
      <c r="EW151" s="770"/>
      <c r="EX151" s="770"/>
      <c r="EY151" s="770"/>
      <c r="EZ151" s="770"/>
      <c r="FA151" s="770"/>
      <c r="FB151" s="770"/>
      <c r="FC151" s="770"/>
      <c r="FD151" s="770"/>
      <c r="FE151" s="770"/>
      <c r="FF151" s="770"/>
      <c r="FG151" s="770"/>
      <c r="FH151" s="770"/>
      <c r="FI151" s="770"/>
      <c r="FJ151" s="770"/>
      <c r="FK151" s="770"/>
      <c r="FL151" s="770"/>
      <c r="FM151" s="770"/>
      <c r="FN151" s="770"/>
      <c r="FO151" s="770"/>
      <c r="FP151" s="770"/>
      <c r="FQ151" s="770"/>
      <c r="FR151" s="770"/>
      <c r="FS151" s="770"/>
      <c r="FT151" s="770"/>
      <c r="FU151" s="770"/>
      <c r="FV151" s="770"/>
      <c r="FW151" s="770"/>
      <c r="FX151" s="770"/>
      <c r="FY151" s="771"/>
      <c r="FZ151" s="771"/>
      <c r="GA151" s="771"/>
      <c r="GB151" s="771"/>
      <c r="GC151" s="771"/>
      <c r="GD151" s="771"/>
      <c r="GE151" s="771"/>
      <c r="GF151" s="771"/>
      <c r="GG151" s="771"/>
      <c r="GH151" s="771"/>
      <c r="GI151" s="771"/>
      <c r="GJ151" s="771"/>
      <c r="GK151" s="771"/>
      <c r="GL151" s="771"/>
      <c r="GM151" s="771"/>
      <c r="GN151" s="771"/>
      <c r="GO151" s="771"/>
      <c r="GP151" s="770"/>
      <c r="GQ151" s="770"/>
      <c r="GR151" s="770"/>
      <c r="GS151" s="770"/>
      <c r="GT151" s="770"/>
      <c r="GU151" s="770"/>
      <c r="GV151" s="772"/>
      <c r="GW151" s="770"/>
      <c r="GX151" s="770"/>
      <c r="GY151" s="770"/>
      <c r="GZ151" s="770"/>
      <c r="HA151" s="770"/>
      <c r="HB151" s="770"/>
      <c r="HC151" s="770"/>
      <c r="HD151" s="770"/>
      <c r="HE151" s="770"/>
      <c r="HF151" s="770"/>
      <c r="HG151" s="770"/>
      <c r="HH151" s="770"/>
      <c r="HI151" s="770"/>
      <c r="HJ151" s="770"/>
      <c r="HK151" s="770"/>
      <c r="HL151" s="772"/>
      <c r="HM151" s="772"/>
      <c r="HN151" s="770"/>
      <c r="HO151" s="770"/>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1876</v>
      </c>
      <c r="C152" s="2"/>
      <c r="D152" s="10"/>
      <c r="E152" s="2"/>
      <c r="F152" s="1539">
        <v>4200</v>
      </c>
      <c r="G152" s="1540"/>
      <c r="H152" s="2"/>
      <c r="I152" s="11"/>
      <c r="J152" s="13" t="s">
        <v>3828</v>
      </c>
      <c r="K152" s="1086">
        <f>SUM(K148:K151)</f>
        <v>18655</v>
      </c>
      <c r="L152" s="1087"/>
      <c r="M152" s="2"/>
      <c r="N152" s="1083"/>
      <c r="O152" s="1083"/>
      <c r="P152" s="1083"/>
      <c r="T152" s="1458"/>
      <c r="U152" s="1459"/>
      <c r="V152" s="758"/>
      <c r="W152" s="758"/>
      <c r="X152" s="758"/>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c r="AT152" s="770"/>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0"/>
      <c r="BX152" s="770"/>
      <c r="BY152" s="770"/>
      <c r="BZ152" s="770"/>
      <c r="CA152" s="770"/>
      <c r="CB152" s="770"/>
      <c r="CC152" s="770"/>
      <c r="CD152" s="770"/>
      <c r="CE152" s="770"/>
      <c r="CF152" s="770"/>
      <c r="CG152" s="770"/>
      <c r="CH152" s="770"/>
      <c r="CI152" s="770"/>
      <c r="CJ152" s="770"/>
      <c r="CK152" s="770"/>
      <c r="CL152" s="770"/>
      <c r="CM152" s="770"/>
      <c r="CN152" s="770"/>
      <c r="CO152" s="770"/>
      <c r="CP152" s="770"/>
      <c r="CQ152" s="770"/>
      <c r="CR152" s="770"/>
      <c r="CS152" s="770"/>
      <c r="CT152" s="770"/>
      <c r="CU152" s="770"/>
      <c r="CV152" s="770"/>
      <c r="CW152" s="770"/>
      <c r="CX152" s="770"/>
      <c r="CY152" s="770"/>
      <c r="CZ152" s="770"/>
      <c r="DA152" s="770"/>
      <c r="DB152" s="770"/>
      <c r="DC152" s="770"/>
      <c r="DD152" s="770"/>
      <c r="DE152" s="770"/>
      <c r="DF152" s="770"/>
      <c r="DG152" s="770"/>
      <c r="DH152" s="770"/>
      <c r="DI152" s="770"/>
      <c r="DJ152" s="770"/>
      <c r="DK152" s="770"/>
      <c r="DL152" s="770"/>
      <c r="DM152" s="770"/>
      <c r="DN152" s="770"/>
      <c r="DO152" s="770"/>
      <c r="DP152" s="770"/>
      <c r="DQ152" s="770"/>
      <c r="DR152" s="770"/>
      <c r="DS152" s="770"/>
      <c r="DT152" s="770"/>
      <c r="DU152" s="770"/>
      <c r="DV152" s="770"/>
      <c r="DW152" s="770"/>
      <c r="DX152" s="770"/>
      <c r="DY152" s="770"/>
      <c r="DZ152" s="770"/>
      <c r="EA152" s="770"/>
      <c r="EB152" s="770"/>
      <c r="EC152" s="770"/>
      <c r="ED152" s="770"/>
      <c r="EE152" s="770"/>
      <c r="EF152" s="770"/>
      <c r="EG152" s="770"/>
      <c r="EH152" s="770"/>
      <c r="EI152" s="770"/>
      <c r="EJ152" s="770"/>
      <c r="EK152" s="770"/>
      <c r="EL152" s="770"/>
      <c r="EM152" s="770"/>
      <c r="EN152" s="770"/>
      <c r="EO152" s="770"/>
      <c r="EP152" s="770"/>
      <c r="EQ152" s="770"/>
      <c r="ER152" s="770"/>
      <c r="ES152" s="770"/>
      <c r="ET152" s="770"/>
      <c r="EU152" s="770"/>
      <c r="EV152" s="770"/>
      <c r="EW152" s="770"/>
      <c r="EX152" s="770"/>
      <c r="EY152" s="770"/>
      <c r="EZ152" s="770"/>
      <c r="FA152" s="770"/>
      <c r="FB152" s="770"/>
      <c r="FC152" s="770"/>
      <c r="FD152" s="770"/>
      <c r="FE152" s="770"/>
      <c r="FF152" s="770"/>
      <c r="FG152" s="770"/>
      <c r="FH152" s="770"/>
      <c r="FI152" s="770"/>
      <c r="FJ152" s="770"/>
      <c r="FK152" s="770"/>
      <c r="FL152" s="770"/>
      <c r="FM152" s="770"/>
      <c r="FN152" s="770"/>
      <c r="FO152" s="770"/>
      <c r="FP152" s="770"/>
      <c r="FQ152" s="770"/>
      <c r="FR152" s="770"/>
      <c r="FS152" s="770"/>
      <c r="FT152" s="770"/>
      <c r="FU152" s="770"/>
      <c r="FV152" s="770"/>
      <c r="FW152" s="770"/>
      <c r="FX152" s="770"/>
      <c r="FY152" s="771"/>
      <c r="FZ152" s="771"/>
      <c r="GA152" s="771"/>
      <c r="GB152" s="771"/>
      <c r="GC152" s="771"/>
      <c r="GD152" s="771"/>
      <c r="GE152" s="771"/>
      <c r="GF152" s="771"/>
      <c r="GG152" s="771"/>
      <c r="GH152" s="771"/>
      <c r="GI152" s="771"/>
      <c r="GJ152" s="771"/>
      <c r="GK152" s="771"/>
      <c r="GL152" s="771"/>
      <c r="GM152" s="771"/>
      <c r="GN152" s="771"/>
      <c r="GO152" s="771"/>
      <c r="GP152" s="770"/>
      <c r="GQ152" s="770"/>
      <c r="GR152" s="770"/>
      <c r="GS152" s="770"/>
      <c r="GT152" s="770"/>
      <c r="GU152" s="770"/>
      <c r="GV152" s="772"/>
      <c r="GW152" s="770"/>
      <c r="GX152" s="770"/>
      <c r="GY152" s="770"/>
      <c r="GZ152" s="770"/>
      <c r="HA152" s="770"/>
      <c r="HB152" s="770"/>
      <c r="HC152" s="770"/>
      <c r="HD152" s="770"/>
      <c r="HE152" s="770"/>
      <c r="HF152" s="770"/>
      <c r="HG152" s="770"/>
      <c r="HH152" s="770"/>
      <c r="HI152" s="770"/>
      <c r="HJ152" s="770"/>
      <c r="HK152" s="770"/>
      <c r="HL152" s="772"/>
      <c r="HM152" s="772"/>
      <c r="HN152" s="770"/>
      <c r="HO152" s="770"/>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45" t="s">
        <v>47</v>
      </c>
      <c r="C153" s="1546"/>
      <c r="D153" s="1546"/>
      <c r="E153" s="1547"/>
      <c r="F153" s="1548">
        <v>1500</v>
      </c>
      <c r="G153" s="1549"/>
      <c r="H153" s="2"/>
      <c r="I153" s="2"/>
      <c r="J153" s="14"/>
      <c r="K153" s="2"/>
      <c r="L153" s="2"/>
      <c r="M153" s="2"/>
      <c r="N153" s="2"/>
      <c r="O153" s="2"/>
      <c r="P153" s="2"/>
      <c r="T153" s="1453"/>
      <c r="U153" s="1454"/>
      <c r="V153" s="758"/>
      <c r="W153" s="758"/>
      <c r="X153" s="758"/>
      <c r="Y153" s="770"/>
      <c r="Z153" s="770"/>
      <c r="AA153" s="770"/>
      <c r="AB153" s="770"/>
      <c r="AC153" s="770"/>
      <c r="AD153" s="770"/>
      <c r="AE153" s="770"/>
      <c r="AF153" s="770"/>
      <c r="AG153" s="770"/>
      <c r="AH153" s="770"/>
      <c r="AI153" s="770"/>
      <c r="AJ153" s="770"/>
      <c r="AK153" s="770"/>
      <c r="AL153" s="770"/>
      <c r="AM153" s="770"/>
      <c r="AN153" s="770"/>
      <c r="AO153" s="770"/>
      <c r="AP153" s="770"/>
      <c r="AQ153" s="770"/>
      <c r="AR153" s="770"/>
      <c r="AS153" s="770"/>
      <c r="AT153" s="770"/>
      <c r="AU153" s="770"/>
      <c r="AV153" s="770"/>
      <c r="AW153" s="770"/>
      <c r="AX153" s="770"/>
      <c r="AY153" s="770"/>
      <c r="AZ153" s="770"/>
      <c r="BA153" s="770"/>
      <c r="BB153" s="770"/>
      <c r="BC153" s="770"/>
      <c r="BD153" s="770"/>
      <c r="BE153" s="770"/>
      <c r="BF153" s="770"/>
      <c r="BG153" s="770"/>
      <c r="BH153" s="770"/>
      <c r="BI153" s="770"/>
      <c r="BJ153" s="770"/>
      <c r="BK153" s="770"/>
      <c r="BL153" s="770"/>
      <c r="BM153" s="770"/>
      <c r="BN153" s="770"/>
      <c r="BO153" s="770"/>
      <c r="BP153" s="770"/>
      <c r="BQ153" s="770"/>
      <c r="BR153" s="770"/>
      <c r="BS153" s="770"/>
      <c r="BT153" s="770"/>
      <c r="BU153" s="770"/>
      <c r="BV153" s="770"/>
      <c r="BW153" s="770"/>
      <c r="BX153" s="770"/>
      <c r="BY153" s="770"/>
      <c r="BZ153" s="770"/>
      <c r="CA153" s="770"/>
      <c r="CB153" s="770"/>
      <c r="CC153" s="770"/>
      <c r="CD153" s="770"/>
      <c r="CE153" s="770"/>
      <c r="CF153" s="770"/>
      <c r="CG153" s="770"/>
      <c r="CH153" s="770"/>
      <c r="CI153" s="770"/>
      <c r="CJ153" s="770"/>
      <c r="CK153" s="770"/>
      <c r="CL153" s="770"/>
      <c r="CM153" s="770"/>
      <c r="CN153" s="770"/>
      <c r="CO153" s="770"/>
      <c r="CP153" s="770"/>
      <c r="CQ153" s="770"/>
      <c r="CR153" s="770"/>
      <c r="CS153" s="770"/>
      <c r="CT153" s="770"/>
      <c r="CU153" s="770"/>
      <c r="CV153" s="770"/>
      <c r="CW153" s="770"/>
      <c r="CX153" s="770"/>
      <c r="CY153" s="770"/>
      <c r="CZ153" s="770"/>
      <c r="DA153" s="770"/>
      <c r="DB153" s="770"/>
      <c r="DC153" s="770"/>
      <c r="DD153" s="770"/>
      <c r="DE153" s="770"/>
      <c r="DF153" s="770"/>
      <c r="DG153" s="770"/>
      <c r="DH153" s="770"/>
      <c r="DI153" s="770"/>
      <c r="DJ153" s="770"/>
      <c r="DK153" s="770"/>
      <c r="DL153" s="770"/>
      <c r="DM153" s="770"/>
      <c r="DN153" s="770"/>
      <c r="DO153" s="770"/>
      <c r="DP153" s="770"/>
      <c r="DQ153" s="770"/>
      <c r="DR153" s="770"/>
      <c r="DS153" s="770"/>
      <c r="DT153" s="770"/>
      <c r="DU153" s="770"/>
      <c r="DV153" s="770"/>
      <c r="DW153" s="770"/>
      <c r="DX153" s="770"/>
      <c r="DY153" s="770"/>
      <c r="DZ153" s="770"/>
      <c r="EA153" s="770"/>
      <c r="EB153" s="770"/>
      <c r="EC153" s="770"/>
      <c r="ED153" s="770"/>
      <c r="EE153" s="770"/>
      <c r="EF153" s="770"/>
      <c r="EG153" s="770"/>
      <c r="EH153" s="770"/>
      <c r="EI153" s="770"/>
      <c r="EJ153" s="770"/>
      <c r="EK153" s="770"/>
      <c r="EL153" s="770"/>
      <c r="EM153" s="770"/>
      <c r="EN153" s="770"/>
      <c r="EO153" s="770"/>
      <c r="EP153" s="770"/>
      <c r="EQ153" s="770"/>
      <c r="ER153" s="770"/>
      <c r="ES153" s="770"/>
      <c r="ET153" s="770"/>
      <c r="EU153" s="770"/>
      <c r="EV153" s="770"/>
      <c r="EW153" s="770"/>
      <c r="EX153" s="770"/>
      <c r="EY153" s="770"/>
      <c r="EZ153" s="770"/>
      <c r="FA153" s="770"/>
      <c r="FB153" s="770"/>
      <c r="FC153" s="770"/>
      <c r="FD153" s="770"/>
      <c r="FE153" s="770"/>
      <c r="FF153" s="770"/>
      <c r="FG153" s="770"/>
      <c r="FH153" s="770"/>
      <c r="FI153" s="770"/>
      <c r="FJ153" s="770"/>
      <c r="FK153" s="770"/>
      <c r="FL153" s="770"/>
      <c r="FM153" s="770"/>
      <c r="FN153" s="770"/>
      <c r="FO153" s="770"/>
      <c r="FP153" s="770"/>
      <c r="FQ153" s="770"/>
      <c r="FR153" s="770"/>
      <c r="FS153" s="770"/>
      <c r="FT153" s="770"/>
      <c r="FU153" s="770"/>
      <c r="FV153" s="770"/>
      <c r="FW153" s="770"/>
      <c r="FX153" s="770"/>
      <c r="FY153" s="771"/>
      <c r="FZ153" s="771"/>
      <c r="GA153" s="771"/>
      <c r="GB153" s="771"/>
      <c r="GC153" s="771"/>
      <c r="GD153" s="771"/>
      <c r="GE153" s="771"/>
      <c r="GF153" s="771"/>
      <c r="GG153" s="771"/>
      <c r="GH153" s="771"/>
      <c r="GI153" s="771"/>
      <c r="GJ153" s="771"/>
      <c r="GK153" s="771"/>
      <c r="GL153" s="771"/>
      <c r="GM153" s="771"/>
      <c r="GN153" s="771"/>
      <c r="GO153" s="771"/>
      <c r="GP153" s="770"/>
      <c r="GQ153" s="770"/>
      <c r="GR153" s="770"/>
      <c r="GS153" s="770"/>
      <c r="GT153" s="770"/>
      <c r="GU153" s="770"/>
      <c r="GV153" s="772"/>
      <c r="GW153" s="770"/>
      <c r="GX153" s="770"/>
      <c r="GY153" s="770"/>
      <c r="GZ153" s="770"/>
      <c r="HA153" s="770"/>
      <c r="HB153" s="770"/>
      <c r="HC153" s="770"/>
      <c r="HD153" s="770"/>
      <c r="HE153" s="770"/>
      <c r="HF153" s="770"/>
      <c r="HG153" s="770"/>
      <c r="HH153" s="770"/>
      <c r="HI153" s="770"/>
      <c r="HJ153" s="770"/>
      <c r="HK153" s="770"/>
      <c r="HL153" s="772"/>
      <c r="HM153" s="772"/>
      <c r="HN153" s="770"/>
      <c r="HO153" s="770"/>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3828</v>
      </c>
      <c r="D154" s="2"/>
      <c r="E154" s="2"/>
      <c r="F154" s="1088">
        <f>SUM(F148:G153)</f>
        <v>16200</v>
      </c>
      <c r="G154" s="1089"/>
      <c r="H154" s="2"/>
      <c r="I154" s="2"/>
      <c r="J154" s="14"/>
      <c r="K154" s="2"/>
      <c r="L154" s="2"/>
      <c r="M154" s="2"/>
      <c r="N154" s="2"/>
      <c r="O154" s="2"/>
      <c r="P154" s="2"/>
      <c r="T154" s="1455"/>
      <c r="U154" s="1456"/>
      <c r="V154" s="758"/>
      <c r="W154" s="758"/>
      <c r="X154" s="758"/>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0"/>
      <c r="AY154" s="770"/>
      <c r="AZ154" s="770"/>
      <c r="BA154" s="770"/>
      <c r="BB154" s="770"/>
      <c r="BC154" s="770"/>
      <c r="BD154" s="770"/>
      <c r="BE154" s="770"/>
      <c r="BF154" s="770"/>
      <c r="BG154" s="770"/>
      <c r="BH154" s="770"/>
      <c r="BI154" s="770"/>
      <c r="BJ154" s="770"/>
      <c r="BK154" s="770"/>
      <c r="BL154" s="770"/>
      <c r="BM154" s="770"/>
      <c r="BN154" s="770"/>
      <c r="BO154" s="770"/>
      <c r="BP154" s="770"/>
      <c r="BQ154" s="770"/>
      <c r="BR154" s="770"/>
      <c r="BS154" s="770"/>
      <c r="BT154" s="770"/>
      <c r="BU154" s="770"/>
      <c r="BV154" s="770"/>
      <c r="BW154" s="770"/>
      <c r="BX154" s="770"/>
      <c r="BY154" s="770"/>
      <c r="BZ154" s="770"/>
      <c r="CA154" s="770"/>
      <c r="CB154" s="770"/>
      <c r="CC154" s="770"/>
      <c r="CD154" s="770"/>
      <c r="CE154" s="770"/>
      <c r="CF154" s="770"/>
      <c r="CG154" s="770"/>
      <c r="CH154" s="770"/>
      <c r="CI154" s="770"/>
      <c r="CJ154" s="770"/>
      <c r="CK154" s="770"/>
      <c r="CL154" s="770"/>
      <c r="CM154" s="770"/>
      <c r="CN154" s="770"/>
      <c r="CO154" s="770"/>
      <c r="CP154" s="770"/>
      <c r="CQ154" s="770"/>
      <c r="CR154" s="770"/>
      <c r="CS154" s="770"/>
      <c r="CT154" s="770"/>
      <c r="CU154" s="770"/>
      <c r="CV154" s="770"/>
      <c r="CW154" s="770"/>
      <c r="CX154" s="770"/>
      <c r="CY154" s="770"/>
      <c r="CZ154" s="770"/>
      <c r="DA154" s="770"/>
      <c r="DB154" s="770"/>
      <c r="DC154" s="770"/>
      <c r="DD154" s="770"/>
      <c r="DE154" s="770"/>
      <c r="DF154" s="770"/>
      <c r="DG154" s="770"/>
      <c r="DH154" s="770"/>
      <c r="DI154" s="770"/>
      <c r="DJ154" s="770"/>
      <c r="DK154" s="770"/>
      <c r="DL154" s="770"/>
      <c r="DM154" s="770"/>
      <c r="DN154" s="770"/>
      <c r="DO154" s="770"/>
      <c r="DP154" s="770"/>
      <c r="DQ154" s="770"/>
      <c r="DR154" s="770"/>
      <c r="DS154" s="770"/>
      <c r="DT154" s="770"/>
      <c r="DU154" s="770"/>
      <c r="DV154" s="770"/>
      <c r="DW154" s="770"/>
      <c r="DX154" s="770"/>
      <c r="DY154" s="770"/>
      <c r="DZ154" s="770"/>
      <c r="EA154" s="770"/>
      <c r="EB154" s="770"/>
      <c r="EC154" s="770"/>
      <c r="ED154" s="770"/>
      <c r="EE154" s="770"/>
      <c r="EF154" s="770"/>
      <c r="EG154" s="770"/>
      <c r="EH154" s="770"/>
      <c r="EI154" s="770"/>
      <c r="EJ154" s="770"/>
      <c r="EK154" s="770"/>
      <c r="EL154" s="770"/>
      <c r="EM154" s="770"/>
      <c r="EN154" s="770"/>
      <c r="EO154" s="770"/>
      <c r="EP154" s="770"/>
      <c r="EQ154" s="770"/>
      <c r="ER154" s="770"/>
      <c r="ES154" s="770"/>
      <c r="ET154" s="770"/>
      <c r="EU154" s="770"/>
      <c r="EV154" s="770"/>
      <c r="EW154" s="770"/>
      <c r="EX154" s="770"/>
      <c r="EY154" s="770"/>
      <c r="EZ154" s="770"/>
      <c r="FA154" s="770"/>
      <c r="FB154" s="770"/>
      <c r="FC154" s="770"/>
      <c r="FD154" s="770"/>
      <c r="FE154" s="770"/>
      <c r="FF154" s="770"/>
      <c r="FG154" s="770"/>
      <c r="FH154" s="770"/>
      <c r="FI154" s="770"/>
      <c r="FJ154" s="770"/>
      <c r="FK154" s="770"/>
      <c r="FL154" s="770"/>
      <c r="FM154" s="770"/>
      <c r="FN154" s="770"/>
      <c r="FO154" s="770"/>
      <c r="FP154" s="770"/>
      <c r="FQ154" s="770"/>
      <c r="FR154" s="770"/>
      <c r="FS154" s="770"/>
      <c r="FT154" s="770"/>
      <c r="FU154" s="770"/>
      <c r="FV154" s="770"/>
      <c r="FW154" s="770"/>
      <c r="FX154" s="770"/>
      <c r="FY154" s="771"/>
      <c r="FZ154" s="771"/>
      <c r="GA154" s="771"/>
      <c r="GB154" s="771"/>
      <c r="GC154" s="771"/>
      <c r="GD154" s="771"/>
      <c r="GE154" s="771"/>
      <c r="GF154" s="771"/>
      <c r="GG154" s="771"/>
      <c r="GH154" s="771"/>
      <c r="GI154" s="771"/>
      <c r="GJ154" s="771"/>
      <c r="GK154" s="771"/>
      <c r="GL154" s="771"/>
      <c r="GM154" s="771"/>
      <c r="GN154" s="771"/>
      <c r="GO154" s="771"/>
      <c r="GP154" s="770"/>
      <c r="GQ154" s="770"/>
      <c r="GR154" s="770"/>
      <c r="GS154" s="770"/>
      <c r="GT154" s="770"/>
      <c r="GU154" s="770"/>
      <c r="GV154" s="772"/>
      <c r="GW154" s="770"/>
      <c r="GX154" s="770"/>
      <c r="GY154" s="770"/>
      <c r="GZ154" s="770"/>
      <c r="HA154" s="770"/>
      <c r="HB154" s="770"/>
      <c r="HC154" s="770"/>
      <c r="HD154" s="770"/>
      <c r="HE154" s="770"/>
      <c r="HF154" s="770"/>
      <c r="HG154" s="770"/>
      <c r="HH154" s="770"/>
      <c r="HI154" s="770"/>
      <c r="HJ154" s="770"/>
      <c r="HK154" s="770"/>
      <c r="HL154" s="772"/>
      <c r="HM154" s="772"/>
      <c r="HN154" s="770"/>
      <c r="HO154" s="770"/>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55"/>
      <c r="U155" s="1456"/>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0"/>
      <c r="BX155" s="770"/>
      <c r="BY155" s="770"/>
      <c r="BZ155" s="770"/>
      <c r="CA155" s="770"/>
      <c r="CB155" s="770"/>
      <c r="CC155" s="770"/>
      <c r="CD155" s="770"/>
      <c r="CE155" s="770"/>
      <c r="CF155" s="770"/>
      <c r="CG155" s="770"/>
      <c r="CH155" s="770"/>
      <c r="CI155" s="770"/>
      <c r="CJ155" s="770"/>
      <c r="CK155" s="770"/>
      <c r="CL155" s="770"/>
      <c r="CM155" s="770"/>
      <c r="CN155" s="770"/>
      <c r="CO155" s="770"/>
      <c r="CP155" s="770"/>
      <c r="CQ155" s="770"/>
      <c r="CR155" s="770"/>
      <c r="CS155" s="770"/>
      <c r="CT155" s="770"/>
      <c r="CU155" s="770"/>
      <c r="CV155" s="770"/>
      <c r="CW155" s="770"/>
      <c r="CX155" s="770"/>
      <c r="CY155" s="770"/>
      <c r="CZ155" s="770"/>
      <c r="DA155" s="770"/>
      <c r="DB155" s="770"/>
      <c r="DC155" s="770"/>
      <c r="DD155" s="770"/>
      <c r="DE155" s="770"/>
      <c r="DF155" s="770"/>
      <c r="DG155" s="770"/>
      <c r="DH155" s="770"/>
      <c r="DI155" s="770"/>
      <c r="DJ155" s="770"/>
      <c r="DK155" s="770"/>
      <c r="DL155" s="770"/>
      <c r="DM155" s="770"/>
      <c r="DN155" s="770"/>
      <c r="DO155" s="770"/>
      <c r="DP155" s="770"/>
      <c r="DQ155" s="770"/>
      <c r="DR155" s="770"/>
      <c r="DS155" s="770"/>
      <c r="DT155" s="770"/>
      <c r="DU155" s="770"/>
      <c r="DV155" s="770"/>
      <c r="DW155" s="770"/>
      <c r="DX155" s="770"/>
      <c r="DY155" s="770"/>
      <c r="DZ155" s="770"/>
      <c r="EA155" s="770"/>
      <c r="EB155" s="770"/>
      <c r="EC155" s="770"/>
      <c r="ED155" s="770"/>
      <c r="EE155" s="770"/>
      <c r="EF155" s="770"/>
      <c r="EG155" s="770"/>
      <c r="EH155" s="770"/>
      <c r="EI155" s="770"/>
      <c r="EJ155" s="770"/>
      <c r="EK155" s="770"/>
      <c r="EL155" s="770"/>
      <c r="EM155" s="770"/>
      <c r="EN155" s="770"/>
      <c r="EO155" s="770"/>
      <c r="EP155" s="770"/>
      <c r="EQ155" s="770"/>
      <c r="ER155" s="770"/>
      <c r="ES155" s="770"/>
      <c r="ET155" s="770"/>
      <c r="EU155" s="770"/>
      <c r="EV155" s="770"/>
      <c r="EW155" s="770"/>
      <c r="EX155" s="770"/>
      <c r="EY155" s="770"/>
      <c r="EZ155" s="770"/>
      <c r="FA155" s="770"/>
      <c r="FB155" s="770"/>
      <c r="FC155" s="770"/>
      <c r="FD155" s="770"/>
      <c r="FE155" s="770"/>
      <c r="FF155" s="770"/>
      <c r="FG155" s="770"/>
      <c r="FH155" s="770"/>
      <c r="FI155" s="770"/>
      <c r="FJ155" s="770"/>
      <c r="FK155" s="770"/>
      <c r="FL155" s="770"/>
      <c r="FM155" s="770"/>
      <c r="FN155" s="770"/>
      <c r="FO155" s="770"/>
      <c r="FP155" s="770"/>
      <c r="FQ155" s="770"/>
      <c r="FR155" s="770"/>
      <c r="FS155" s="770"/>
      <c r="FT155" s="770"/>
      <c r="FU155" s="770"/>
      <c r="FV155" s="770"/>
      <c r="FW155" s="770"/>
      <c r="FX155" s="770"/>
      <c r="FY155" s="771"/>
      <c r="FZ155" s="771"/>
      <c r="GA155" s="771"/>
      <c r="GB155" s="771"/>
      <c r="GC155" s="771"/>
      <c r="GD155" s="771"/>
      <c r="GE155" s="771"/>
      <c r="GF155" s="771"/>
      <c r="GG155" s="771"/>
      <c r="GH155" s="771"/>
      <c r="GI155" s="771"/>
      <c r="GJ155" s="771"/>
      <c r="GK155" s="771"/>
      <c r="GL155" s="771"/>
      <c r="GM155" s="771"/>
      <c r="GN155" s="771"/>
      <c r="GO155" s="771"/>
      <c r="GP155" s="770"/>
      <c r="GQ155" s="770"/>
      <c r="GR155" s="770"/>
      <c r="GS155" s="770"/>
      <c r="GT155" s="770"/>
      <c r="GU155" s="770"/>
      <c r="GV155" s="772"/>
      <c r="GW155" s="770"/>
      <c r="GX155" s="770"/>
      <c r="GY155" s="770"/>
      <c r="GZ155" s="770"/>
      <c r="HA155" s="770"/>
      <c r="HB155" s="770"/>
      <c r="HC155" s="770"/>
      <c r="HD155" s="770"/>
      <c r="HE155" s="770"/>
      <c r="HF155" s="770"/>
      <c r="HG155" s="770"/>
      <c r="HH155" s="770"/>
      <c r="HI155" s="770"/>
      <c r="HJ155" s="770"/>
      <c r="HK155" s="770"/>
      <c r="HL155" s="772"/>
      <c r="HM155" s="772"/>
      <c r="HN155" s="770"/>
      <c r="HO155" s="770"/>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35" customHeight="1" thickBot="1">
      <c r="A156" s="2"/>
      <c r="B156" s="11" t="s">
        <v>2277</v>
      </c>
      <c r="C156" s="2"/>
      <c r="D156" s="10"/>
      <c r="E156" s="2"/>
      <c r="F156" s="2"/>
      <c r="G156" s="2"/>
      <c r="H156" s="2"/>
      <c r="I156" s="11" t="s">
        <v>2207</v>
      </c>
      <c r="J156" s="829" t="s">
        <v>844</v>
      </c>
      <c r="K156" s="2"/>
      <c r="L156" s="2"/>
      <c r="M156" s="2"/>
      <c r="N156" s="11" t="s">
        <v>899</v>
      </c>
      <c r="O156" s="6"/>
      <c r="P156" s="6"/>
      <c r="T156" s="1455"/>
      <c r="U156" s="1456"/>
      <c r="V156" s="758"/>
      <c r="W156" s="758"/>
      <c r="X156" s="758"/>
      <c r="Y156" s="770"/>
      <c r="Z156" s="770"/>
      <c r="AA156" s="770"/>
      <c r="AB156" s="770"/>
      <c r="AC156" s="770"/>
      <c r="AD156" s="770"/>
      <c r="AE156" s="770"/>
      <c r="AF156" s="770"/>
      <c r="AG156" s="770"/>
      <c r="AH156" s="770"/>
      <c r="AI156" s="770"/>
      <c r="AJ156" s="770"/>
      <c r="AK156" s="770"/>
      <c r="AL156" s="770"/>
      <c r="AM156" s="770"/>
      <c r="AN156" s="770"/>
      <c r="AO156" s="770"/>
      <c r="AP156" s="770"/>
      <c r="AQ156" s="770"/>
      <c r="AR156" s="770"/>
      <c r="AS156" s="770"/>
      <c r="AT156" s="770"/>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0"/>
      <c r="BX156" s="770"/>
      <c r="BY156" s="770"/>
      <c r="BZ156" s="770"/>
      <c r="CA156" s="770"/>
      <c r="CB156" s="770"/>
      <c r="CC156" s="770"/>
      <c r="CD156" s="770"/>
      <c r="CE156" s="770"/>
      <c r="CF156" s="770"/>
      <c r="CG156" s="770"/>
      <c r="CH156" s="770"/>
      <c r="CI156" s="770"/>
      <c r="CJ156" s="770"/>
      <c r="CK156" s="770"/>
      <c r="CL156" s="770"/>
      <c r="CM156" s="770"/>
      <c r="CN156" s="770"/>
      <c r="CO156" s="770"/>
      <c r="CP156" s="770"/>
      <c r="CQ156" s="770"/>
      <c r="CR156" s="770"/>
      <c r="CS156" s="770"/>
      <c r="CT156" s="770"/>
      <c r="CU156" s="770"/>
      <c r="CV156" s="770"/>
      <c r="CW156" s="770"/>
      <c r="CX156" s="770"/>
      <c r="CY156" s="770"/>
      <c r="CZ156" s="770"/>
      <c r="DA156" s="770"/>
      <c r="DB156" s="770"/>
      <c r="DC156" s="770"/>
      <c r="DD156" s="770"/>
      <c r="DE156" s="770"/>
      <c r="DF156" s="770"/>
      <c r="DG156" s="770"/>
      <c r="DH156" s="770"/>
      <c r="DI156" s="770"/>
      <c r="DJ156" s="770"/>
      <c r="DK156" s="770"/>
      <c r="DL156" s="770"/>
      <c r="DM156" s="770"/>
      <c r="DN156" s="770"/>
      <c r="DO156" s="770"/>
      <c r="DP156" s="770"/>
      <c r="DQ156" s="770"/>
      <c r="DR156" s="770"/>
      <c r="DS156" s="770"/>
      <c r="DT156" s="770"/>
      <c r="DU156" s="770"/>
      <c r="DV156" s="770"/>
      <c r="DW156" s="770"/>
      <c r="DX156" s="770"/>
      <c r="DY156" s="770"/>
      <c r="DZ156" s="770"/>
      <c r="EA156" s="770"/>
      <c r="EB156" s="770"/>
      <c r="EC156" s="770"/>
      <c r="ED156" s="770"/>
      <c r="EE156" s="770"/>
      <c r="EF156" s="770"/>
      <c r="EG156" s="770"/>
      <c r="EH156" s="770"/>
      <c r="EI156" s="770"/>
      <c r="EJ156" s="770"/>
      <c r="EK156" s="770"/>
      <c r="EL156" s="770"/>
      <c r="EM156" s="770"/>
      <c r="EN156" s="770"/>
      <c r="EO156" s="770"/>
      <c r="EP156" s="770"/>
      <c r="EQ156" s="770"/>
      <c r="ER156" s="770"/>
      <c r="ES156" s="770"/>
      <c r="ET156" s="770"/>
      <c r="EU156" s="770"/>
      <c r="EV156" s="770"/>
      <c r="EW156" s="770"/>
      <c r="EX156" s="770"/>
      <c r="EY156" s="770"/>
      <c r="EZ156" s="770"/>
      <c r="FA156" s="770"/>
      <c r="FB156" s="770"/>
      <c r="FC156" s="770"/>
      <c r="FD156" s="770"/>
      <c r="FE156" s="770"/>
      <c r="FF156" s="770"/>
      <c r="FG156" s="770"/>
      <c r="FH156" s="770"/>
      <c r="FI156" s="770"/>
      <c r="FJ156" s="770"/>
      <c r="FK156" s="770"/>
      <c r="FL156" s="770"/>
      <c r="FM156" s="770"/>
      <c r="FN156" s="770"/>
      <c r="FO156" s="770"/>
      <c r="FP156" s="770"/>
      <c r="FQ156" s="770"/>
      <c r="FR156" s="770"/>
      <c r="FS156" s="770"/>
      <c r="FT156" s="770"/>
      <c r="FU156" s="770"/>
      <c r="FV156" s="770"/>
      <c r="FW156" s="770"/>
      <c r="FX156" s="770"/>
      <c r="FY156" s="771"/>
      <c r="FZ156" s="771"/>
      <c r="GA156" s="771"/>
      <c r="GB156" s="771"/>
      <c r="GC156" s="771"/>
      <c r="GD156" s="771"/>
      <c r="GE156" s="771"/>
      <c r="GF156" s="771"/>
      <c r="GG156" s="771"/>
      <c r="GH156" s="771"/>
      <c r="GI156" s="771"/>
      <c r="GJ156" s="771"/>
      <c r="GK156" s="771"/>
      <c r="GL156" s="771"/>
      <c r="GM156" s="771"/>
      <c r="GN156" s="771"/>
      <c r="GO156" s="771"/>
      <c r="GP156" s="770"/>
      <c r="GQ156" s="770"/>
      <c r="GR156" s="770"/>
      <c r="GS156" s="770"/>
      <c r="GT156" s="770"/>
      <c r="GU156" s="770"/>
      <c r="GV156" s="772"/>
      <c r="GW156" s="770"/>
      <c r="GX156" s="770"/>
      <c r="GY156" s="770"/>
      <c r="GZ156" s="770"/>
      <c r="HA156" s="770"/>
      <c r="HB156" s="770"/>
      <c r="HC156" s="770"/>
      <c r="HD156" s="770"/>
      <c r="HE156" s="770"/>
      <c r="HF156" s="770"/>
      <c r="HG156" s="770"/>
      <c r="HH156" s="770"/>
      <c r="HI156" s="770"/>
      <c r="HJ156" s="770"/>
      <c r="HK156" s="770"/>
      <c r="HL156" s="772"/>
      <c r="HM156" s="772"/>
      <c r="HN156" s="770"/>
      <c r="HO156" s="770"/>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1880</v>
      </c>
      <c r="C157" s="2"/>
      <c r="D157" s="10"/>
      <c r="E157" s="2"/>
      <c r="F157" s="1554">
        <v>6000</v>
      </c>
      <c r="G157" s="1555"/>
      <c r="H157" s="2"/>
      <c r="I157" s="2" t="s">
        <v>2200</v>
      </c>
      <c r="J157" s="631">
        <f>K157/12/$M$62</f>
        <v>37.545787545787547</v>
      </c>
      <c r="K157" s="1552">
        <v>41000</v>
      </c>
      <c r="L157" s="1553"/>
      <c r="M157" s="2"/>
      <c r="N157" s="364">
        <f>+$P$157/$M$62</f>
        <v>6245.4615384615381</v>
      </c>
      <c r="O157" s="30" t="s">
        <v>2095</v>
      </c>
      <c r="P157" s="632">
        <f>F145+F154+F165+K143+K152+K162+P144+P147</f>
        <v>568337</v>
      </c>
      <c r="T157" s="1455"/>
      <c r="U157" s="1456"/>
      <c r="V157" s="758"/>
      <c r="W157" s="758"/>
      <c r="X157" s="758"/>
      <c r="Y157" s="770"/>
      <c r="Z157" s="770"/>
      <c r="AA157" s="770"/>
      <c r="AB157" s="770"/>
      <c r="AC157" s="770"/>
      <c r="AD157" s="770"/>
      <c r="AE157" s="770"/>
      <c r="AF157" s="770"/>
      <c r="AG157" s="770"/>
      <c r="AH157" s="770"/>
      <c r="AI157" s="770"/>
      <c r="AJ157" s="770"/>
      <c r="AK157" s="770"/>
      <c r="AL157" s="770"/>
      <c r="AM157" s="770"/>
      <c r="AN157" s="770"/>
      <c r="AO157" s="770"/>
      <c r="AP157" s="770"/>
      <c r="AQ157" s="770"/>
      <c r="AR157" s="770"/>
      <c r="AS157" s="770"/>
      <c r="AT157" s="770"/>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0"/>
      <c r="BX157" s="770"/>
      <c r="BY157" s="770"/>
      <c r="BZ157" s="770"/>
      <c r="CA157" s="770"/>
      <c r="CB157" s="770"/>
      <c r="CC157" s="770"/>
      <c r="CD157" s="770"/>
      <c r="CE157" s="770"/>
      <c r="CF157" s="770"/>
      <c r="CG157" s="770"/>
      <c r="CH157" s="770"/>
      <c r="CI157" s="770"/>
      <c r="CJ157" s="770"/>
      <c r="CK157" s="770"/>
      <c r="CL157" s="770"/>
      <c r="CM157" s="770"/>
      <c r="CN157" s="770"/>
      <c r="CO157" s="770"/>
      <c r="CP157" s="770"/>
      <c r="CQ157" s="770"/>
      <c r="CR157" s="770"/>
      <c r="CS157" s="770"/>
      <c r="CT157" s="770"/>
      <c r="CU157" s="770"/>
      <c r="CV157" s="770"/>
      <c r="CW157" s="770"/>
      <c r="CX157" s="770"/>
      <c r="CY157" s="770"/>
      <c r="CZ157" s="770"/>
      <c r="DA157" s="770"/>
      <c r="DB157" s="770"/>
      <c r="DC157" s="770"/>
      <c r="DD157" s="770"/>
      <c r="DE157" s="770"/>
      <c r="DF157" s="770"/>
      <c r="DG157" s="770"/>
      <c r="DH157" s="770"/>
      <c r="DI157" s="770"/>
      <c r="DJ157" s="770"/>
      <c r="DK157" s="770"/>
      <c r="DL157" s="770"/>
      <c r="DM157" s="770"/>
      <c r="DN157" s="770"/>
      <c r="DO157" s="770"/>
      <c r="DP157" s="770"/>
      <c r="DQ157" s="770"/>
      <c r="DR157" s="770"/>
      <c r="DS157" s="770"/>
      <c r="DT157" s="770"/>
      <c r="DU157" s="770"/>
      <c r="DV157" s="770"/>
      <c r="DW157" s="770"/>
      <c r="DX157" s="770"/>
      <c r="DY157" s="770"/>
      <c r="DZ157" s="770"/>
      <c r="EA157" s="770"/>
      <c r="EB157" s="770"/>
      <c r="EC157" s="770"/>
      <c r="ED157" s="770"/>
      <c r="EE157" s="770"/>
      <c r="EF157" s="770"/>
      <c r="EG157" s="770"/>
      <c r="EH157" s="770"/>
      <c r="EI157" s="770"/>
      <c r="EJ157" s="770"/>
      <c r="EK157" s="770"/>
      <c r="EL157" s="770"/>
      <c r="EM157" s="770"/>
      <c r="EN157" s="770"/>
      <c r="EO157" s="770"/>
      <c r="EP157" s="770"/>
      <c r="EQ157" s="770"/>
      <c r="ER157" s="770"/>
      <c r="ES157" s="770"/>
      <c r="ET157" s="770"/>
      <c r="EU157" s="770"/>
      <c r="EV157" s="770"/>
      <c r="EW157" s="770"/>
      <c r="EX157" s="770"/>
      <c r="EY157" s="770"/>
      <c r="EZ157" s="770"/>
      <c r="FA157" s="770"/>
      <c r="FB157" s="770"/>
      <c r="FC157" s="770"/>
      <c r="FD157" s="770"/>
      <c r="FE157" s="770"/>
      <c r="FF157" s="770"/>
      <c r="FG157" s="770"/>
      <c r="FH157" s="770"/>
      <c r="FI157" s="770"/>
      <c r="FJ157" s="770"/>
      <c r="FK157" s="770"/>
      <c r="FL157" s="770"/>
      <c r="FM157" s="770"/>
      <c r="FN157" s="770"/>
      <c r="FO157" s="770"/>
      <c r="FP157" s="770"/>
      <c r="FQ157" s="770"/>
      <c r="FR157" s="770"/>
      <c r="FS157" s="770"/>
      <c r="FT157" s="770"/>
      <c r="FU157" s="770"/>
      <c r="FV157" s="770"/>
      <c r="FW157" s="770"/>
      <c r="FX157" s="770"/>
      <c r="FY157" s="771"/>
      <c r="FZ157" s="771"/>
      <c r="GA157" s="771"/>
      <c r="GB157" s="771"/>
      <c r="GC157" s="771"/>
      <c r="GD157" s="771"/>
      <c r="GE157" s="771"/>
      <c r="GF157" s="771"/>
      <c r="GG157" s="771"/>
      <c r="GH157" s="771"/>
      <c r="GI157" s="771"/>
      <c r="GJ157" s="771"/>
      <c r="GK157" s="771"/>
      <c r="GL157" s="771"/>
      <c r="GM157" s="771"/>
      <c r="GN157" s="771"/>
      <c r="GO157" s="771"/>
      <c r="GP157" s="770"/>
      <c r="GQ157" s="770"/>
      <c r="GR157" s="770"/>
      <c r="GS157" s="770"/>
      <c r="GT157" s="770"/>
      <c r="GU157" s="770"/>
      <c r="GV157" s="772"/>
      <c r="GW157" s="770"/>
      <c r="GX157" s="770"/>
      <c r="GY157" s="770"/>
      <c r="GZ157" s="770"/>
      <c r="HA157" s="770"/>
      <c r="HB157" s="770"/>
      <c r="HC157" s="770"/>
      <c r="HD157" s="770"/>
      <c r="HE157" s="770"/>
      <c r="HF157" s="770"/>
      <c r="HG157" s="770"/>
      <c r="HH157" s="770"/>
      <c r="HI157" s="770"/>
      <c r="HJ157" s="770"/>
      <c r="HK157" s="770"/>
      <c r="HL157" s="772"/>
      <c r="HM157" s="772"/>
      <c r="HN157" s="770"/>
      <c r="HO157" s="770"/>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1881</v>
      </c>
      <c r="C158" s="2"/>
      <c r="D158" s="10"/>
      <c r="E158" s="2"/>
      <c r="F158" s="1554">
        <v>5000</v>
      </c>
      <c r="G158" s="1555"/>
      <c r="H158" s="2"/>
      <c r="I158" s="2" t="s">
        <v>2201</v>
      </c>
      <c r="J158" s="631">
        <f>K158/12/$M$62</f>
        <v>17.399267399267398</v>
      </c>
      <c r="K158" s="1552">
        <v>19000</v>
      </c>
      <c r="L158" s="1553"/>
      <c r="M158" s="2"/>
      <c r="N158" s="2"/>
      <c r="O158" s="2"/>
      <c r="P158" s="2"/>
      <c r="T158" s="1455"/>
      <c r="U158" s="1456"/>
      <c r="V158" s="758"/>
      <c r="W158" s="758"/>
      <c r="X158" s="758"/>
      <c r="Y158" s="770"/>
      <c r="Z158" s="770"/>
      <c r="AA158" s="770"/>
      <c r="AB158" s="770"/>
      <c r="AC158" s="770"/>
      <c r="AD158" s="770"/>
      <c r="AE158" s="770"/>
      <c r="AF158" s="770"/>
      <c r="AG158" s="770"/>
      <c r="AH158" s="770"/>
      <c r="AI158" s="770"/>
      <c r="AJ158" s="770"/>
      <c r="AK158" s="770"/>
      <c r="AL158" s="770"/>
      <c r="AM158" s="770"/>
      <c r="AN158" s="770"/>
      <c r="AO158" s="770"/>
      <c r="AP158" s="770"/>
      <c r="AQ158" s="770"/>
      <c r="AR158" s="770"/>
      <c r="AS158" s="770"/>
      <c r="AT158" s="770"/>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770"/>
      <c r="DO158" s="770"/>
      <c r="DP158" s="770"/>
      <c r="DQ158" s="770"/>
      <c r="DR158" s="770"/>
      <c r="DS158" s="770"/>
      <c r="DT158" s="770"/>
      <c r="DU158" s="770"/>
      <c r="DV158" s="770"/>
      <c r="DW158" s="770"/>
      <c r="DX158" s="770"/>
      <c r="DY158" s="770"/>
      <c r="DZ158" s="770"/>
      <c r="EA158" s="770"/>
      <c r="EB158" s="770"/>
      <c r="EC158" s="770"/>
      <c r="ED158" s="770"/>
      <c r="EE158" s="770"/>
      <c r="EF158" s="770"/>
      <c r="EG158" s="770"/>
      <c r="EH158" s="770"/>
      <c r="EI158" s="770"/>
      <c r="EJ158" s="770"/>
      <c r="EK158" s="770"/>
      <c r="EL158" s="770"/>
      <c r="EM158" s="770"/>
      <c r="EN158" s="770"/>
      <c r="EO158" s="770"/>
      <c r="EP158" s="770"/>
      <c r="EQ158" s="770"/>
      <c r="ER158" s="770"/>
      <c r="ES158" s="770"/>
      <c r="ET158" s="770"/>
      <c r="EU158" s="770"/>
      <c r="EV158" s="770"/>
      <c r="EW158" s="770"/>
      <c r="EX158" s="770"/>
      <c r="EY158" s="770"/>
      <c r="EZ158" s="770"/>
      <c r="FA158" s="770"/>
      <c r="FB158" s="770"/>
      <c r="FC158" s="770"/>
      <c r="FD158" s="770"/>
      <c r="FE158" s="770"/>
      <c r="FF158" s="770"/>
      <c r="FG158" s="770"/>
      <c r="FH158" s="770"/>
      <c r="FI158" s="770"/>
      <c r="FJ158" s="770"/>
      <c r="FK158" s="770"/>
      <c r="FL158" s="770"/>
      <c r="FM158" s="770"/>
      <c r="FN158" s="770"/>
      <c r="FO158" s="770"/>
      <c r="FP158" s="770"/>
      <c r="FQ158" s="770"/>
      <c r="FR158" s="770"/>
      <c r="FS158" s="770"/>
      <c r="FT158" s="770"/>
      <c r="FU158" s="770"/>
      <c r="FV158" s="770"/>
      <c r="FW158" s="770"/>
      <c r="FX158" s="770"/>
      <c r="FY158" s="771"/>
      <c r="FZ158" s="771"/>
      <c r="GA158" s="771"/>
      <c r="GB158" s="771"/>
      <c r="GC158" s="771"/>
      <c r="GD158" s="771"/>
      <c r="GE158" s="771"/>
      <c r="GF158" s="771"/>
      <c r="GG158" s="771"/>
      <c r="GH158" s="771"/>
      <c r="GI158" s="771"/>
      <c r="GJ158" s="771"/>
      <c r="GK158" s="771"/>
      <c r="GL158" s="771"/>
      <c r="GM158" s="771"/>
      <c r="GN158" s="771"/>
      <c r="GO158" s="771"/>
      <c r="GP158" s="770"/>
      <c r="GQ158" s="770"/>
      <c r="GR158" s="770"/>
      <c r="GS158" s="770"/>
      <c r="GT158" s="770"/>
      <c r="GU158" s="770"/>
      <c r="GV158" s="772"/>
      <c r="GW158" s="770"/>
      <c r="GX158" s="770"/>
      <c r="GY158" s="770"/>
      <c r="GZ158" s="770"/>
      <c r="HA158" s="770"/>
      <c r="HB158" s="770"/>
      <c r="HC158" s="770"/>
      <c r="HD158" s="770"/>
      <c r="HE158" s="770"/>
      <c r="HF158" s="770"/>
      <c r="HG158" s="770"/>
      <c r="HH158" s="770"/>
      <c r="HI158" s="770"/>
      <c r="HJ158" s="770"/>
      <c r="HK158" s="770"/>
      <c r="HL158" s="772"/>
      <c r="HM158" s="772"/>
      <c r="HN158" s="770"/>
      <c r="HO158" s="770"/>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1882</v>
      </c>
      <c r="C159" s="2"/>
      <c r="D159" s="10"/>
      <c r="E159" s="2"/>
      <c r="F159" s="1554">
        <v>5000</v>
      </c>
      <c r="G159" s="1555"/>
      <c r="H159" s="2"/>
      <c r="I159" s="2" t="s">
        <v>843</v>
      </c>
      <c r="J159" s="631">
        <f>K159/12/$M$62</f>
        <v>84.249084249084248</v>
      </c>
      <c r="K159" s="1552">
        <v>92000</v>
      </c>
      <c r="L159" s="1553"/>
      <c r="M159" s="2"/>
      <c r="N159" s="2"/>
      <c r="O159" s="2"/>
      <c r="P159" s="2"/>
      <c r="T159" s="1455"/>
      <c r="U159" s="1456"/>
      <c r="V159" s="758"/>
      <c r="W159" s="758"/>
      <c r="X159" s="758"/>
      <c r="Y159" s="770"/>
      <c r="Z159" s="770"/>
      <c r="AA159" s="770"/>
      <c r="AB159" s="770"/>
      <c r="AC159" s="770"/>
      <c r="AD159" s="770"/>
      <c r="AE159" s="770"/>
      <c r="AF159" s="770"/>
      <c r="AG159" s="770"/>
      <c r="AH159" s="770"/>
      <c r="AI159" s="770"/>
      <c r="AJ159" s="770"/>
      <c r="AK159" s="770"/>
      <c r="AL159" s="770"/>
      <c r="AM159" s="770"/>
      <c r="AN159" s="770"/>
      <c r="AO159" s="770"/>
      <c r="AP159" s="770"/>
      <c r="AQ159" s="770"/>
      <c r="AR159" s="770"/>
      <c r="AS159" s="770"/>
      <c r="AT159" s="770"/>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0"/>
      <c r="BX159" s="770"/>
      <c r="BY159" s="770"/>
      <c r="BZ159" s="770"/>
      <c r="CA159" s="770"/>
      <c r="CB159" s="770"/>
      <c r="CC159" s="770"/>
      <c r="CD159" s="770"/>
      <c r="CE159" s="770"/>
      <c r="CF159" s="770"/>
      <c r="CG159" s="770"/>
      <c r="CH159" s="770"/>
      <c r="CI159" s="770"/>
      <c r="CJ159" s="770"/>
      <c r="CK159" s="770"/>
      <c r="CL159" s="770"/>
      <c r="CM159" s="770"/>
      <c r="CN159" s="770"/>
      <c r="CO159" s="770"/>
      <c r="CP159" s="770"/>
      <c r="CQ159" s="770"/>
      <c r="CR159" s="770"/>
      <c r="CS159" s="770"/>
      <c r="CT159" s="770"/>
      <c r="CU159" s="770"/>
      <c r="CV159" s="770"/>
      <c r="CW159" s="770"/>
      <c r="CX159" s="770"/>
      <c r="CY159" s="770"/>
      <c r="CZ159" s="770"/>
      <c r="DA159" s="770"/>
      <c r="DB159" s="770"/>
      <c r="DC159" s="770"/>
      <c r="DD159" s="770"/>
      <c r="DE159" s="770"/>
      <c r="DF159" s="770"/>
      <c r="DG159" s="770"/>
      <c r="DH159" s="770"/>
      <c r="DI159" s="770"/>
      <c r="DJ159" s="770"/>
      <c r="DK159" s="770"/>
      <c r="DL159" s="770"/>
      <c r="DM159" s="770"/>
      <c r="DN159" s="770"/>
      <c r="DO159" s="770"/>
      <c r="DP159" s="770"/>
      <c r="DQ159" s="770"/>
      <c r="DR159" s="770"/>
      <c r="DS159" s="770"/>
      <c r="DT159" s="770"/>
      <c r="DU159" s="770"/>
      <c r="DV159" s="770"/>
      <c r="DW159" s="770"/>
      <c r="DX159" s="770"/>
      <c r="DY159" s="770"/>
      <c r="DZ159" s="770"/>
      <c r="EA159" s="770"/>
      <c r="EB159" s="770"/>
      <c r="EC159" s="770"/>
      <c r="ED159" s="770"/>
      <c r="EE159" s="770"/>
      <c r="EF159" s="770"/>
      <c r="EG159" s="770"/>
      <c r="EH159" s="770"/>
      <c r="EI159" s="770"/>
      <c r="EJ159" s="770"/>
      <c r="EK159" s="770"/>
      <c r="EL159" s="770"/>
      <c r="EM159" s="770"/>
      <c r="EN159" s="770"/>
      <c r="EO159" s="770"/>
      <c r="EP159" s="770"/>
      <c r="EQ159" s="770"/>
      <c r="ER159" s="770"/>
      <c r="ES159" s="770"/>
      <c r="ET159" s="770"/>
      <c r="EU159" s="770"/>
      <c r="EV159" s="770"/>
      <c r="EW159" s="770"/>
      <c r="EX159" s="770"/>
      <c r="EY159" s="770"/>
      <c r="EZ159" s="770"/>
      <c r="FA159" s="770"/>
      <c r="FB159" s="770"/>
      <c r="FC159" s="770"/>
      <c r="FD159" s="770"/>
      <c r="FE159" s="770"/>
      <c r="FF159" s="770"/>
      <c r="FG159" s="770"/>
      <c r="FH159" s="770"/>
      <c r="FI159" s="770"/>
      <c r="FJ159" s="770"/>
      <c r="FK159" s="770"/>
      <c r="FL159" s="770"/>
      <c r="FM159" s="770"/>
      <c r="FN159" s="770"/>
      <c r="FO159" s="770"/>
      <c r="FP159" s="770"/>
      <c r="FQ159" s="770"/>
      <c r="FR159" s="770"/>
      <c r="FS159" s="770"/>
      <c r="FT159" s="770"/>
      <c r="FU159" s="770"/>
      <c r="FV159" s="770"/>
      <c r="FW159" s="770"/>
      <c r="FX159" s="770"/>
      <c r="FY159" s="771"/>
      <c r="FZ159" s="771"/>
      <c r="GA159" s="771"/>
      <c r="GB159" s="771"/>
      <c r="GC159" s="771"/>
      <c r="GD159" s="771"/>
      <c r="GE159" s="771"/>
      <c r="GF159" s="771"/>
      <c r="GG159" s="771"/>
      <c r="GH159" s="771"/>
      <c r="GI159" s="771"/>
      <c r="GJ159" s="771"/>
      <c r="GK159" s="771"/>
      <c r="GL159" s="771"/>
      <c r="GM159" s="771"/>
      <c r="GN159" s="771"/>
      <c r="GO159" s="771"/>
      <c r="GP159" s="770"/>
      <c r="GQ159" s="770"/>
      <c r="GR159" s="770"/>
      <c r="GS159" s="770"/>
      <c r="GT159" s="770"/>
      <c r="GU159" s="770"/>
      <c r="GV159" s="772"/>
      <c r="GW159" s="770"/>
      <c r="GX159" s="770"/>
      <c r="GY159" s="770"/>
      <c r="GZ159" s="770"/>
      <c r="HA159" s="770"/>
      <c r="HB159" s="770"/>
      <c r="HC159" s="770"/>
      <c r="HD159" s="770"/>
      <c r="HE159" s="770"/>
      <c r="HF159" s="770"/>
      <c r="HG159" s="770"/>
      <c r="HH159" s="770"/>
      <c r="HI159" s="770"/>
      <c r="HJ159" s="770"/>
      <c r="HK159" s="770"/>
      <c r="HL159" s="772"/>
      <c r="HM159" s="772"/>
      <c r="HN159" s="770"/>
      <c r="HO159" s="770"/>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2607</v>
      </c>
      <c r="C160" s="2"/>
      <c r="D160" s="10"/>
      <c r="E160" s="2"/>
      <c r="F160" s="1539">
        <v>2400</v>
      </c>
      <c r="G160" s="1540"/>
      <c r="H160" s="2"/>
      <c r="I160" s="2" t="s">
        <v>2203</v>
      </c>
      <c r="J160" s="2"/>
      <c r="K160" s="1552">
        <v>13000</v>
      </c>
      <c r="L160" s="1553"/>
      <c r="M160" s="2"/>
      <c r="N160" s="11" t="s">
        <v>2319</v>
      </c>
      <c r="O160" s="11"/>
      <c r="P160" s="633">
        <f>P161*M62</f>
        <v>31850</v>
      </c>
      <c r="T160" s="1455"/>
      <c r="U160" s="1456"/>
      <c r="V160" s="758"/>
      <c r="W160" s="758"/>
      <c r="X160" s="758"/>
      <c r="Y160" s="770"/>
      <c r="Z160" s="770"/>
      <c r="AA160" s="770"/>
      <c r="AB160" s="770"/>
      <c r="AC160" s="770"/>
      <c r="AD160" s="770"/>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0"/>
      <c r="BX160" s="770"/>
      <c r="BY160" s="770"/>
      <c r="BZ160" s="770"/>
      <c r="CA160" s="770"/>
      <c r="CB160" s="770"/>
      <c r="CC160" s="770"/>
      <c r="CD160" s="770"/>
      <c r="CE160" s="770"/>
      <c r="CF160" s="770"/>
      <c r="CG160" s="770"/>
      <c r="CH160" s="770"/>
      <c r="CI160" s="770"/>
      <c r="CJ160" s="770"/>
      <c r="CK160" s="770"/>
      <c r="CL160" s="770"/>
      <c r="CM160" s="770"/>
      <c r="CN160" s="770"/>
      <c r="CO160" s="770"/>
      <c r="CP160" s="770"/>
      <c r="CQ160" s="770"/>
      <c r="CR160" s="770"/>
      <c r="CS160" s="770"/>
      <c r="CT160" s="770"/>
      <c r="CU160" s="770"/>
      <c r="CV160" s="770"/>
      <c r="CW160" s="770"/>
      <c r="CX160" s="770"/>
      <c r="CY160" s="770"/>
      <c r="CZ160" s="770"/>
      <c r="DA160" s="770"/>
      <c r="DB160" s="770"/>
      <c r="DC160" s="770"/>
      <c r="DD160" s="770"/>
      <c r="DE160" s="770"/>
      <c r="DF160" s="770"/>
      <c r="DG160" s="770"/>
      <c r="DH160" s="770"/>
      <c r="DI160" s="770"/>
      <c r="DJ160" s="770"/>
      <c r="DK160" s="770"/>
      <c r="DL160" s="770"/>
      <c r="DM160" s="770"/>
      <c r="DN160" s="770"/>
      <c r="DO160" s="770"/>
      <c r="DP160" s="770"/>
      <c r="DQ160" s="770"/>
      <c r="DR160" s="770"/>
      <c r="DS160" s="770"/>
      <c r="DT160" s="770"/>
      <c r="DU160" s="770"/>
      <c r="DV160" s="770"/>
      <c r="DW160" s="770"/>
      <c r="DX160" s="770"/>
      <c r="DY160" s="770"/>
      <c r="DZ160" s="770"/>
      <c r="EA160" s="770"/>
      <c r="EB160" s="770"/>
      <c r="EC160" s="770"/>
      <c r="ED160" s="770"/>
      <c r="EE160" s="770"/>
      <c r="EF160" s="770"/>
      <c r="EG160" s="770"/>
      <c r="EH160" s="770"/>
      <c r="EI160" s="770"/>
      <c r="EJ160" s="770"/>
      <c r="EK160" s="770"/>
      <c r="EL160" s="770"/>
      <c r="EM160" s="770"/>
      <c r="EN160" s="770"/>
      <c r="EO160" s="770"/>
      <c r="EP160" s="770"/>
      <c r="EQ160" s="770"/>
      <c r="ER160" s="770"/>
      <c r="ES160" s="770"/>
      <c r="ET160" s="770"/>
      <c r="EU160" s="770"/>
      <c r="EV160" s="770"/>
      <c r="EW160" s="770"/>
      <c r="EX160" s="770"/>
      <c r="EY160" s="770"/>
      <c r="EZ160" s="770"/>
      <c r="FA160" s="770"/>
      <c r="FB160" s="770"/>
      <c r="FC160" s="770"/>
      <c r="FD160" s="770"/>
      <c r="FE160" s="770"/>
      <c r="FF160" s="770"/>
      <c r="FG160" s="770"/>
      <c r="FH160" s="770"/>
      <c r="FI160" s="770"/>
      <c r="FJ160" s="770"/>
      <c r="FK160" s="770"/>
      <c r="FL160" s="770"/>
      <c r="FM160" s="770"/>
      <c r="FN160" s="770"/>
      <c r="FO160" s="770"/>
      <c r="FP160" s="770"/>
      <c r="FQ160" s="770"/>
      <c r="FR160" s="770"/>
      <c r="FS160" s="770"/>
      <c r="FT160" s="770"/>
      <c r="FU160" s="770"/>
      <c r="FV160" s="770"/>
      <c r="FW160" s="770"/>
      <c r="FX160" s="770"/>
      <c r="FY160" s="771"/>
      <c r="FZ160" s="771"/>
      <c r="GA160" s="771"/>
      <c r="GB160" s="771"/>
      <c r="GC160" s="771"/>
      <c r="GD160" s="771"/>
      <c r="GE160" s="771"/>
      <c r="GF160" s="771"/>
      <c r="GG160" s="771"/>
      <c r="GH160" s="771"/>
      <c r="GI160" s="771"/>
      <c r="GJ160" s="771"/>
      <c r="GK160" s="771"/>
      <c r="GL160" s="771"/>
      <c r="GM160" s="771"/>
      <c r="GN160" s="771"/>
      <c r="GO160" s="771"/>
      <c r="GP160" s="770"/>
      <c r="GQ160" s="770"/>
      <c r="GR160" s="770"/>
      <c r="GS160" s="770"/>
      <c r="GT160" s="770"/>
      <c r="GU160" s="770"/>
      <c r="GV160" s="772"/>
      <c r="GW160" s="770"/>
      <c r="GX160" s="770"/>
      <c r="GY160" s="770"/>
      <c r="GZ160" s="770"/>
      <c r="HA160" s="770"/>
      <c r="HB160" s="770"/>
      <c r="HC160" s="770"/>
      <c r="HD160" s="770"/>
      <c r="HE160" s="770"/>
      <c r="HF160" s="770"/>
      <c r="HG160" s="770"/>
      <c r="HH160" s="770"/>
      <c r="HI160" s="770"/>
      <c r="HJ160" s="770"/>
      <c r="HK160" s="770"/>
      <c r="HL160" s="772"/>
      <c r="HM160" s="772"/>
      <c r="HN160" s="770"/>
      <c r="HO160" s="770"/>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2608</v>
      </c>
      <c r="C161" s="2"/>
      <c r="D161" s="10"/>
      <c r="E161" s="2"/>
      <c r="F161" s="1539">
        <v>5000</v>
      </c>
      <c r="G161" s="1540"/>
      <c r="H161" s="2"/>
      <c r="I161" s="1542" t="s">
        <v>4011</v>
      </c>
      <c r="J161" s="1543"/>
      <c r="K161" s="1550"/>
      <c r="L161" s="1551"/>
      <c r="M161" s="2"/>
      <c r="N161" s="30" t="s">
        <v>3488</v>
      </c>
      <c r="O161" s="2"/>
      <c r="P161" s="1556">
        <v>350</v>
      </c>
      <c r="T161" s="1455"/>
      <c r="U161" s="1456"/>
      <c r="V161" s="758"/>
      <c r="W161" s="758"/>
      <c r="X161" s="758"/>
      <c r="Y161" s="770"/>
      <c r="Z161" s="770"/>
      <c r="AA161" s="770"/>
      <c r="AB161" s="770"/>
      <c r="AC161" s="770"/>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0"/>
      <c r="BX161" s="770"/>
      <c r="BY161" s="770"/>
      <c r="BZ161" s="770"/>
      <c r="CA161" s="770"/>
      <c r="CB161" s="770"/>
      <c r="CC161" s="770"/>
      <c r="CD161" s="770"/>
      <c r="CE161" s="770"/>
      <c r="CF161" s="770"/>
      <c r="CG161" s="770"/>
      <c r="CH161" s="770"/>
      <c r="CI161" s="770"/>
      <c r="CJ161" s="770"/>
      <c r="CK161" s="770"/>
      <c r="CL161" s="770"/>
      <c r="CM161" s="770"/>
      <c r="CN161" s="770"/>
      <c r="CO161" s="770"/>
      <c r="CP161" s="770"/>
      <c r="CQ161" s="770"/>
      <c r="CR161" s="770"/>
      <c r="CS161" s="770"/>
      <c r="CT161" s="770"/>
      <c r="CU161" s="770"/>
      <c r="CV161" s="770"/>
      <c r="CW161" s="770"/>
      <c r="CX161" s="770"/>
      <c r="CY161" s="770"/>
      <c r="CZ161" s="770"/>
      <c r="DA161" s="770"/>
      <c r="DB161" s="770"/>
      <c r="DC161" s="770"/>
      <c r="DD161" s="770"/>
      <c r="DE161" s="770"/>
      <c r="DF161" s="770"/>
      <c r="DG161" s="770"/>
      <c r="DH161" s="770"/>
      <c r="DI161" s="770"/>
      <c r="DJ161" s="770"/>
      <c r="DK161" s="770"/>
      <c r="DL161" s="770"/>
      <c r="DM161" s="770"/>
      <c r="DN161" s="770"/>
      <c r="DO161" s="770"/>
      <c r="DP161" s="770"/>
      <c r="DQ161" s="770"/>
      <c r="DR161" s="770"/>
      <c r="DS161" s="770"/>
      <c r="DT161" s="770"/>
      <c r="DU161" s="770"/>
      <c r="DV161" s="770"/>
      <c r="DW161" s="770"/>
      <c r="DX161" s="770"/>
      <c r="DY161" s="770"/>
      <c r="DZ161" s="770"/>
      <c r="EA161" s="770"/>
      <c r="EB161" s="770"/>
      <c r="EC161" s="770"/>
      <c r="ED161" s="770"/>
      <c r="EE161" s="770"/>
      <c r="EF161" s="770"/>
      <c r="EG161" s="770"/>
      <c r="EH161" s="770"/>
      <c r="EI161" s="770"/>
      <c r="EJ161" s="770"/>
      <c r="EK161" s="770"/>
      <c r="EL161" s="770"/>
      <c r="EM161" s="770"/>
      <c r="EN161" s="770"/>
      <c r="EO161" s="770"/>
      <c r="EP161" s="770"/>
      <c r="EQ161" s="770"/>
      <c r="ER161" s="770"/>
      <c r="ES161" s="770"/>
      <c r="ET161" s="770"/>
      <c r="EU161" s="770"/>
      <c r="EV161" s="770"/>
      <c r="EW161" s="770"/>
      <c r="EX161" s="770"/>
      <c r="EY161" s="770"/>
      <c r="EZ161" s="770"/>
      <c r="FA161" s="770"/>
      <c r="FB161" s="770"/>
      <c r="FC161" s="770"/>
      <c r="FD161" s="770"/>
      <c r="FE161" s="770"/>
      <c r="FF161" s="770"/>
      <c r="FG161" s="770"/>
      <c r="FH161" s="770"/>
      <c r="FI161" s="770"/>
      <c r="FJ161" s="770"/>
      <c r="FK161" s="770"/>
      <c r="FL161" s="770"/>
      <c r="FM161" s="770"/>
      <c r="FN161" s="770"/>
      <c r="FO161" s="770"/>
      <c r="FP161" s="770"/>
      <c r="FQ161" s="770"/>
      <c r="FR161" s="770"/>
      <c r="FS161" s="770"/>
      <c r="FT161" s="770"/>
      <c r="FU161" s="770"/>
      <c r="FV161" s="770"/>
      <c r="FW161" s="770"/>
      <c r="FX161" s="770"/>
      <c r="FY161" s="771"/>
      <c r="FZ161" s="771"/>
      <c r="GA161" s="771"/>
      <c r="GB161" s="771"/>
      <c r="GC161" s="771"/>
      <c r="GD161" s="771"/>
      <c r="GE161" s="771"/>
      <c r="GF161" s="771"/>
      <c r="GG161" s="771"/>
      <c r="GH161" s="771"/>
      <c r="GI161" s="771"/>
      <c r="GJ161" s="771"/>
      <c r="GK161" s="771"/>
      <c r="GL161" s="771"/>
      <c r="GM161" s="771"/>
      <c r="GN161" s="771"/>
      <c r="GO161" s="771"/>
      <c r="GP161" s="770"/>
      <c r="GQ161" s="770"/>
      <c r="GR161" s="770"/>
      <c r="GS161" s="770"/>
      <c r="GT161" s="770"/>
      <c r="GU161" s="770"/>
      <c r="GV161" s="772"/>
      <c r="GW161" s="770"/>
      <c r="GX161" s="770"/>
      <c r="GY161" s="770"/>
      <c r="GZ161" s="770"/>
      <c r="HA161" s="770"/>
      <c r="HB161" s="770"/>
      <c r="HC161" s="770"/>
      <c r="HD161" s="770"/>
      <c r="HE161" s="770"/>
      <c r="HF161" s="770"/>
      <c r="HG161" s="770"/>
      <c r="HH161" s="770"/>
      <c r="HI161" s="770"/>
      <c r="HJ161" s="770"/>
      <c r="HK161" s="770"/>
      <c r="HL161" s="772"/>
      <c r="HM161" s="772"/>
      <c r="HN161" s="770"/>
      <c r="HO161" s="770"/>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2609</v>
      </c>
      <c r="C162" s="2"/>
      <c r="D162" s="10"/>
      <c r="E162" s="2"/>
      <c r="F162" s="1539">
        <v>6000</v>
      </c>
      <c r="G162" s="1540"/>
      <c r="H162" s="2"/>
      <c r="I162" s="2"/>
      <c r="J162" s="13" t="s">
        <v>3828</v>
      </c>
      <c r="K162" s="1086">
        <f>SUM(K157:K161)</f>
        <v>165000</v>
      </c>
      <c r="L162" s="1087"/>
      <c r="M162" s="2"/>
      <c r="N162" s="2"/>
      <c r="O162" s="2"/>
      <c r="T162" s="1455"/>
      <c r="U162" s="1456"/>
      <c r="V162" s="758"/>
      <c r="W162" s="758"/>
      <c r="X162" s="758"/>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c r="AT162" s="770"/>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0"/>
      <c r="BX162" s="770"/>
      <c r="BY162" s="770"/>
      <c r="BZ162" s="770"/>
      <c r="CA162" s="770"/>
      <c r="CB162" s="770"/>
      <c r="CC162" s="770"/>
      <c r="CD162" s="770"/>
      <c r="CE162" s="770"/>
      <c r="CF162" s="770"/>
      <c r="CG162" s="770"/>
      <c r="CH162" s="770"/>
      <c r="CI162" s="770"/>
      <c r="CJ162" s="770"/>
      <c r="CK162" s="770"/>
      <c r="CL162" s="770"/>
      <c r="CM162" s="770"/>
      <c r="CN162" s="770"/>
      <c r="CO162" s="770"/>
      <c r="CP162" s="770"/>
      <c r="CQ162" s="770"/>
      <c r="CR162" s="770"/>
      <c r="CS162" s="770"/>
      <c r="CT162" s="770"/>
      <c r="CU162" s="770"/>
      <c r="CV162" s="770"/>
      <c r="CW162" s="770"/>
      <c r="CX162" s="770"/>
      <c r="CY162" s="770"/>
      <c r="CZ162" s="770"/>
      <c r="DA162" s="770"/>
      <c r="DB162" s="770"/>
      <c r="DC162" s="770"/>
      <c r="DD162" s="770"/>
      <c r="DE162" s="770"/>
      <c r="DF162" s="770"/>
      <c r="DG162" s="770"/>
      <c r="DH162" s="770"/>
      <c r="DI162" s="770"/>
      <c r="DJ162" s="770"/>
      <c r="DK162" s="770"/>
      <c r="DL162" s="770"/>
      <c r="DM162" s="770"/>
      <c r="DN162" s="770"/>
      <c r="DO162" s="770"/>
      <c r="DP162" s="770"/>
      <c r="DQ162" s="770"/>
      <c r="DR162" s="770"/>
      <c r="DS162" s="770"/>
      <c r="DT162" s="770"/>
      <c r="DU162" s="770"/>
      <c r="DV162" s="770"/>
      <c r="DW162" s="770"/>
      <c r="DX162" s="770"/>
      <c r="DY162" s="770"/>
      <c r="DZ162" s="770"/>
      <c r="EA162" s="770"/>
      <c r="EB162" s="770"/>
      <c r="EC162" s="770"/>
      <c r="ED162" s="770"/>
      <c r="EE162" s="770"/>
      <c r="EF162" s="770"/>
      <c r="EG162" s="770"/>
      <c r="EH162" s="770"/>
      <c r="EI162" s="770"/>
      <c r="EJ162" s="770"/>
      <c r="EK162" s="770"/>
      <c r="EL162" s="770"/>
      <c r="EM162" s="770"/>
      <c r="EN162" s="770"/>
      <c r="EO162" s="770"/>
      <c r="EP162" s="770"/>
      <c r="EQ162" s="770"/>
      <c r="ER162" s="770"/>
      <c r="ES162" s="770"/>
      <c r="ET162" s="770"/>
      <c r="EU162" s="770"/>
      <c r="EV162" s="770"/>
      <c r="EW162" s="770"/>
      <c r="EX162" s="770"/>
      <c r="EY162" s="770"/>
      <c r="EZ162" s="770"/>
      <c r="FA162" s="770"/>
      <c r="FB162" s="770"/>
      <c r="FC162" s="770"/>
      <c r="FD162" s="770"/>
      <c r="FE162" s="770"/>
      <c r="FF162" s="770"/>
      <c r="FG162" s="770"/>
      <c r="FH162" s="770"/>
      <c r="FI162" s="770"/>
      <c r="FJ162" s="770"/>
      <c r="FK162" s="770"/>
      <c r="FL162" s="770"/>
      <c r="FM162" s="770"/>
      <c r="FN162" s="770"/>
      <c r="FO162" s="770"/>
      <c r="FP162" s="770"/>
      <c r="FQ162" s="770"/>
      <c r="FR162" s="770"/>
      <c r="FS162" s="770"/>
      <c r="FT162" s="770"/>
      <c r="FU162" s="770"/>
      <c r="FV162" s="770"/>
      <c r="FW162" s="770"/>
      <c r="FX162" s="770"/>
      <c r="FY162" s="771"/>
      <c r="FZ162" s="771"/>
      <c r="GA162" s="771"/>
      <c r="GB162" s="771"/>
      <c r="GC162" s="771"/>
      <c r="GD162" s="771"/>
      <c r="GE162" s="771"/>
      <c r="GF162" s="771"/>
      <c r="GG162" s="771"/>
      <c r="GH162" s="771"/>
      <c r="GI162" s="771"/>
      <c r="GJ162" s="771"/>
      <c r="GK162" s="771"/>
      <c r="GL162" s="771"/>
      <c r="GM162" s="771"/>
      <c r="GN162" s="771"/>
      <c r="GO162" s="771"/>
      <c r="GP162" s="770"/>
      <c r="GQ162" s="770"/>
      <c r="GR162" s="770"/>
      <c r="GS162" s="770"/>
      <c r="GT162" s="770"/>
      <c r="GU162" s="770"/>
      <c r="GV162" s="772"/>
      <c r="GW162" s="770"/>
      <c r="GX162" s="770"/>
      <c r="GY162" s="770"/>
      <c r="GZ162" s="770"/>
      <c r="HA162" s="770"/>
      <c r="HB162" s="770"/>
      <c r="HC162" s="770"/>
      <c r="HD162" s="770"/>
      <c r="HE162" s="770"/>
      <c r="HF162" s="770"/>
      <c r="HG162" s="770"/>
      <c r="HH162" s="770"/>
      <c r="HI162" s="770"/>
      <c r="HJ162" s="770"/>
      <c r="HK162" s="770"/>
      <c r="HL162" s="772"/>
      <c r="HM162" s="772"/>
      <c r="HN162" s="770"/>
      <c r="HO162" s="770"/>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2743</v>
      </c>
      <c r="C163" s="2"/>
      <c r="D163" s="10"/>
      <c r="E163" s="2"/>
      <c r="F163" s="1539">
        <v>2000</v>
      </c>
      <c r="G163" s="1540"/>
      <c r="H163" s="2"/>
      <c r="I163" s="2"/>
      <c r="J163" s="14"/>
      <c r="K163" s="2"/>
      <c r="L163" s="2"/>
      <c r="M163" s="2"/>
      <c r="N163" s="2"/>
      <c r="O163" s="2"/>
      <c r="T163" s="1455"/>
      <c r="U163" s="1456"/>
      <c r="V163" s="758"/>
      <c r="W163" s="758"/>
      <c r="X163" s="758"/>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0"/>
      <c r="AY163" s="770"/>
      <c r="AZ163" s="770"/>
      <c r="BA163" s="770"/>
      <c r="BB163" s="770"/>
      <c r="BC163" s="770"/>
      <c r="BD163" s="770"/>
      <c r="BE163" s="770"/>
      <c r="BF163" s="770"/>
      <c r="BG163" s="770"/>
      <c r="BH163" s="770"/>
      <c r="BI163" s="770"/>
      <c r="BJ163" s="770"/>
      <c r="BK163" s="770"/>
      <c r="BL163" s="770"/>
      <c r="BM163" s="770"/>
      <c r="BN163" s="770"/>
      <c r="BO163" s="770"/>
      <c r="BP163" s="770"/>
      <c r="BQ163" s="770"/>
      <c r="BR163" s="770"/>
      <c r="BS163" s="770"/>
      <c r="BT163" s="770"/>
      <c r="BU163" s="770"/>
      <c r="BV163" s="770"/>
      <c r="BW163" s="770"/>
      <c r="BX163" s="770"/>
      <c r="BY163" s="770"/>
      <c r="BZ163" s="770"/>
      <c r="CA163" s="770"/>
      <c r="CB163" s="770"/>
      <c r="CC163" s="770"/>
      <c r="CD163" s="770"/>
      <c r="CE163" s="770"/>
      <c r="CF163" s="770"/>
      <c r="CG163" s="770"/>
      <c r="CH163" s="770"/>
      <c r="CI163" s="770"/>
      <c r="CJ163" s="770"/>
      <c r="CK163" s="770"/>
      <c r="CL163" s="770"/>
      <c r="CM163" s="770"/>
      <c r="CN163" s="770"/>
      <c r="CO163" s="770"/>
      <c r="CP163" s="770"/>
      <c r="CQ163" s="770"/>
      <c r="CR163" s="770"/>
      <c r="CS163" s="770"/>
      <c r="CT163" s="770"/>
      <c r="CU163" s="770"/>
      <c r="CV163" s="770"/>
      <c r="CW163" s="770"/>
      <c r="CX163" s="770"/>
      <c r="CY163" s="770"/>
      <c r="CZ163" s="770"/>
      <c r="DA163" s="770"/>
      <c r="DB163" s="770"/>
      <c r="DC163" s="770"/>
      <c r="DD163" s="770"/>
      <c r="DE163" s="770"/>
      <c r="DF163" s="770"/>
      <c r="DG163" s="770"/>
      <c r="DH163" s="770"/>
      <c r="DI163" s="770"/>
      <c r="DJ163" s="770"/>
      <c r="DK163" s="770"/>
      <c r="DL163" s="770"/>
      <c r="DM163" s="770"/>
      <c r="DN163" s="770"/>
      <c r="DO163" s="770"/>
      <c r="DP163" s="770"/>
      <c r="DQ163" s="770"/>
      <c r="DR163" s="770"/>
      <c r="DS163" s="770"/>
      <c r="DT163" s="770"/>
      <c r="DU163" s="770"/>
      <c r="DV163" s="770"/>
      <c r="DW163" s="770"/>
      <c r="DX163" s="770"/>
      <c r="DY163" s="770"/>
      <c r="DZ163" s="770"/>
      <c r="EA163" s="770"/>
      <c r="EB163" s="770"/>
      <c r="EC163" s="770"/>
      <c r="ED163" s="770"/>
      <c r="EE163" s="770"/>
      <c r="EF163" s="770"/>
      <c r="EG163" s="770"/>
      <c r="EH163" s="770"/>
      <c r="EI163" s="770"/>
      <c r="EJ163" s="770"/>
      <c r="EK163" s="770"/>
      <c r="EL163" s="770"/>
      <c r="EM163" s="770"/>
      <c r="EN163" s="770"/>
      <c r="EO163" s="770"/>
      <c r="EP163" s="770"/>
      <c r="EQ163" s="770"/>
      <c r="ER163" s="770"/>
      <c r="ES163" s="770"/>
      <c r="ET163" s="770"/>
      <c r="EU163" s="770"/>
      <c r="EV163" s="770"/>
      <c r="EW163" s="770"/>
      <c r="EX163" s="770"/>
      <c r="EY163" s="770"/>
      <c r="EZ163" s="770"/>
      <c r="FA163" s="770"/>
      <c r="FB163" s="770"/>
      <c r="FC163" s="770"/>
      <c r="FD163" s="770"/>
      <c r="FE163" s="770"/>
      <c r="FF163" s="770"/>
      <c r="FG163" s="770"/>
      <c r="FH163" s="770"/>
      <c r="FI163" s="770"/>
      <c r="FJ163" s="770"/>
      <c r="FK163" s="770"/>
      <c r="FL163" s="770"/>
      <c r="FM163" s="770"/>
      <c r="FN163" s="770"/>
      <c r="FO163" s="770"/>
      <c r="FP163" s="770"/>
      <c r="FQ163" s="770"/>
      <c r="FR163" s="770"/>
      <c r="FS163" s="770"/>
      <c r="FT163" s="770"/>
      <c r="FU163" s="770"/>
      <c r="FV163" s="770"/>
      <c r="FW163" s="770"/>
      <c r="FX163" s="770"/>
      <c r="FY163" s="771"/>
      <c r="FZ163" s="771"/>
      <c r="GA163" s="771"/>
      <c r="GB163" s="771"/>
      <c r="GC163" s="771"/>
      <c r="GD163" s="771"/>
      <c r="GE163" s="771"/>
      <c r="GF163" s="771"/>
      <c r="GG163" s="771"/>
      <c r="GH163" s="771"/>
      <c r="GI163" s="771"/>
      <c r="GJ163" s="771"/>
      <c r="GK163" s="771"/>
      <c r="GL163" s="771"/>
      <c r="GM163" s="771"/>
      <c r="GN163" s="771"/>
      <c r="GO163" s="771"/>
      <c r="GP163" s="770"/>
      <c r="GQ163" s="770"/>
      <c r="GR163" s="770"/>
      <c r="GS163" s="770"/>
      <c r="GT163" s="770"/>
      <c r="GU163" s="770"/>
      <c r="GV163" s="772"/>
      <c r="GW163" s="770"/>
      <c r="GX163" s="770"/>
      <c r="GY163" s="770"/>
      <c r="GZ163" s="770"/>
      <c r="HA163" s="770"/>
      <c r="HB163" s="770"/>
      <c r="HC163" s="770"/>
      <c r="HD163" s="770"/>
      <c r="HE163" s="770"/>
      <c r="HF163" s="770"/>
      <c r="HG163" s="770"/>
      <c r="HH163" s="770"/>
      <c r="HI163" s="770"/>
      <c r="HJ163" s="770"/>
      <c r="HK163" s="770"/>
      <c r="HL163" s="772"/>
      <c r="HM163" s="772"/>
      <c r="HN163" s="770"/>
      <c r="HO163" s="770"/>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45" t="s">
        <v>69</v>
      </c>
      <c r="C164" s="1546"/>
      <c r="D164" s="1546"/>
      <c r="E164" s="1547"/>
      <c r="F164" s="1548">
        <v>20200</v>
      </c>
      <c r="G164" s="1549"/>
      <c r="H164" s="2"/>
      <c r="I164" s="2"/>
      <c r="J164" s="14"/>
      <c r="K164" s="2"/>
      <c r="L164" s="2"/>
      <c r="M164" s="2"/>
      <c r="N164" s="11" t="s">
        <v>900</v>
      </c>
      <c r="O164" s="11"/>
      <c r="P164" s="11"/>
      <c r="T164" s="1455"/>
      <c r="U164" s="1456"/>
      <c r="V164" s="758"/>
      <c r="W164" s="758"/>
      <c r="X164" s="758"/>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0"/>
      <c r="AZ164" s="770"/>
      <c r="BA164" s="770"/>
      <c r="BB164" s="770"/>
      <c r="BC164" s="770"/>
      <c r="BD164" s="770"/>
      <c r="BE164" s="770"/>
      <c r="BF164" s="770"/>
      <c r="BG164" s="770"/>
      <c r="BH164" s="770"/>
      <c r="BI164" s="770"/>
      <c r="BJ164" s="770"/>
      <c r="BK164" s="770"/>
      <c r="BL164" s="770"/>
      <c r="BM164" s="770"/>
      <c r="BN164" s="770"/>
      <c r="BO164" s="770"/>
      <c r="BP164" s="770"/>
      <c r="BQ164" s="770"/>
      <c r="BR164" s="770"/>
      <c r="BS164" s="770"/>
      <c r="BT164" s="770"/>
      <c r="BU164" s="770"/>
      <c r="BV164" s="770"/>
      <c r="BW164" s="770"/>
      <c r="BX164" s="770"/>
      <c r="BY164" s="770"/>
      <c r="BZ164" s="770"/>
      <c r="CA164" s="770"/>
      <c r="CB164" s="770"/>
      <c r="CC164" s="770"/>
      <c r="CD164" s="770"/>
      <c r="CE164" s="770"/>
      <c r="CF164" s="770"/>
      <c r="CG164" s="770"/>
      <c r="CH164" s="770"/>
      <c r="CI164" s="770"/>
      <c r="CJ164" s="770"/>
      <c r="CK164" s="770"/>
      <c r="CL164" s="770"/>
      <c r="CM164" s="770"/>
      <c r="CN164" s="770"/>
      <c r="CO164" s="770"/>
      <c r="CP164" s="770"/>
      <c r="CQ164" s="770"/>
      <c r="CR164" s="770"/>
      <c r="CS164" s="770"/>
      <c r="CT164" s="770"/>
      <c r="CU164" s="770"/>
      <c r="CV164" s="770"/>
      <c r="CW164" s="770"/>
      <c r="CX164" s="770"/>
      <c r="CY164" s="770"/>
      <c r="CZ164" s="770"/>
      <c r="DA164" s="770"/>
      <c r="DB164" s="770"/>
      <c r="DC164" s="770"/>
      <c r="DD164" s="770"/>
      <c r="DE164" s="770"/>
      <c r="DF164" s="770"/>
      <c r="DG164" s="770"/>
      <c r="DH164" s="770"/>
      <c r="DI164" s="770"/>
      <c r="DJ164" s="770"/>
      <c r="DK164" s="770"/>
      <c r="DL164" s="770"/>
      <c r="DM164" s="770"/>
      <c r="DN164" s="770"/>
      <c r="DO164" s="770"/>
      <c r="DP164" s="770"/>
      <c r="DQ164" s="770"/>
      <c r="DR164" s="770"/>
      <c r="DS164" s="770"/>
      <c r="DT164" s="770"/>
      <c r="DU164" s="770"/>
      <c r="DV164" s="770"/>
      <c r="DW164" s="770"/>
      <c r="DX164" s="770"/>
      <c r="DY164" s="770"/>
      <c r="DZ164" s="770"/>
      <c r="EA164" s="770"/>
      <c r="EB164" s="770"/>
      <c r="EC164" s="770"/>
      <c r="ED164" s="770"/>
      <c r="EE164" s="770"/>
      <c r="EF164" s="770"/>
      <c r="EG164" s="770"/>
      <c r="EH164" s="770"/>
      <c r="EI164" s="770"/>
      <c r="EJ164" s="770"/>
      <c r="EK164" s="770"/>
      <c r="EL164" s="770"/>
      <c r="EM164" s="770"/>
      <c r="EN164" s="770"/>
      <c r="EO164" s="770"/>
      <c r="EP164" s="770"/>
      <c r="EQ164" s="770"/>
      <c r="ER164" s="770"/>
      <c r="ES164" s="770"/>
      <c r="ET164" s="770"/>
      <c r="EU164" s="770"/>
      <c r="EV164" s="770"/>
      <c r="EW164" s="770"/>
      <c r="EX164" s="770"/>
      <c r="EY164" s="770"/>
      <c r="EZ164" s="770"/>
      <c r="FA164" s="770"/>
      <c r="FB164" s="770"/>
      <c r="FC164" s="770"/>
      <c r="FD164" s="770"/>
      <c r="FE164" s="770"/>
      <c r="FF164" s="770"/>
      <c r="FG164" s="770"/>
      <c r="FH164" s="770"/>
      <c r="FI164" s="770"/>
      <c r="FJ164" s="770"/>
      <c r="FK164" s="770"/>
      <c r="FL164" s="770"/>
      <c r="FM164" s="770"/>
      <c r="FN164" s="770"/>
      <c r="FO164" s="770"/>
      <c r="FP164" s="770"/>
      <c r="FQ164" s="770"/>
      <c r="FR164" s="770"/>
      <c r="FS164" s="770"/>
      <c r="FT164" s="770"/>
      <c r="FU164" s="770"/>
      <c r="FV164" s="770"/>
      <c r="FW164" s="770"/>
      <c r="FX164" s="770"/>
      <c r="FY164" s="771"/>
      <c r="FZ164" s="771"/>
      <c r="GA164" s="771"/>
      <c r="GB164" s="771"/>
      <c r="GC164" s="771"/>
      <c r="GD164" s="771"/>
      <c r="GE164" s="771"/>
      <c r="GF164" s="771"/>
      <c r="GG164" s="771"/>
      <c r="GH164" s="771"/>
      <c r="GI164" s="771"/>
      <c r="GJ164" s="771"/>
      <c r="GK164" s="771"/>
      <c r="GL164" s="771"/>
      <c r="GM164" s="771"/>
      <c r="GN164" s="771"/>
      <c r="GO164" s="771"/>
      <c r="GP164" s="770"/>
      <c r="GQ164" s="770"/>
      <c r="GR164" s="770"/>
      <c r="GS164" s="770"/>
      <c r="GT164" s="770"/>
      <c r="GU164" s="770"/>
      <c r="GV164" s="772"/>
      <c r="GW164" s="770"/>
      <c r="GX164" s="770"/>
      <c r="GY164" s="770"/>
      <c r="GZ164" s="770"/>
      <c r="HA164" s="770"/>
      <c r="HB164" s="770"/>
      <c r="HC164" s="770"/>
      <c r="HD164" s="770"/>
      <c r="HE164" s="770"/>
      <c r="HF164" s="770"/>
      <c r="HG164" s="770"/>
      <c r="HH164" s="770"/>
      <c r="HI164" s="770"/>
      <c r="HJ164" s="770"/>
      <c r="HK164" s="770"/>
      <c r="HL164" s="772"/>
      <c r="HM164" s="772"/>
      <c r="HN164" s="770"/>
      <c r="HO164" s="770"/>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3828</v>
      </c>
      <c r="D165" s="2"/>
      <c r="E165" s="2"/>
      <c r="F165" s="1084">
        <f>SUM(F157:G164)</f>
        <v>51600</v>
      </c>
      <c r="G165" s="1085"/>
      <c r="H165" s="2"/>
      <c r="I165" s="2"/>
      <c r="J165" s="14"/>
      <c r="K165" s="2"/>
      <c r="L165" s="2"/>
      <c r="M165" s="2"/>
      <c r="N165" s="2"/>
      <c r="O165" s="2"/>
      <c r="P165" s="632">
        <f>P157+P160</f>
        <v>600187</v>
      </c>
      <c r="T165" s="1458"/>
      <c r="U165" s="1459"/>
      <c r="V165" s="758"/>
      <c r="W165" s="758"/>
      <c r="X165" s="758"/>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0"/>
      <c r="AY165" s="770"/>
      <c r="AZ165" s="770"/>
      <c r="BA165" s="770"/>
      <c r="BB165" s="770"/>
      <c r="BC165" s="770"/>
      <c r="BD165" s="770"/>
      <c r="BE165" s="770"/>
      <c r="BF165" s="770"/>
      <c r="BG165" s="770"/>
      <c r="BH165" s="770"/>
      <c r="BI165" s="770"/>
      <c r="BJ165" s="770"/>
      <c r="BK165" s="770"/>
      <c r="BL165" s="770"/>
      <c r="BM165" s="770"/>
      <c r="BN165" s="770"/>
      <c r="BO165" s="770"/>
      <c r="BP165" s="770"/>
      <c r="BQ165" s="770"/>
      <c r="BR165" s="770"/>
      <c r="BS165" s="770"/>
      <c r="BT165" s="770"/>
      <c r="BU165" s="770"/>
      <c r="BV165" s="770"/>
      <c r="BW165" s="770"/>
      <c r="BX165" s="770"/>
      <c r="BY165" s="770"/>
      <c r="BZ165" s="770"/>
      <c r="CA165" s="770"/>
      <c r="CB165" s="770"/>
      <c r="CC165" s="770"/>
      <c r="CD165" s="770"/>
      <c r="CE165" s="770"/>
      <c r="CF165" s="770"/>
      <c r="CG165" s="770"/>
      <c r="CH165" s="770"/>
      <c r="CI165" s="770"/>
      <c r="CJ165" s="770"/>
      <c r="CK165" s="770"/>
      <c r="CL165" s="770"/>
      <c r="CM165" s="770"/>
      <c r="CN165" s="770"/>
      <c r="CO165" s="770"/>
      <c r="CP165" s="770"/>
      <c r="CQ165" s="770"/>
      <c r="CR165" s="770"/>
      <c r="CS165" s="770"/>
      <c r="CT165" s="770"/>
      <c r="CU165" s="770"/>
      <c r="CV165" s="770"/>
      <c r="CW165" s="770"/>
      <c r="CX165" s="770"/>
      <c r="CY165" s="770"/>
      <c r="CZ165" s="770"/>
      <c r="DA165" s="770"/>
      <c r="DB165" s="770"/>
      <c r="DC165" s="770"/>
      <c r="DD165" s="770"/>
      <c r="DE165" s="770"/>
      <c r="DF165" s="770"/>
      <c r="DG165" s="770"/>
      <c r="DH165" s="770"/>
      <c r="DI165" s="770"/>
      <c r="DJ165" s="770"/>
      <c r="DK165" s="770"/>
      <c r="DL165" s="770"/>
      <c r="DM165" s="770"/>
      <c r="DN165" s="770"/>
      <c r="DO165" s="770"/>
      <c r="DP165" s="770"/>
      <c r="DQ165" s="770"/>
      <c r="DR165" s="770"/>
      <c r="DS165" s="770"/>
      <c r="DT165" s="770"/>
      <c r="DU165" s="770"/>
      <c r="DV165" s="770"/>
      <c r="DW165" s="770"/>
      <c r="DX165" s="770"/>
      <c r="DY165" s="770"/>
      <c r="DZ165" s="770"/>
      <c r="EA165" s="770"/>
      <c r="EB165" s="770"/>
      <c r="EC165" s="770"/>
      <c r="ED165" s="770"/>
      <c r="EE165" s="770"/>
      <c r="EF165" s="770"/>
      <c r="EG165" s="770"/>
      <c r="EH165" s="770"/>
      <c r="EI165" s="770"/>
      <c r="EJ165" s="770"/>
      <c r="EK165" s="770"/>
      <c r="EL165" s="770"/>
      <c r="EM165" s="770"/>
      <c r="EN165" s="770"/>
      <c r="EO165" s="770"/>
      <c r="EP165" s="770"/>
      <c r="EQ165" s="770"/>
      <c r="ER165" s="770"/>
      <c r="ES165" s="770"/>
      <c r="ET165" s="770"/>
      <c r="EU165" s="770"/>
      <c r="EV165" s="770"/>
      <c r="EW165" s="770"/>
      <c r="EX165" s="770"/>
      <c r="EY165" s="770"/>
      <c r="EZ165" s="770"/>
      <c r="FA165" s="770"/>
      <c r="FB165" s="770"/>
      <c r="FC165" s="770"/>
      <c r="FD165" s="770"/>
      <c r="FE165" s="770"/>
      <c r="FF165" s="770"/>
      <c r="FG165" s="770"/>
      <c r="FH165" s="770"/>
      <c r="FI165" s="770"/>
      <c r="FJ165" s="770"/>
      <c r="FK165" s="770"/>
      <c r="FL165" s="770"/>
      <c r="FM165" s="770"/>
      <c r="FN165" s="770"/>
      <c r="FO165" s="770"/>
      <c r="FP165" s="770"/>
      <c r="FQ165" s="770"/>
      <c r="FR165" s="770"/>
      <c r="FS165" s="770"/>
      <c r="FT165" s="770"/>
      <c r="FU165" s="770"/>
      <c r="FV165" s="770"/>
      <c r="FW165" s="770"/>
      <c r="FX165" s="770"/>
      <c r="FY165" s="771"/>
      <c r="FZ165" s="771"/>
      <c r="GA165" s="771"/>
      <c r="GB165" s="771"/>
      <c r="GC165" s="771"/>
      <c r="GD165" s="771"/>
      <c r="GE165" s="771"/>
      <c r="GF165" s="771"/>
      <c r="GG165" s="771"/>
      <c r="GH165" s="771"/>
      <c r="GI165" s="771"/>
      <c r="GJ165" s="771"/>
      <c r="GK165" s="771"/>
      <c r="GL165" s="771"/>
      <c r="GM165" s="771"/>
      <c r="GN165" s="771"/>
      <c r="GO165" s="771"/>
      <c r="GP165" s="770"/>
      <c r="GQ165" s="770"/>
      <c r="GR165" s="770"/>
      <c r="GS165" s="770"/>
      <c r="GT165" s="770"/>
      <c r="GU165" s="770"/>
      <c r="GV165" s="772"/>
      <c r="GW165" s="770"/>
      <c r="GX165" s="770"/>
      <c r="GY165" s="770"/>
      <c r="GZ165" s="770"/>
      <c r="HA165" s="770"/>
      <c r="HB165" s="770"/>
      <c r="HC165" s="770"/>
      <c r="HD165" s="770"/>
      <c r="HE165" s="770"/>
      <c r="HF165" s="770"/>
      <c r="HG165" s="770"/>
      <c r="HH165" s="770"/>
      <c r="HI165" s="770"/>
      <c r="HJ165" s="770"/>
      <c r="HK165" s="770"/>
      <c r="HL165" s="772"/>
      <c r="HM165" s="772"/>
      <c r="HN165" s="770"/>
      <c r="HO165" s="770"/>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1.1" customHeight="1">
      <c r="A166" s="2"/>
      <c r="B166" s="11"/>
      <c r="C166" s="2"/>
      <c r="D166" s="13"/>
      <c r="E166" s="2"/>
      <c r="F166" s="14"/>
      <c r="G166" s="14"/>
      <c r="H166" s="2"/>
      <c r="I166" s="2"/>
      <c r="J166" s="6"/>
      <c r="K166" s="2"/>
      <c r="L166" s="2"/>
      <c r="M166" s="2"/>
      <c r="N166" s="2"/>
      <c r="O166" s="2"/>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0"/>
      <c r="AZ166" s="770"/>
      <c r="BA166" s="770"/>
      <c r="BB166" s="770"/>
      <c r="BC166" s="770"/>
      <c r="BD166" s="770"/>
      <c r="BE166" s="770"/>
      <c r="BF166" s="770"/>
      <c r="BG166" s="770"/>
      <c r="BH166" s="770"/>
      <c r="BI166" s="770"/>
      <c r="BJ166" s="770"/>
      <c r="BK166" s="770"/>
      <c r="BL166" s="770"/>
      <c r="BM166" s="770"/>
      <c r="BN166" s="770"/>
      <c r="BO166" s="770"/>
      <c r="BP166" s="770"/>
      <c r="BQ166" s="770"/>
      <c r="BR166" s="770"/>
      <c r="BS166" s="770"/>
      <c r="BT166" s="770"/>
      <c r="BU166" s="770"/>
      <c r="BV166" s="770"/>
      <c r="BW166" s="770"/>
      <c r="BX166" s="770"/>
      <c r="BY166" s="770"/>
      <c r="BZ166" s="770"/>
      <c r="CA166" s="770"/>
      <c r="CB166" s="770"/>
      <c r="CC166" s="770"/>
      <c r="CD166" s="770"/>
      <c r="CE166" s="770"/>
      <c r="CF166" s="770"/>
      <c r="CG166" s="770"/>
      <c r="CH166" s="770"/>
      <c r="CI166" s="770"/>
      <c r="CJ166" s="770"/>
      <c r="CK166" s="770"/>
      <c r="CL166" s="770"/>
      <c r="CM166" s="770"/>
      <c r="CN166" s="770"/>
      <c r="CO166" s="770"/>
      <c r="CP166" s="770"/>
      <c r="CQ166" s="770"/>
      <c r="CR166" s="770"/>
      <c r="CS166" s="770"/>
      <c r="CT166" s="770"/>
      <c r="CU166" s="770"/>
      <c r="CV166" s="770"/>
      <c r="CW166" s="770"/>
      <c r="CX166" s="770"/>
      <c r="CY166" s="770"/>
      <c r="CZ166" s="770"/>
      <c r="DA166" s="770"/>
      <c r="DB166" s="770"/>
      <c r="DC166" s="770"/>
      <c r="DD166" s="770"/>
      <c r="DE166" s="770"/>
      <c r="DF166" s="770"/>
      <c r="DG166" s="770"/>
      <c r="DH166" s="770"/>
      <c r="DI166" s="770"/>
      <c r="DJ166" s="770"/>
      <c r="DK166" s="770"/>
      <c r="DL166" s="770"/>
      <c r="DM166" s="770"/>
      <c r="DN166" s="770"/>
      <c r="DO166" s="770"/>
      <c r="DP166" s="770"/>
      <c r="DQ166" s="770"/>
      <c r="DR166" s="770"/>
      <c r="DS166" s="770"/>
      <c r="DT166" s="770"/>
      <c r="DU166" s="770"/>
      <c r="DV166" s="770"/>
      <c r="DW166" s="770"/>
      <c r="DX166" s="770"/>
      <c r="DY166" s="770"/>
      <c r="DZ166" s="770"/>
      <c r="EA166" s="770"/>
      <c r="EB166" s="770"/>
      <c r="EC166" s="770"/>
      <c r="ED166" s="770"/>
      <c r="EE166" s="770"/>
      <c r="EF166" s="770"/>
      <c r="EG166" s="770"/>
      <c r="EH166" s="770"/>
      <c r="EI166" s="770"/>
      <c r="EJ166" s="770"/>
      <c r="EK166" s="770"/>
      <c r="EL166" s="770"/>
      <c r="EM166" s="770"/>
      <c r="EN166" s="770"/>
      <c r="EO166" s="770"/>
      <c r="EP166" s="770"/>
      <c r="EQ166" s="770"/>
      <c r="ER166" s="770"/>
      <c r="ES166" s="770"/>
      <c r="ET166" s="770"/>
      <c r="EU166" s="770"/>
      <c r="EV166" s="770"/>
      <c r="EW166" s="770"/>
      <c r="EX166" s="770"/>
      <c r="EY166" s="770"/>
      <c r="EZ166" s="770"/>
      <c r="FA166" s="770"/>
      <c r="FB166" s="770"/>
      <c r="FC166" s="770"/>
      <c r="FD166" s="770"/>
      <c r="FE166" s="770"/>
      <c r="FF166" s="770"/>
      <c r="FG166" s="770"/>
      <c r="FH166" s="770"/>
      <c r="FI166" s="770"/>
      <c r="FJ166" s="770"/>
      <c r="FK166" s="770"/>
      <c r="FL166" s="770"/>
      <c r="FM166" s="770"/>
      <c r="FN166" s="770"/>
      <c r="FO166" s="770"/>
      <c r="FP166" s="770"/>
      <c r="FQ166" s="770"/>
      <c r="FR166" s="770"/>
      <c r="FS166" s="770"/>
      <c r="FT166" s="770"/>
      <c r="FU166" s="770"/>
      <c r="FV166" s="770"/>
      <c r="FW166" s="770"/>
      <c r="FX166" s="770"/>
      <c r="FY166" s="771"/>
      <c r="FZ166" s="771"/>
      <c r="GA166" s="771"/>
      <c r="GB166" s="771"/>
      <c r="GC166" s="771"/>
      <c r="GD166" s="771"/>
      <c r="GE166" s="771"/>
      <c r="GF166" s="771"/>
      <c r="GG166" s="771"/>
      <c r="GH166" s="771"/>
      <c r="GI166" s="771"/>
      <c r="GJ166" s="771"/>
      <c r="GK166" s="771"/>
      <c r="GL166" s="771"/>
      <c r="GM166" s="771"/>
      <c r="GN166" s="771"/>
      <c r="GO166" s="771"/>
      <c r="GP166" s="770"/>
      <c r="GQ166" s="770"/>
      <c r="GR166" s="770"/>
      <c r="GS166" s="770"/>
      <c r="GT166" s="770"/>
      <c r="GU166" s="770"/>
      <c r="GV166" s="772"/>
      <c r="GW166" s="770"/>
      <c r="GX166" s="770"/>
      <c r="GY166" s="770"/>
      <c r="GZ166" s="770"/>
      <c r="HA166" s="770"/>
      <c r="HB166" s="770"/>
      <c r="HC166" s="770"/>
      <c r="HD166" s="770"/>
      <c r="HE166" s="770"/>
      <c r="HF166" s="770"/>
      <c r="HG166" s="770"/>
      <c r="HH166" s="770"/>
      <c r="HI166" s="770"/>
      <c r="HJ166" s="770"/>
      <c r="HK166" s="770"/>
      <c r="HL166" s="772"/>
      <c r="HM166" s="772"/>
      <c r="HN166" s="770"/>
      <c r="HO166" s="770"/>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1420</v>
      </c>
      <c r="B167" s="16" t="s">
        <v>3248</v>
      </c>
      <c r="K167" s="16" t="s">
        <v>3298</v>
      </c>
      <c r="L167" s="16" t="s">
        <v>1370</v>
      </c>
    </row>
    <row r="168" spans="1:255" ht="132.75" customHeight="1">
      <c r="A168" s="1355" t="s">
        <v>73</v>
      </c>
      <c r="B168" s="1356"/>
      <c r="C168" s="1356"/>
      <c r="D168" s="1356"/>
      <c r="E168" s="1356"/>
      <c r="F168" s="1356"/>
      <c r="G168" s="1356"/>
      <c r="H168" s="1356"/>
      <c r="I168" s="1356"/>
      <c r="J168" s="1357"/>
      <c r="K168" s="1358"/>
      <c r="L168" s="1359"/>
      <c r="M168" s="1359"/>
      <c r="N168" s="1359"/>
      <c r="O168" s="1359"/>
      <c r="P168" s="1360"/>
      <c r="T168" s="987" t="s">
        <v>121</v>
      </c>
      <c r="U168" s="987"/>
    </row>
    <row r="169" spans="1:255" ht="11.25" customHeight="1"/>
    <row r="170" spans="1:255" ht="12" customHeight="1"/>
    <row r="171" spans="1:255" ht="12" customHeight="1"/>
    <row r="172" spans="1:255" ht="14.1" customHeight="1"/>
    <row r="173" spans="1:255" s="119" customFormat="1" ht="14.1" customHeight="1">
      <c r="A173" s="2"/>
      <c r="B173" s="2"/>
      <c r="C173" s="2"/>
      <c r="D173" s="2"/>
      <c r="E173" s="2"/>
      <c r="F173" s="2"/>
      <c r="G173" s="2"/>
      <c r="H173" s="2"/>
      <c r="I173" s="2"/>
      <c r="J173" s="2"/>
      <c r="K173" s="2"/>
      <c r="L173" s="2"/>
      <c r="M173" s="2"/>
      <c r="N173" s="2"/>
      <c r="O173" s="2"/>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0"/>
      <c r="AZ173" s="770"/>
      <c r="BA173" s="770"/>
      <c r="BB173" s="770"/>
      <c r="BC173" s="770"/>
      <c r="BD173" s="770"/>
      <c r="BE173" s="770"/>
      <c r="BF173" s="770"/>
      <c r="BG173" s="770"/>
      <c r="BH173" s="770"/>
      <c r="BI173" s="770"/>
      <c r="BJ173" s="770"/>
      <c r="BK173" s="770"/>
      <c r="BL173" s="770"/>
      <c r="BM173" s="770"/>
      <c r="BN173" s="770"/>
      <c r="BO173" s="770"/>
      <c r="BP173" s="770"/>
      <c r="BQ173" s="770"/>
      <c r="BR173" s="770"/>
      <c r="BS173" s="770"/>
      <c r="BT173" s="770"/>
      <c r="BU173" s="770"/>
      <c r="BV173" s="770"/>
      <c r="BW173" s="770"/>
      <c r="BX173" s="770"/>
      <c r="BY173" s="770"/>
      <c r="BZ173" s="770"/>
      <c r="CA173" s="770"/>
      <c r="CB173" s="770"/>
      <c r="CC173" s="770"/>
      <c r="CD173" s="770"/>
      <c r="CE173" s="770"/>
      <c r="CF173" s="770"/>
      <c r="CG173" s="770"/>
      <c r="CH173" s="770"/>
      <c r="CI173" s="770"/>
      <c r="CJ173" s="770"/>
      <c r="CK173" s="770"/>
      <c r="CL173" s="770"/>
      <c r="CM173" s="770"/>
      <c r="CN173" s="770"/>
      <c r="CO173" s="770"/>
      <c r="CP173" s="770"/>
      <c r="CQ173" s="770"/>
      <c r="CR173" s="770"/>
      <c r="CS173" s="770"/>
      <c r="CT173" s="770"/>
      <c r="CU173" s="770"/>
      <c r="CV173" s="770"/>
      <c r="CW173" s="770"/>
      <c r="CX173" s="770"/>
      <c r="CY173" s="770"/>
      <c r="CZ173" s="770"/>
      <c r="DA173" s="770"/>
      <c r="DB173" s="770"/>
      <c r="DC173" s="770"/>
      <c r="DD173" s="770"/>
      <c r="DE173" s="770"/>
      <c r="DF173" s="770"/>
      <c r="DG173" s="770"/>
      <c r="DH173" s="770"/>
      <c r="DI173" s="770"/>
      <c r="DJ173" s="770"/>
      <c r="DK173" s="770"/>
      <c r="DL173" s="770"/>
      <c r="DM173" s="770"/>
      <c r="DN173" s="770"/>
      <c r="DO173" s="770"/>
      <c r="DP173" s="770"/>
      <c r="DQ173" s="770"/>
      <c r="DR173" s="770"/>
      <c r="DS173" s="770"/>
      <c r="DT173" s="770"/>
      <c r="DU173" s="770"/>
      <c r="DV173" s="770"/>
      <c r="DW173" s="770"/>
      <c r="DX173" s="770"/>
      <c r="DY173" s="770"/>
      <c r="DZ173" s="770"/>
      <c r="EA173" s="770"/>
      <c r="EB173" s="770"/>
      <c r="EC173" s="770"/>
      <c r="ED173" s="770"/>
      <c r="EE173" s="770"/>
      <c r="EF173" s="770"/>
      <c r="EG173" s="770"/>
      <c r="EH173" s="770"/>
      <c r="EI173" s="770"/>
      <c r="EJ173" s="770"/>
      <c r="EK173" s="770"/>
      <c r="EL173" s="770"/>
      <c r="EM173" s="770"/>
      <c r="EN173" s="770"/>
      <c r="EO173" s="770"/>
      <c r="EP173" s="770"/>
      <c r="EQ173" s="770"/>
      <c r="ER173" s="770"/>
      <c r="ES173" s="770"/>
      <c r="ET173" s="770"/>
      <c r="EU173" s="770"/>
      <c r="EV173" s="770"/>
      <c r="EW173" s="770"/>
      <c r="EX173" s="770"/>
      <c r="EY173" s="770"/>
      <c r="EZ173" s="770"/>
      <c r="FA173" s="770"/>
      <c r="FB173" s="770"/>
      <c r="FC173" s="770"/>
      <c r="FD173" s="770"/>
      <c r="FE173" s="770"/>
      <c r="FF173" s="770"/>
      <c r="FG173" s="770"/>
      <c r="FH173" s="770"/>
      <c r="FI173" s="770"/>
      <c r="FJ173" s="770"/>
      <c r="FK173" s="770"/>
      <c r="FL173" s="770"/>
      <c r="FM173" s="770"/>
      <c r="FN173" s="770"/>
      <c r="FO173" s="770"/>
      <c r="FP173" s="770"/>
      <c r="FQ173" s="770"/>
      <c r="FR173" s="770"/>
      <c r="FS173" s="770"/>
      <c r="FT173" s="770"/>
      <c r="FU173" s="770"/>
      <c r="FV173" s="770"/>
      <c r="FW173" s="770"/>
      <c r="FX173" s="770"/>
      <c r="FY173" s="771"/>
      <c r="FZ173" s="771"/>
      <c r="GA173" s="771"/>
      <c r="GB173" s="771"/>
      <c r="GC173" s="771"/>
      <c r="GD173" s="771"/>
      <c r="GE173" s="771"/>
      <c r="GF173" s="771"/>
      <c r="GG173" s="771"/>
      <c r="GH173" s="771"/>
      <c r="GI173" s="771"/>
      <c r="GJ173" s="771"/>
      <c r="GK173" s="771"/>
      <c r="GL173" s="771"/>
      <c r="GM173" s="771"/>
      <c r="GN173" s="771"/>
      <c r="GO173" s="771"/>
      <c r="GP173" s="770"/>
      <c r="GQ173" s="770"/>
      <c r="GR173" s="770"/>
      <c r="GS173" s="770"/>
      <c r="GT173" s="770"/>
      <c r="GU173" s="770"/>
      <c r="GV173" s="772"/>
      <c r="GW173" s="770"/>
      <c r="GX173" s="770"/>
      <c r="GY173" s="770"/>
      <c r="GZ173" s="770"/>
      <c r="HA173" s="770"/>
      <c r="HB173" s="770"/>
      <c r="HC173" s="770"/>
      <c r="HD173" s="770"/>
      <c r="HE173" s="770"/>
      <c r="HF173" s="770"/>
      <c r="HG173" s="770"/>
      <c r="HH173" s="770"/>
      <c r="HI173" s="770"/>
      <c r="HJ173" s="770"/>
      <c r="HK173" s="770"/>
      <c r="HL173" s="772"/>
      <c r="HM173" s="772"/>
      <c r="HN173" s="770"/>
      <c r="HO173" s="770"/>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4.1" customHeight="1">
      <c r="A174" s="2"/>
      <c r="B174" s="2"/>
      <c r="C174" s="2"/>
      <c r="D174" s="2"/>
      <c r="E174" s="2"/>
      <c r="F174" s="2"/>
      <c r="G174" s="2"/>
      <c r="H174" s="2"/>
      <c r="I174" s="2"/>
      <c r="J174" s="2"/>
      <c r="K174" s="2"/>
      <c r="L174" s="2"/>
      <c r="M174" s="2"/>
      <c r="N174" s="2"/>
      <c r="O174" s="2"/>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0"/>
      <c r="AY174" s="770"/>
      <c r="AZ174" s="770"/>
      <c r="BA174" s="770"/>
      <c r="BB174" s="770"/>
      <c r="BC174" s="770"/>
      <c r="BD174" s="770"/>
      <c r="BE174" s="770"/>
      <c r="BF174" s="770"/>
      <c r="BG174" s="770"/>
      <c r="BH174" s="770"/>
      <c r="BI174" s="770"/>
      <c r="BJ174" s="770"/>
      <c r="BK174" s="770"/>
      <c r="BL174" s="770"/>
      <c r="BM174" s="770"/>
      <c r="BN174" s="770"/>
      <c r="BO174" s="770"/>
      <c r="BP174" s="770"/>
      <c r="BQ174" s="770"/>
      <c r="BR174" s="770"/>
      <c r="BS174" s="770"/>
      <c r="BT174" s="770"/>
      <c r="BU174" s="770"/>
      <c r="BV174" s="770"/>
      <c r="BW174" s="770"/>
      <c r="BX174" s="770"/>
      <c r="BY174" s="770"/>
      <c r="BZ174" s="770"/>
      <c r="CA174" s="770"/>
      <c r="CB174" s="770"/>
      <c r="CC174" s="770"/>
      <c r="CD174" s="770"/>
      <c r="CE174" s="770"/>
      <c r="CF174" s="770"/>
      <c r="CG174" s="770"/>
      <c r="CH174" s="770"/>
      <c r="CI174" s="770"/>
      <c r="CJ174" s="770"/>
      <c r="CK174" s="770"/>
      <c r="CL174" s="770"/>
      <c r="CM174" s="770"/>
      <c r="CN174" s="770"/>
      <c r="CO174" s="770"/>
      <c r="CP174" s="770"/>
      <c r="CQ174" s="770"/>
      <c r="CR174" s="770"/>
      <c r="CS174" s="770"/>
      <c r="CT174" s="770"/>
      <c r="CU174" s="770"/>
      <c r="CV174" s="770"/>
      <c r="CW174" s="770"/>
      <c r="CX174" s="770"/>
      <c r="CY174" s="770"/>
      <c r="CZ174" s="770"/>
      <c r="DA174" s="770"/>
      <c r="DB174" s="770"/>
      <c r="DC174" s="770"/>
      <c r="DD174" s="770"/>
      <c r="DE174" s="770"/>
      <c r="DF174" s="770"/>
      <c r="DG174" s="770"/>
      <c r="DH174" s="770"/>
      <c r="DI174" s="770"/>
      <c r="DJ174" s="770"/>
      <c r="DK174" s="770"/>
      <c r="DL174" s="770"/>
      <c r="DM174" s="770"/>
      <c r="DN174" s="770"/>
      <c r="DO174" s="770"/>
      <c r="DP174" s="770"/>
      <c r="DQ174" s="770"/>
      <c r="DR174" s="770"/>
      <c r="DS174" s="770"/>
      <c r="DT174" s="770"/>
      <c r="DU174" s="770"/>
      <c r="DV174" s="770"/>
      <c r="DW174" s="770"/>
      <c r="DX174" s="770"/>
      <c r="DY174" s="770"/>
      <c r="DZ174" s="770"/>
      <c r="EA174" s="770"/>
      <c r="EB174" s="770"/>
      <c r="EC174" s="770"/>
      <c r="ED174" s="770"/>
      <c r="EE174" s="770"/>
      <c r="EF174" s="770"/>
      <c r="EG174" s="770"/>
      <c r="EH174" s="770"/>
      <c r="EI174" s="770"/>
      <c r="EJ174" s="770"/>
      <c r="EK174" s="770"/>
      <c r="EL174" s="770"/>
      <c r="EM174" s="770"/>
      <c r="EN174" s="770"/>
      <c r="EO174" s="770"/>
      <c r="EP174" s="770"/>
      <c r="EQ174" s="770"/>
      <c r="ER174" s="770"/>
      <c r="ES174" s="770"/>
      <c r="ET174" s="770"/>
      <c r="EU174" s="770"/>
      <c r="EV174" s="770"/>
      <c r="EW174" s="770"/>
      <c r="EX174" s="770"/>
      <c r="EY174" s="770"/>
      <c r="EZ174" s="770"/>
      <c r="FA174" s="770"/>
      <c r="FB174" s="770"/>
      <c r="FC174" s="770"/>
      <c r="FD174" s="770"/>
      <c r="FE174" s="770"/>
      <c r="FF174" s="770"/>
      <c r="FG174" s="770"/>
      <c r="FH174" s="770"/>
      <c r="FI174" s="770"/>
      <c r="FJ174" s="770"/>
      <c r="FK174" s="770"/>
      <c r="FL174" s="770"/>
      <c r="FM174" s="770"/>
      <c r="FN174" s="770"/>
      <c r="FO174" s="770"/>
      <c r="FP174" s="770"/>
      <c r="FQ174" s="770"/>
      <c r="FR174" s="770"/>
      <c r="FS174" s="770"/>
      <c r="FT174" s="770"/>
      <c r="FU174" s="770"/>
      <c r="FV174" s="770"/>
      <c r="FW174" s="770"/>
      <c r="FX174" s="770"/>
      <c r="FY174" s="771"/>
      <c r="FZ174" s="771"/>
      <c r="GA174" s="771"/>
      <c r="GB174" s="771"/>
      <c r="GC174" s="771"/>
      <c r="GD174" s="771"/>
      <c r="GE174" s="771"/>
      <c r="GF174" s="771"/>
      <c r="GG174" s="771"/>
      <c r="GH174" s="771"/>
      <c r="GI174" s="771"/>
      <c r="GJ174" s="771"/>
      <c r="GK174" s="771"/>
      <c r="GL174" s="771"/>
      <c r="GM174" s="771"/>
      <c r="GN174" s="771"/>
      <c r="GO174" s="771"/>
      <c r="GP174" s="770"/>
      <c r="GQ174" s="770"/>
      <c r="GR174" s="770"/>
      <c r="GS174" s="770"/>
      <c r="GT174" s="770"/>
      <c r="GU174" s="770"/>
      <c r="GV174" s="772"/>
      <c r="GW174" s="770"/>
      <c r="GX174" s="770"/>
      <c r="GY174" s="770"/>
      <c r="GZ174" s="770"/>
      <c r="HA174" s="770"/>
      <c r="HB174" s="770"/>
      <c r="HC174" s="770"/>
      <c r="HD174" s="770"/>
      <c r="HE174" s="770"/>
      <c r="HF174" s="770"/>
      <c r="HG174" s="770"/>
      <c r="HH174" s="770"/>
      <c r="HI174" s="770"/>
      <c r="HJ174" s="770"/>
      <c r="HK174" s="770"/>
      <c r="HL174" s="772"/>
      <c r="HM174" s="772"/>
      <c r="HN174" s="770"/>
      <c r="HO174" s="770"/>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4.1" customHeight="1">
      <c r="A175" s="2"/>
      <c r="B175" s="2"/>
      <c r="C175" s="2"/>
      <c r="D175" s="2"/>
      <c r="E175" s="2"/>
      <c r="F175" s="2"/>
      <c r="G175" s="2"/>
      <c r="H175" s="2"/>
      <c r="I175" s="2"/>
      <c r="J175" s="2"/>
      <c r="K175" s="2"/>
      <c r="L175" s="2"/>
      <c r="M175" s="2"/>
      <c r="N175" s="2"/>
      <c r="O175" s="2"/>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70"/>
      <c r="AQ175" s="770"/>
      <c r="AR175" s="770"/>
      <c r="AS175" s="770"/>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0"/>
      <c r="BW175" s="770"/>
      <c r="BX175" s="770"/>
      <c r="BY175" s="770"/>
      <c r="BZ175" s="770"/>
      <c r="CA175" s="770"/>
      <c r="CB175" s="770"/>
      <c r="CC175" s="770"/>
      <c r="CD175" s="770"/>
      <c r="CE175" s="770"/>
      <c r="CF175" s="770"/>
      <c r="CG175" s="770"/>
      <c r="CH175" s="770"/>
      <c r="CI175" s="770"/>
      <c r="CJ175" s="770"/>
      <c r="CK175" s="770"/>
      <c r="CL175" s="770"/>
      <c r="CM175" s="770"/>
      <c r="CN175" s="770"/>
      <c r="CO175" s="770"/>
      <c r="CP175" s="770"/>
      <c r="CQ175" s="770"/>
      <c r="CR175" s="770"/>
      <c r="CS175" s="770"/>
      <c r="CT175" s="770"/>
      <c r="CU175" s="770"/>
      <c r="CV175" s="770"/>
      <c r="CW175" s="770"/>
      <c r="CX175" s="770"/>
      <c r="CY175" s="770"/>
      <c r="CZ175" s="770"/>
      <c r="DA175" s="770"/>
      <c r="DB175" s="770"/>
      <c r="DC175" s="770"/>
      <c r="DD175" s="770"/>
      <c r="DE175" s="770"/>
      <c r="DF175" s="770"/>
      <c r="DG175" s="770"/>
      <c r="DH175" s="770"/>
      <c r="DI175" s="770"/>
      <c r="DJ175" s="770"/>
      <c r="DK175" s="770"/>
      <c r="DL175" s="770"/>
      <c r="DM175" s="770"/>
      <c r="DN175" s="770"/>
      <c r="DO175" s="770"/>
      <c r="DP175" s="770"/>
      <c r="DQ175" s="770"/>
      <c r="DR175" s="770"/>
      <c r="DS175" s="770"/>
      <c r="DT175" s="770"/>
      <c r="DU175" s="770"/>
      <c r="DV175" s="770"/>
      <c r="DW175" s="770"/>
      <c r="DX175" s="770"/>
      <c r="DY175" s="770"/>
      <c r="DZ175" s="770"/>
      <c r="EA175" s="770"/>
      <c r="EB175" s="770"/>
      <c r="EC175" s="770"/>
      <c r="ED175" s="770"/>
      <c r="EE175" s="770"/>
      <c r="EF175" s="770"/>
      <c r="EG175" s="770"/>
      <c r="EH175" s="770"/>
      <c r="EI175" s="770"/>
      <c r="EJ175" s="770"/>
      <c r="EK175" s="770"/>
      <c r="EL175" s="770"/>
      <c r="EM175" s="770"/>
      <c r="EN175" s="770"/>
      <c r="EO175" s="770"/>
      <c r="EP175" s="770"/>
      <c r="EQ175" s="770"/>
      <c r="ER175" s="770"/>
      <c r="ES175" s="770"/>
      <c r="ET175" s="770"/>
      <c r="EU175" s="770"/>
      <c r="EV175" s="770"/>
      <c r="EW175" s="770"/>
      <c r="EX175" s="770"/>
      <c r="EY175" s="770"/>
      <c r="EZ175" s="770"/>
      <c r="FA175" s="770"/>
      <c r="FB175" s="770"/>
      <c r="FC175" s="770"/>
      <c r="FD175" s="770"/>
      <c r="FE175" s="770"/>
      <c r="FF175" s="770"/>
      <c r="FG175" s="770"/>
      <c r="FH175" s="770"/>
      <c r="FI175" s="770"/>
      <c r="FJ175" s="770"/>
      <c r="FK175" s="770"/>
      <c r="FL175" s="770"/>
      <c r="FM175" s="770"/>
      <c r="FN175" s="770"/>
      <c r="FO175" s="770"/>
      <c r="FP175" s="770"/>
      <c r="FQ175" s="770"/>
      <c r="FR175" s="770"/>
      <c r="FS175" s="770"/>
      <c r="FT175" s="770"/>
      <c r="FU175" s="770"/>
      <c r="FV175" s="770"/>
      <c r="FW175" s="770"/>
      <c r="FX175" s="770"/>
      <c r="FY175" s="771"/>
      <c r="FZ175" s="771"/>
      <c r="GA175" s="771"/>
      <c r="GB175" s="771"/>
      <c r="GC175" s="771"/>
      <c r="GD175" s="771"/>
      <c r="GE175" s="771"/>
      <c r="GF175" s="771"/>
      <c r="GG175" s="771"/>
      <c r="GH175" s="771"/>
      <c r="GI175" s="771"/>
      <c r="GJ175" s="771"/>
      <c r="GK175" s="771"/>
      <c r="GL175" s="771"/>
      <c r="GM175" s="771"/>
      <c r="GN175" s="771"/>
      <c r="GO175" s="771"/>
      <c r="GP175" s="770"/>
      <c r="GQ175" s="770"/>
      <c r="GR175" s="770"/>
      <c r="GS175" s="770"/>
      <c r="GT175" s="770"/>
      <c r="GU175" s="770"/>
      <c r="GV175" s="772"/>
      <c r="GW175" s="770"/>
      <c r="GX175" s="770"/>
      <c r="GY175" s="770"/>
      <c r="GZ175" s="770"/>
      <c r="HA175" s="770"/>
      <c r="HB175" s="770"/>
      <c r="HC175" s="770"/>
      <c r="HD175" s="770"/>
      <c r="HE175" s="770"/>
      <c r="HF175" s="770"/>
      <c r="HG175" s="770"/>
      <c r="HH175" s="770"/>
      <c r="HI175" s="770"/>
      <c r="HJ175" s="770"/>
      <c r="HK175" s="770"/>
      <c r="HL175" s="772"/>
      <c r="HM175" s="772"/>
      <c r="HN175" s="770"/>
      <c r="HO175" s="770"/>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4.1" customHeight="1">
      <c r="A176" s="36"/>
      <c r="B176" s="2"/>
      <c r="C176" s="2"/>
      <c r="D176" s="2"/>
      <c r="E176" s="2"/>
      <c r="F176" s="2"/>
      <c r="G176" s="2"/>
      <c r="H176" s="2"/>
      <c r="I176" s="2"/>
      <c r="J176" s="2"/>
      <c r="K176" s="2"/>
      <c r="L176" s="2"/>
      <c r="M176" s="2"/>
      <c r="N176" s="2"/>
      <c r="O176" s="2"/>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c r="AT176" s="770"/>
      <c r="AU176" s="770"/>
      <c r="AV176" s="770"/>
      <c r="AW176" s="770"/>
      <c r="AX176" s="770"/>
      <c r="AY176" s="770"/>
      <c r="AZ176" s="770"/>
      <c r="BA176" s="770"/>
      <c r="BB176" s="770"/>
      <c r="BC176" s="770"/>
      <c r="BD176" s="770"/>
      <c r="BE176" s="770"/>
      <c r="BF176" s="770"/>
      <c r="BG176" s="770"/>
      <c r="BH176" s="770"/>
      <c r="BI176" s="770"/>
      <c r="BJ176" s="770"/>
      <c r="BK176" s="770"/>
      <c r="BL176" s="770"/>
      <c r="BM176" s="770"/>
      <c r="BN176" s="770"/>
      <c r="BO176" s="770"/>
      <c r="BP176" s="770"/>
      <c r="BQ176" s="770"/>
      <c r="BR176" s="770"/>
      <c r="BS176" s="770"/>
      <c r="BT176" s="770"/>
      <c r="BU176" s="770"/>
      <c r="BV176" s="770"/>
      <c r="BW176" s="770"/>
      <c r="BX176" s="770"/>
      <c r="BY176" s="770"/>
      <c r="BZ176" s="770"/>
      <c r="CA176" s="770"/>
      <c r="CB176" s="770"/>
      <c r="CC176" s="770"/>
      <c r="CD176" s="770"/>
      <c r="CE176" s="770"/>
      <c r="CF176" s="770"/>
      <c r="CG176" s="770"/>
      <c r="CH176" s="770"/>
      <c r="CI176" s="770"/>
      <c r="CJ176" s="770"/>
      <c r="CK176" s="770"/>
      <c r="CL176" s="770"/>
      <c r="CM176" s="770"/>
      <c r="CN176" s="770"/>
      <c r="CO176" s="770"/>
      <c r="CP176" s="770"/>
      <c r="CQ176" s="770"/>
      <c r="CR176" s="770"/>
      <c r="CS176" s="770"/>
      <c r="CT176" s="770"/>
      <c r="CU176" s="770"/>
      <c r="CV176" s="770"/>
      <c r="CW176" s="770"/>
      <c r="CX176" s="770"/>
      <c r="CY176" s="770"/>
      <c r="CZ176" s="770"/>
      <c r="DA176" s="770"/>
      <c r="DB176" s="770"/>
      <c r="DC176" s="770"/>
      <c r="DD176" s="770"/>
      <c r="DE176" s="770"/>
      <c r="DF176" s="770"/>
      <c r="DG176" s="770"/>
      <c r="DH176" s="770"/>
      <c r="DI176" s="770"/>
      <c r="DJ176" s="770"/>
      <c r="DK176" s="770"/>
      <c r="DL176" s="770"/>
      <c r="DM176" s="770"/>
      <c r="DN176" s="770"/>
      <c r="DO176" s="770"/>
      <c r="DP176" s="770"/>
      <c r="DQ176" s="770"/>
      <c r="DR176" s="770"/>
      <c r="DS176" s="770"/>
      <c r="DT176" s="770"/>
      <c r="DU176" s="770"/>
      <c r="DV176" s="770"/>
      <c r="DW176" s="770"/>
      <c r="DX176" s="770"/>
      <c r="DY176" s="770"/>
      <c r="DZ176" s="770"/>
      <c r="EA176" s="770"/>
      <c r="EB176" s="770"/>
      <c r="EC176" s="770"/>
      <c r="ED176" s="770"/>
      <c r="EE176" s="770"/>
      <c r="EF176" s="770"/>
      <c r="EG176" s="770"/>
      <c r="EH176" s="770"/>
      <c r="EI176" s="770"/>
      <c r="EJ176" s="770"/>
      <c r="EK176" s="770"/>
      <c r="EL176" s="770"/>
      <c r="EM176" s="770"/>
      <c r="EN176" s="770"/>
      <c r="EO176" s="770"/>
      <c r="EP176" s="770"/>
      <c r="EQ176" s="770"/>
      <c r="ER176" s="770"/>
      <c r="ES176" s="770"/>
      <c r="ET176" s="770"/>
      <c r="EU176" s="770"/>
      <c r="EV176" s="770"/>
      <c r="EW176" s="770"/>
      <c r="EX176" s="770"/>
      <c r="EY176" s="770"/>
      <c r="EZ176" s="770"/>
      <c r="FA176" s="770"/>
      <c r="FB176" s="770"/>
      <c r="FC176" s="770"/>
      <c r="FD176" s="770"/>
      <c r="FE176" s="770"/>
      <c r="FF176" s="770"/>
      <c r="FG176" s="770"/>
      <c r="FH176" s="770"/>
      <c r="FI176" s="770"/>
      <c r="FJ176" s="770"/>
      <c r="FK176" s="770"/>
      <c r="FL176" s="770"/>
      <c r="FM176" s="770"/>
      <c r="FN176" s="770"/>
      <c r="FO176" s="770"/>
      <c r="FP176" s="770"/>
      <c r="FQ176" s="770"/>
      <c r="FR176" s="770"/>
      <c r="FS176" s="770"/>
      <c r="FT176" s="770"/>
      <c r="FU176" s="770"/>
      <c r="FV176" s="770"/>
      <c r="FW176" s="770"/>
      <c r="FX176" s="770"/>
      <c r="FY176" s="771"/>
      <c r="FZ176" s="771"/>
      <c r="GA176" s="771"/>
      <c r="GB176" s="771"/>
      <c r="GC176" s="771"/>
      <c r="GD176" s="771"/>
      <c r="GE176" s="771"/>
      <c r="GF176" s="771"/>
      <c r="GG176" s="771"/>
      <c r="GH176" s="771"/>
      <c r="GI176" s="771"/>
      <c r="GJ176" s="771"/>
      <c r="GK176" s="771"/>
      <c r="GL176" s="771"/>
      <c r="GM176" s="771"/>
      <c r="GN176" s="771"/>
      <c r="GO176" s="771"/>
      <c r="GP176" s="770"/>
      <c r="GQ176" s="770"/>
      <c r="GR176" s="770"/>
      <c r="GS176" s="770"/>
      <c r="GT176" s="770"/>
      <c r="GU176" s="770"/>
      <c r="GV176" s="772"/>
      <c r="GW176" s="770"/>
      <c r="GX176" s="770"/>
      <c r="GY176" s="770"/>
      <c r="GZ176" s="770"/>
      <c r="HA176" s="770"/>
      <c r="HB176" s="770"/>
      <c r="HC176" s="770"/>
      <c r="HD176" s="770"/>
      <c r="HE176" s="770"/>
      <c r="HF176" s="770"/>
      <c r="HG176" s="770"/>
      <c r="HH176" s="770"/>
      <c r="HI176" s="770"/>
      <c r="HJ176" s="770"/>
      <c r="HK176" s="770"/>
      <c r="HL176" s="772"/>
      <c r="HM176" s="772"/>
      <c r="HN176" s="770"/>
      <c r="HO176" s="770"/>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4.1" customHeight="1">
      <c r="A177" s="36"/>
      <c r="B177" s="2"/>
      <c r="C177" s="2"/>
      <c r="D177" s="2"/>
      <c r="E177" s="2"/>
      <c r="F177" s="2"/>
      <c r="G177" s="2"/>
      <c r="H177" s="2"/>
      <c r="I177" s="2"/>
      <c r="J177" s="2"/>
      <c r="K177" s="2"/>
      <c r="L177" s="2"/>
      <c r="M177" s="2"/>
      <c r="N177" s="2"/>
      <c r="O177" s="2"/>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70"/>
      <c r="AQ177" s="770"/>
      <c r="AR177" s="770"/>
      <c r="AS177" s="770"/>
      <c r="AT177" s="770"/>
      <c r="AU177" s="770"/>
      <c r="AV177" s="770"/>
      <c r="AW177" s="770"/>
      <c r="AX177" s="770"/>
      <c r="AY177" s="770"/>
      <c r="AZ177" s="770"/>
      <c r="BA177" s="770"/>
      <c r="BB177" s="770"/>
      <c r="BC177" s="770"/>
      <c r="BD177" s="770"/>
      <c r="BE177" s="770"/>
      <c r="BF177" s="770"/>
      <c r="BG177" s="770"/>
      <c r="BH177" s="770"/>
      <c r="BI177" s="770"/>
      <c r="BJ177" s="770"/>
      <c r="BK177" s="770"/>
      <c r="BL177" s="770"/>
      <c r="BM177" s="770"/>
      <c r="BN177" s="770"/>
      <c r="BO177" s="770"/>
      <c r="BP177" s="770"/>
      <c r="BQ177" s="770"/>
      <c r="BR177" s="770"/>
      <c r="BS177" s="770"/>
      <c r="BT177" s="770"/>
      <c r="BU177" s="770"/>
      <c r="BV177" s="770"/>
      <c r="BW177" s="770"/>
      <c r="BX177" s="770"/>
      <c r="BY177" s="770"/>
      <c r="BZ177" s="770"/>
      <c r="CA177" s="770"/>
      <c r="CB177" s="770"/>
      <c r="CC177" s="770"/>
      <c r="CD177" s="770"/>
      <c r="CE177" s="770"/>
      <c r="CF177" s="770"/>
      <c r="CG177" s="770"/>
      <c r="CH177" s="770"/>
      <c r="CI177" s="770"/>
      <c r="CJ177" s="770"/>
      <c r="CK177" s="770"/>
      <c r="CL177" s="770"/>
      <c r="CM177" s="770"/>
      <c r="CN177" s="770"/>
      <c r="CO177" s="770"/>
      <c r="CP177" s="770"/>
      <c r="CQ177" s="770"/>
      <c r="CR177" s="770"/>
      <c r="CS177" s="770"/>
      <c r="CT177" s="770"/>
      <c r="CU177" s="770"/>
      <c r="CV177" s="770"/>
      <c r="CW177" s="770"/>
      <c r="CX177" s="770"/>
      <c r="CY177" s="770"/>
      <c r="CZ177" s="770"/>
      <c r="DA177" s="770"/>
      <c r="DB177" s="770"/>
      <c r="DC177" s="770"/>
      <c r="DD177" s="770"/>
      <c r="DE177" s="770"/>
      <c r="DF177" s="770"/>
      <c r="DG177" s="770"/>
      <c r="DH177" s="770"/>
      <c r="DI177" s="770"/>
      <c r="DJ177" s="770"/>
      <c r="DK177" s="770"/>
      <c r="DL177" s="770"/>
      <c r="DM177" s="770"/>
      <c r="DN177" s="770"/>
      <c r="DO177" s="770"/>
      <c r="DP177" s="770"/>
      <c r="DQ177" s="770"/>
      <c r="DR177" s="770"/>
      <c r="DS177" s="770"/>
      <c r="DT177" s="770"/>
      <c r="DU177" s="770"/>
      <c r="DV177" s="770"/>
      <c r="DW177" s="770"/>
      <c r="DX177" s="770"/>
      <c r="DY177" s="770"/>
      <c r="DZ177" s="770"/>
      <c r="EA177" s="770"/>
      <c r="EB177" s="770"/>
      <c r="EC177" s="770"/>
      <c r="ED177" s="770"/>
      <c r="EE177" s="770"/>
      <c r="EF177" s="770"/>
      <c r="EG177" s="770"/>
      <c r="EH177" s="770"/>
      <c r="EI177" s="770"/>
      <c r="EJ177" s="770"/>
      <c r="EK177" s="770"/>
      <c r="EL177" s="770"/>
      <c r="EM177" s="770"/>
      <c r="EN177" s="770"/>
      <c r="EO177" s="770"/>
      <c r="EP177" s="770"/>
      <c r="EQ177" s="770"/>
      <c r="ER177" s="770"/>
      <c r="ES177" s="770"/>
      <c r="ET177" s="770"/>
      <c r="EU177" s="770"/>
      <c r="EV177" s="770"/>
      <c r="EW177" s="770"/>
      <c r="EX177" s="770"/>
      <c r="EY177" s="770"/>
      <c r="EZ177" s="770"/>
      <c r="FA177" s="770"/>
      <c r="FB177" s="770"/>
      <c r="FC177" s="770"/>
      <c r="FD177" s="770"/>
      <c r="FE177" s="770"/>
      <c r="FF177" s="770"/>
      <c r="FG177" s="770"/>
      <c r="FH177" s="770"/>
      <c r="FI177" s="770"/>
      <c r="FJ177" s="770"/>
      <c r="FK177" s="770"/>
      <c r="FL177" s="770"/>
      <c r="FM177" s="770"/>
      <c r="FN177" s="770"/>
      <c r="FO177" s="770"/>
      <c r="FP177" s="770"/>
      <c r="FQ177" s="770"/>
      <c r="FR177" s="770"/>
      <c r="FS177" s="770"/>
      <c r="FT177" s="770"/>
      <c r="FU177" s="770"/>
      <c r="FV177" s="770"/>
      <c r="FW177" s="770"/>
      <c r="FX177" s="770"/>
      <c r="FY177" s="771"/>
      <c r="FZ177" s="771"/>
      <c r="GA177" s="771"/>
      <c r="GB177" s="771"/>
      <c r="GC177" s="771"/>
      <c r="GD177" s="771"/>
      <c r="GE177" s="771"/>
      <c r="GF177" s="771"/>
      <c r="GG177" s="771"/>
      <c r="GH177" s="771"/>
      <c r="GI177" s="771"/>
      <c r="GJ177" s="771"/>
      <c r="GK177" s="771"/>
      <c r="GL177" s="771"/>
      <c r="GM177" s="771"/>
      <c r="GN177" s="771"/>
      <c r="GO177" s="771"/>
      <c r="GP177" s="770"/>
      <c r="GQ177" s="770"/>
      <c r="GR177" s="770"/>
      <c r="GS177" s="770"/>
      <c r="GT177" s="770"/>
      <c r="GU177" s="770"/>
      <c r="GV177" s="772"/>
      <c r="GW177" s="770"/>
      <c r="GX177" s="770"/>
      <c r="GY177" s="770"/>
      <c r="GZ177" s="770"/>
      <c r="HA177" s="770"/>
      <c r="HB177" s="770"/>
      <c r="HC177" s="770"/>
      <c r="HD177" s="770"/>
      <c r="HE177" s="770"/>
      <c r="HF177" s="770"/>
      <c r="HG177" s="770"/>
      <c r="HH177" s="770"/>
      <c r="HI177" s="770"/>
      <c r="HJ177" s="770"/>
      <c r="HK177" s="770"/>
      <c r="HL177" s="772"/>
      <c r="HM177" s="772"/>
      <c r="HN177" s="770"/>
      <c r="HO177" s="770"/>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4.1" customHeight="1">
      <c r="A178" s="3"/>
      <c r="B178" s="2"/>
      <c r="C178" s="2"/>
      <c r="D178" s="2"/>
      <c r="E178" s="2"/>
      <c r="F178" s="2"/>
      <c r="G178" s="2"/>
      <c r="H178" s="2"/>
      <c r="I178" s="2"/>
      <c r="J178" s="2"/>
      <c r="K178" s="2"/>
      <c r="L178" s="2"/>
      <c r="M178" s="2"/>
      <c r="N178" s="2"/>
      <c r="O178" s="2"/>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70"/>
      <c r="AQ178" s="770"/>
      <c r="AR178" s="770"/>
      <c r="AS178" s="770"/>
      <c r="AT178" s="770"/>
      <c r="AU178" s="770"/>
      <c r="AV178" s="770"/>
      <c r="AW178" s="770"/>
      <c r="AX178" s="770"/>
      <c r="AY178" s="770"/>
      <c r="AZ178" s="770"/>
      <c r="BA178" s="770"/>
      <c r="BB178" s="770"/>
      <c r="BC178" s="770"/>
      <c r="BD178" s="770"/>
      <c r="BE178" s="770"/>
      <c r="BF178" s="770"/>
      <c r="BG178" s="770"/>
      <c r="BH178" s="770"/>
      <c r="BI178" s="770"/>
      <c r="BJ178" s="770"/>
      <c r="BK178" s="770"/>
      <c r="BL178" s="770"/>
      <c r="BM178" s="770"/>
      <c r="BN178" s="770"/>
      <c r="BO178" s="770"/>
      <c r="BP178" s="770"/>
      <c r="BQ178" s="770"/>
      <c r="BR178" s="770"/>
      <c r="BS178" s="770"/>
      <c r="BT178" s="770"/>
      <c r="BU178" s="770"/>
      <c r="BV178" s="770"/>
      <c r="BW178" s="770"/>
      <c r="BX178" s="770"/>
      <c r="BY178" s="770"/>
      <c r="BZ178" s="770"/>
      <c r="CA178" s="770"/>
      <c r="CB178" s="770"/>
      <c r="CC178" s="770"/>
      <c r="CD178" s="770"/>
      <c r="CE178" s="770"/>
      <c r="CF178" s="770"/>
      <c r="CG178" s="770"/>
      <c r="CH178" s="770"/>
      <c r="CI178" s="770"/>
      <c r="CJ178" s="770"/>
      <c r="CK178" s="770"/>
      <c r="CL178" s="770"/>
      <c r="CM178" s="770"/>
      <c r="CN178" s="770"/>
      <c r="CO178" s="770"/>
      <c r="CP178" s="770"/>
      <c r="CQ178" s="770"/>
      <c r="CR178" s="770"/>
      <c r="CS178" s="770"/>
      <c r="CT178" s="770"/>
      <c r="CU178" s="770"/>
      <c r="CV178" s="770"/>
      <c r="CW178" s="770"/>
      <c r="CX178" s="770"/>
      <c r="CY178" s="770"/>
      <c r="CZ178" s="770"/>
      <c r="DA178" s="770"/>
      <c r="DB178" s="770"/>
      <c r="DC178" s="770"/>
      <c r="DD178" s="770"/>
      <c r="DE178" s="770"/>
      <c r="DF178" s="770"/>
      <c r="DG178" s="770"/>
      <c r="DH178" s="770"/>
      <c r="DI178" s="770"/>
      <c r="DJ178" s="770"/>
      <c r="DK178" s="770"/>
      <c r="DL178" s="770"/>
      <c r="DM178" s="770"/>
      <c r="DN178" s="770"/>
      <c r="DO178" s="770"/>
      <c r="DP178" s="770"/>
      <c r="DQ178" s="770"/>
      <c r="DR178" s="770"/>
      <c r="DS178" s="770"/>
      <c r="DT178" s="770"/>
      <c r="DU178" s="770"/>
      <c r="DV178" s="770"/>
      <c r="DW178" s="770"/>
      <c r="DX178" s="770"/>
      <c r="DY178" s="770"/>
      <c r="DZ178" s="770"/>
      <c r="EA178" s="770"/>
      <c r="EB178" s="770"/>
      <c r="EC178" s="770"/>
      <c r="ED178" s="770"/>
      <c r="EE178" s="770"/>
      <c r="EF178" s="770"/>
      <c r="EG178" s="770"/>
      <c r="EH178" s="770"/>
      <c r="EI178" s="770"/>
      <c r="EJ178" s="770"/>
      <c r="EK178" s="770"/>
      <c r="EL178" s="770"/>
      <c r="EM178" s="770"/>
      <c r="EN178" s="770"/>
      <c r="EO178" s="770"/>
      <c r="EP178" s="770"/>
      <c r="EQ178" s="770"/>
      <c r="ER178" s="770"/>
      <c r="ES178" s="770"/>
      <c r="ET178" s="770"/>
      <c r="EU178" s="770"/>
      <c r="EV178" s="770"/>
      <c r="EW178" s="770"/>
      <c r="EX178" s="770"/>
      <c r="EY178" s="770"/>
      <c r="EZ178" s="770"/>
      <c r="FA178" s="770"/>
      <c r="FB178" s="770"/>
      <c r="FC178" s="770"/>
      <c r="FD178" s="770"/>
      <c r="FE178" s="770"/>
      <c r="FF178" s="770"/>
      <c r="FG178" s="770"/>
      <c r="FH178" s="770"/>
      <c r="FI178" s="770"/>
      <c r="FJ178" s="770"/>
      <c r="FK178" s="770"/>
      <c r="FL178" s="770"/>
      <c r="FM178" s="770"/>
      <c r="FN178" s="770"/>
      <c r="FO178" s="770"/>
      <c r="FP178" s="770"/>
      <c r="FQ178" s="770"/>
      <c r="FR178" s="770"/>
      <c r="FS178" s="770"/>
      <c r="FT178" s="770"/>
      <c r="FU178" s="770"/>
      <c r="FV178" s="770"/>
      <c r="FW178" s="770"/>
      <c r="FX178" s="770"/>
      <c r="FY178" s="771"/>
      <c r="FZ178" s="771"/>
      <c r="GA178" s="771"/>
      <c r="GB178" s="771"/>
      <c r="GC178" s="771"/>
      <c r="GD178" s="771"/>
      <c r="GE178" s="771"/>
      <c r="GF178" s="771"/>
      <c r="GG178" s="771"/>
      <c r="GH178" s="771"/>
      <c r="GI178" s="771"/>
      <c r="GJ178" s="771"/>
      <c r="GK178" s="771"/>
      <c r="GL178" s="771"/>
      <c r="GM178" s="771"/>
      <c r="GN178" s="771"/>
      <c r="GO178" s="771"/>
      <c r="GP178" s="770"/>
      <c r="GQ178" s="770"/>
      <c r="GR178" s="770"/>
      <c r="GS178" s="770"/>
      <c r="GT178" s="770"/>
      <c r="GU178" s="770"/>
      <c r="GV178" s="772"/>
      <c r="GW178" s="770"/>
      <c r="GX178" s="770"/>
      <c r="GY178" s="770"/>
      <c r="GZ178" s="770"/>
      <c r="HA178" s="770"/>
      <c r="HB178" s="770"/>
      <c r="HC178" s="770"/>
      <c r="HD178" s="770"/>
      <c r="HE178" s="770"/>
      <c r="HF178" s="770"/>
      <c r="HG178" s="770"/>
      <c r="HH178" s="770"/>
      <c r="HI178" s="770"/>
      <c r="HJ178" s="770"/>
      <c r="HK178" s="770"/>
      <c r="HL178" s="772"/>
      <c r="HM178" s="772"/>
      <c r="HN178" s="770"/>
      <c r="HO178" s="770"/>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4.1" customHeight="1">
      <c r="A179" s="2"/>
      <c r="B179" s="2"/>
      <c r="C179" s="2"/>
      <c r="D179" s="2"/>
      <c r="E179" s="2"/>
      <c r="F179" s="2"/>
      <c r="G179" s="2"/>
      <c r="H179" s="2"/>
      <c r="I179" s="2"/>
      <c r="J179" s="2"/>
      <c r="K179" s="2"/>
      <c r="L179" s="2"/>
      <c r="M179" s="2"/>
      <c r="N179" s="2"/>
      <c r="O179" s="2"/>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c r="BB179" s="770"/>
      <c r="BC179" s="770"/>
      <c r="BD179" s="770"/>
      <c r="BE179" s="770"/>
      <c r="BF179" s="770"/>
      <c r="BG179" s="770"/>
      <c r="BH179" s="770"/>
      <c r="BI179" s="770"/>
      <c r="BJ179" s="770"/>
      <c r="BK179" s="770"/>
      <c r="BL179" s="770"/>
      <c r="BM179" s="770"/>
      <c r="BN179" s="770"/>
      <c r="BO179" s="770"/>
      <c r="BP179" s="770"/>
      <c r="BQ179" s="770"/>
      <c r="BR179" s="770"/>
      <c r="BS179" s="770"/>
      <c r="BT179" s="770"/>
      <c r="BU179" s="770"/>
      <c r="BV179" s="770"/>
      <c r="BW179" s="770"/>
      <c r="BX179" s="770"/>
      <c r="BY179" s="770"/>
      <c r="BZ179" s="770"/>
      <c r="CA179" s="770"/>
      <c r="CB179" s="770"/>
      <c r="CC179" s="770"/>
      <c r="CD179" s="770"/>
      <c r="CE179" s="770"/>
      <c r="CF179" s="770"/>
      <c r="CG179" s="770"/>
      <c r="CH179" s="770"/>
      <c r="CI179" s="770"/>
      <c r="CJ179" s="770"/>
      <c r="CK179" s="770"/>
      <c r="CL179" s="770"/>
      <c r="CM179" s="770"/>
      <c r="CN179" s="770"/>
      <c r="CO179" s="770"/>
      <c r="CP179" s="770"/>
      <c r="CQ179" s="770"/>
      <c r="CR179" s="770"/>
      <c r="CS179" s="770"/>
      <c r="CT179" s="770"/>
      <c r="CU179" s="770"/>
      <c r="CV179" s="770"/>
      <c r="CW179" s="770"/>
      <c r="CX179" s="770"/>
      <c r="CY179" s="770"/>
      <c r="CZ179" s="770"/>
      <c r="DA179" s="770"/>
      <c r="DB179" s="770"/>
      <c r="DC179" s="770"/>
      <c r="DD179" s="770"/>
      <c r="DE179" s="770"/>
      <c r="DF179" s="770"/>
      <c r="DG179" s="770"/>
      <c r="DH179" s="770"/>
      <c r="DI179" s="770"/>
      <c r="DJ179" s="770"/>
      <c r="DK179" s="770"/>
      <c r="DL179" s="770"/>
      <c r="DM179" s="770"/>
      <c r="DN179" s="770"/>
      <c r="DO179" s="770"/>
      <c r="DP179" s="770"/>
      <c r="DQ179" s="770"/>
      <c r="DR179" s="770"/>
      <c r="DS179" s="770"/>
      <c r="DT179" s="770"/>
      <c r="DU179" s="770"/>
      <c r="DV179" s="770"/>
      <c r="DW179" s="770"/>
      <c r="DX179" s="770"/>
      <c r="DY179" s="770"/>
      <c r="DZ179" s="770"/>
      <c r="EA179" s="770"/>
      <c r="EB179" s="770"/>
      <c r="EC179" s="770"/>
      <c r="ED179" s="770"/>
      <c r="EE179" s="770"/>
      <c r="EF179" s="770"/>
      <c r="EG179" s="770"/>
      <c r="EH179" s="770"/>
      <c r="EI179" s="770"/>
      <c r="EJ179" s="770"/>
      <c r="EK179" s="770"/>
      <c r="EL179" s="770"/>
      <c r="EM179" s="770"/>
      <c r="EN179" s="770"/>
      <c r="EO179" s="770"/>
      <c r="EP179" s="770"/>
      <c r="EQ179" s="770"/>
      <c r="ER179" s="770"/>
      <c r="ES179" s="770"/>
      <c r="ET179" s="770"/>
      <c r="EU179" s="770"/>
      <c r="EV179" s="770"/>
      <c r="EW179" s="770"/>
      <c r="EX179" s="770"/>
      <c r="EY179" s="770"/>
      <c r="EZ179" s="770"/>
      <c r="FA179" s="770"/>
      <c r="FB179" s="770"/>
      <c r="FC179" s="770"/>
      <c r="FD179" s="770"/>
      <c r="FE179" s="770"/>
      <c r="FF179" s="770"/>
      <c r="FG179" s="770"/>
      <c r="FH179" s="770"/>
      <c r="FI179" s="770"/>
      <c r="FJ179" s="770"/>
      <c r="FK179" s="770"/>
      <c r="FL179" s="770"/>
      <c r="FM179" s="770"/>
      <c r="FN179" s="770"/>
      <c r="FO179" s="770"/>
      <c r="FP179" s="770"/>
      <c r="FQ179" s="770"/>
      <c r="FR179" s="770"/>
      <c r="FS179" s="770"/>
      <c r="FT179" s="770"/>
      <c r="FU179" s="770"/>
      <c r="FV179" s="770"/>
      <c r="FW179" s="770"/>
      <c r="FX179" s="770"/>
      <c r="FY179" s="771"/>
      <c r="FZ179" s="771"/>
      <c r="GA179" s="771"/>
      <c r="GB179" s="771"/>
      <c r="GC179" s="771"/>
      <c r="GD179" s="771"/>
      <c r="GE179" s="771"/>
      <c r="GF179" s="771"/>
      <c r="GG179" s="771"/>
      <c r="GH179" s="771"/>
      <c r="GI179" s="771"/>
      <c r="GJ179" s="771"/>
      <c r="GK179" s="771"/>
      <c r="GL179" s="771"/>
      <c r="GM179" s="771"/>
      <c r="GN179" s="771"/>
      <c r="GO179" s="771"/>
      <c r="GP179" s="770"/>
      <c r="GQ179" s="770"/>
      <c r="GR179" s="770"/>
      <c r="GS179" s="770"/>
      <c r="GT179" s="770"/>
      <c r="GU179" s="770"/>
      <c r="GV179" s="772"/>
      <c r="GW179" s="770"/>
      <c r="GX179" s="770"/>
      <c r="GY179" s="770"/>
      <c r="GZ179" s="770"/>
      <c r="HA179" s="770"/>
      <c r="HB179" s="770"/>
      <c r="HC179" s="770"/>
      <c r="HD179" s="770"/>
      <c r="HE179" s="770"/>
      <c r="HF179" s="770"/>
      <c r="HG179" s="770"/>
      <c r="HH179" s="770"/>
      <c r="HI179" s="770"/>
      <c r="HJ179" s="770"/>
      <c r="HK179" s="770"/>
      <c r="HL179" s="772"/>
      <c r="HM179" s="772"/>
      <c r="HN179" s="770"/>
      <c r="HO179" s="770"/>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4.1" customHeight="1"/>
    <row r="181" spans="1:255" ht="14.1" customHeight="1"/>
    <row r="182" spans="1:255" ht="14.1" customHeight="1"/>
    <row r="183" spans="1:255" ht="14.1" customHeight="1"/>
    <row r="184" spans="1:255" s="119" customFormat="1" ht="14.1" customHeight="1">
      <c r="A184" s="36"/>
      <c r="B184" s="2"/>
      <c r="C184" s="2"/>
      <c r="D184" s="2"/>
      <c r="E184" s="2"/>
      <c r="F184" s="2"/>
      <c r="G184" s="2"/>
      <c r="H184" s="2"/>
      <c r="I184" s="2"/>
      <c r="J184" s="2"/>
      <c r="K184" s="2"/>
      <c r="L184" s="2"/>
      <c r="M184" s="2"/>
      <c r="N184" s="2"/>
      <c r="O184" s="2"/>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0"/>
      <c r="AY184" s="770"/>
      <c r="AZ184" s="770"/>
      <c r="BA184" s="770"/>
      <c r="BB184" s="770"/>
      <c r="BC184" s="770"/>
      <c r="BD184" s="770"/>
      <c r="BE184" s="770"/>
      <c r="BF184" s="770"/>
      <c r="BG184" s="770"/>
      <c r="BH184" s="770"/>
      <c r="BI184" s="770"/>
      <c r="BJ184" s="770"/>
      <c r="BK184" s="770"/>
      <c r="BL184" s="770"/>
      <c r="BM184" s="770"/>
      <c r="BN184" s="770"/>
      <c r="BO184" s="770"/>
      <c r="BP184" s="770"/>
      <c r="BQ184" s="770"/>
      <c r="BR184" s="770"/>
      <c r="BS184" s="770"/>
      <c r="BT184" s="770"/>
      <c r="BU184" s="770"/>
      <c r="BV184" s="770"/>
      <c r="BW184" s="770"/>
      <c r="BX184" s="770"/>
      <c r="BY184" s="770"/>
      <c r="BZ184" s="770"/>
      <c r="CA184" s="770"/>
      <c r="CB184" s="770"/>
      <c r="CC184" s="770"/>
      <c r="CD184" s="770"/>
      <c r="CE184" s="770"/>
      <c r="CF184" s="770"/>
      <c r="CG184" s="770"/>
      <c r="CH184" s="770"/>
      <c r="CI184" s="770"/>
      <c r="CJ184" s="770"/>
      <c r="CK184" s="770"/>
      <c r="CL184" s="770"/>
      <c r="CM184" s="770"/>
      <c r="CN184" s="770"/>
      <c r="CO184" s="770"/>
      <c r="CP184" s="770"/>
      <c r="CQ184" s="770"/>
      <c r="CR184" s="770"/>
      <c r="CS184" s="770"/>
      <c r="CT184" s="770"/>
      <c r="CU184" s="770"/>
      <c r="CV184" s="770"/>
      <c r="CW184" s="770"/>
      <c r="CX184" s="770"/>
      <c r="CY184" s="770"/>
      <c r="CZ184" s="770"/>
      <c r="DA184" s="770"/>
      <c r="DB184" s="770"/>
      <c r="DC184" s="770"/>
      <c r="DD184" s="770"/>
      <c r="DE184" s="770"/>
      <c r="DF184" s="770"/>
      <c r="DG184" s="770"/>
      <c r="DH184" s="770"/>
      <c r="DI184" s="770"/>
      <c r="DJ184" s="770"/>
      <c r="DK184" s="770"/>
      <c r="DL184" s="770"/>
      <c r="DM184" s="770"/>
      <c r="DN184" s="770"/>
      <c r="DO184" s="770"/>
      <c r="DP184" s="770"/>
      <c r="DQ184" s="770"/>
      <c r="DR184" s="770"/>
      <c r="DS184" s="770"/>
      <c r="DT184" s="770"/>
      <c r="DU184" s="770"/>
      <c r="DV184" s="770"/>
      <c r="DW184" s="770"/>
      <c r="DX184" s="770"/>
      <c r="DY184" s="770"/>
      <c r="DZ184" s="770"/>
      <c r="EA184" s="770"/>
      <c r="EB184" s="770"/>
      <c r="EC184" s="770"/>
      <c r="ED184" s="770"/>
      <c r="EE184" s="770"/>
      <c r="EF184" s="770"/>
      <c r="EG184" s="770"/>
      <c r="EH184" s="770"/>
      <c r="EI184" s="770"/>
      <c r="EJ184" s="770"/>
      <c r="EK184" s="770"/>
      <c r="EL184" s="770"/>
      <c r="EM184" s="770"/>
      <c r="EN184" s="770"/>
      <c r="EO184" s="770"/>
      <c r="EP184" s="770"/>
      <c r="EQ184" s="770"/>
      <c r="ER184" s="770"/>
      <c r="ES184" s="770"/>
      <c r="ET184" s="770"/>
      <c r="EU184" s="770"/>
      <c r="EV184" s="770"/>
      <c r="EW184" s="770"/>
      <c r="EX184" s="770"/>
      <c r="EY184" s="770"/>
      <c r="EZ184" s="770"/>
      <c r="FA184" s="770"/>
      <c r="FB184" s="770"/>
      <c r="FC184" s="770"/>
      <c r="FD184" s="770"/>
      <c r="FE184" s="770"/>
      <c r="FF184" s="770"/>
      <c r="FG184" s="770"/>
      <c r="FH184" s="770"/>
      <c r="FI184" s="770"/>
      <c r="FJ184" s="770"/>
      <c r="FK184" s="770"/>
      <c r="FL184" s="770"/>
      <c r="FM184" s="770"/>
      <c r="FN184" s="770"/>
      <c r="FO184" s="770"/>
      <c r="FP184" s="770"/>
      <c r="FQ184" s="770"/>
      <c r="FR184" s="770"/>
      <c r="FS184" s="770"/>
      <c r="FT184" s="770"/>
      <c r="FU184" s="770"/>
      <c r="FV184" s="770"/>
      <c r="FW184" s="770"/>
      <c r="FX184" s="770"/>
      <c r="FY184" s="771"/>
      <c r="FZ184" s="771"/>
      <c r="GA184" s="771"/>
      <c r="GB184" s="771"/>
      <c r="GC184" s="771"/>
      <c r="GD184" s="771"/>
      <c r="GE184" s="771"/>
      <c r="GF184" s="771"/>
      <c r="GG184" s="771"/>
      <c r="GH184" s="771"/>
      <c r="GI184" s="771"/>
      <c r="GJ184" s="771"/>
      <c r="GK184" s="771"/>
      <c r="GL184" s="771"/>
      <c r="GM184" s="771"/>
      <c r="GN184" s="771"/>
      <c r="GO184" s="771"/>
      <c r="GP184" s="770"/>
      <c r="GQ184" s="770"/>
      <c r="GR184" s="770"/>
      <c r="GS184" s="770"/>
      <c r="GT184" s="770"/>
      <c r="GU184" s="770"/>
      <c r="GV184" s="772"/>
      <c r="GW184" s="770"/>
      <c r="GX184" s="770"/>
      <c r="GY184" s="770"/>
      <c r="GZ184" s="770"/>
      <c r="HA184" s="770"/>
      <c r="HB184" s="770"/>
      <c r="HC184" s="770"/>
      <c r="HD184" s="770"/>
      <c r="HE184" s="770"/>
      <c r="HF184" s="770"/>
      <c r="HG184" s="770"/>
      <c r="HH184" s="770"/>
      <c r="HI184" s="770"/>
      <c r="HJ184" s="770"/>
      <c r="HK184" s="770"/>
      <c r="HL184" s="772"/>
      <c r="HM184" s="772"/>
      <c r="HN184" s="770"/>
      <c r="HO184" s="770"/>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4.1" customHeight="1">
      <c r="A185" s="36"/>
      <c r="B185" s="2"/>
      <c r="C185" s="2"/>
      <c r="D185" s="2"/>
      <c r="E185" s="2"/>
      <c r="F185" s="2"/>
      <c r="G185" s="2"/>
      <c r="H185" s="2"/>
      <c r="I185" s="2"/>
      <c r="J185" s="2"/>
      <c r="K185" s="2"/>
      <c r="L185" s="2"/>
      <c r="M185" s="2"/>
      <c r="N185" s="2"/>
      <c r="O185" s="2"/>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0"/>
      <c r="BQ185" s="770"/>
      <c r="BR185" s="770"/>
      <c r="BS185" s="770"/>
      <c r="BT185" s="770"/>
      <c r="BU185" s="770"/>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0"/>
      <c r="CW185" s="770"/>
      <c r="CX185" s="770"/>
      <c r="CY185" s="770"/>
      <c r="CZ185" s="770"/>
      <c r="DA185" s="770"/>
      <c r="DB185" s="770"/>
      <c r="DC185" s="770"/>
      <c r="DD185" s="770"/>
      <c r="DE185" s="770"/>
      <c r="DF185" s="770"/>
      <c r="DG185" s="770"/>
      <c r="DH185" s="770"/>
      <c r="DI185" s="770"/>
      <c r="DJ185" s="770"/>
      <c r="DK185" s="770"/>
      <c r="DL185" s="770"/>
      <c r="DM185" s="770"/>
      <c r="DN185" s="770"/>
      <c r="DO185" s="770"/>
      <c r="DP185" s="770"/>
      <c r="DQ185" s="770"/>
      <c r="DR185" s="770"/>
      <c r="DS185" s="770"/>
      <c r="DT185" s="770"/>
      <c r="DU185" s="770"/>
      <c r="DV185" s="770"/>
      <c r="DW185" s="770"/>
      <c r="DX185" s="770"/>
      <c r="DY185" s="770"/>
      <c r="DZ185" s="770"/>
      <c r="EA185" s="770"/>
      <c r="EB185" s="770"/>
      <c r="EC185" s="770"/>
      <c r="ED185" s="770"/>
      <c r="EE185" s="770"/>
      <c r="EF185" s="770"/>
      <c r="EG185" s="770"/>
      <c r="EH185" s="770"/>
      <c r="EI185" s="770"/>
      <c r="EJ185" s="770"/>
      <c r="EK185" s="770"/>
      <c r="EL185" s="770"/>
      <c r="EM185" s="770"/>
      <c r="EN185" s="770"/>
      <c r="EO185" s="770"/>
      <c r="EP185" s="770"/>
      <c r="EQ185" s="770"/>
      <c r="ER185" s="770"/>
      <c r="ES185" s="770"/>
      <c r="ET185" s="770"/>
      <c r="EU185" s="770"/>
      <c r="EV185" s="770"/>
      <c r="EW185" s="770"/>
      <c r="EX185" s="770"/>
      <c r="EY185" s="770"/>
      <c r="EZ185" s="770"/>
      <c r="FA185" s="770"/>
      <c r="FB185" s="770"/>
      <c r="FC185" s="770"/>
      <c r="FD185" s="770"/>
      <c r="FE185" s="770"/>
      <c r="FF185" s="770"/>
      <c r="FG185" s="770"/>
      <c r="FH185" s="770"/>
      <c r="FI185" s="770"/>
      <c r="FJ185" s="770"/>
      <c r="FK185" s="770"/>
      <c r="FL185" s="770"/>
      <c r="FM185" s="770"/>
      <c r="FN185" s="770"/>
      <c r="FO185" s="770"/>
      <c r="FP185" s="770"/>
      <c r="FQ185" s="770"/>
      <c r="FR185" s="770"/>
      <c r="FS185" s="770"/>
      <c r="FT185" s="770"/>
      <c r="FU185" s="770"/>
      <c r="FV185" s="770"/>
      <c r="FW185" s="770"/>
      <c r="FX185" s="770"/>
      <c r="FY185" s="771"/>
      <c r="FZ185" s="771"/>
      <c r="GA185" s="771"/>
      <c r="GB185" s="771"/>
      <c r="GC185" s="771"/>
      <c r="GD185" s="771"/>
      <c r="GE185" s="771"/>
      <c r="GF185" s="771"/>
      <c r="GG185" s="771"/>
      <c r="GH185" s="771"/>
      <c r="GI185" s="771"/>
      <c r="GJ185" s="771"/>
      <c r="GK185" s="771"/>
      <c r="GL185" s="771"/>
      <c r="GM185" s="771"/>
      <c r="GN185" s="771"/>
      <c r="GO185" s="771"/>
      <c r="GP185" s="770"/>
      <c r="GQ185" s="770"/>
      <c r="GR185" s="770"/>
      <c r="GS185" s="770"/>
      <c r="GT185" s="770"/>
      <c r="GU185" s="770"/>
      <c r="GV185" s="772"/>
      <c r="GW185" s="770"/>
      <c r="GX185" s="770"/>
      <c r="GY185" s="770"/>
      <c r="GZ185" s="770"/>
      <c r="HA185" s="770"/>
      <c r="HB185" s="770"/>
      <c r="HC185" s="770"/>
      <c r="HD185" s="770"/>
      <c r="HE185" s="770"/>
      <c r="HF185" s="770"/>
      <c r="HG185" s="770"/>
      <c r="HH185" s="770"/>
      <c r="HI185" s="770"/>
      <c r="HJ185" s="770"/>
      <c r="HK185" s="770"/>
      <c r="HL185" s="772"/>
      <c r="HM185" s="772"/>
      <c r="HN185" s="770"/>
      <c r="HO185" s="770"/>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4.1" customHeight="1">
      <c r="A186" s="3"/>
      <c r="B186" s="2"/>
      <c r="C186" s="2"/>
      <c r="D186" s="2"/>
      <c r="E186" s="2"/>
      <c r="F186" s="2"/>
      <c r="G186" s="2"/>
      <c r="H186" s="2"/>
      <c r="I186" s="2"/>
      <c r="J186" s="2"/>
      <c r="K186" s="2"/>
      <c r="L186" s="2"/>
      <c r="M186" s="2"/>
      <c r="N186" s="2"/>
      <c r="O186" s="2"/>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70"/>
      <c r="AQ186" s="770"/>
      <c r="AR186" s="770"/>
      <c r="AS186" s="770"/>
      <c r="AT186" s="770"/>
      <c r="AU186" s="770"/>
      <c r="AV186" s="770"/>
      <c r="AW186" s="770"/>
      <c r="AX186" s="770"/>
      <c r="AY186" s="770"/>
      <c r="AZ186" s="770"/>
      <c r="BA186" s="770"/>
      <c r="BB186" s="770"/>
      <c r="BC186" s="770"/>
      <c r="BD186" s="770"/>
      <c r="BE186" s="770"/>
      <c r="BF186" s="770"/>
      <c r="BG186" s="770"/>
      <c r="BH186" s="770"/>
      <c r="BI186" s="770"/>
      <c r="BJ186" s="770"/>
      <c r="BK186" s="770"/>
      <c r="BL186" s="770"/>
      <c r="BM186" s="770"/>
      <c r="BN186" s="770"/>
      <c r="BO186" s="770"/>
      <c r="BP186" s="770"/>
      <c r="BQ186" s="770"/>
      <c r="BR186" s="770"/>
      <c r="BS186" s="770"/>
      <c r="BT186" s="770"/>
      <c r="BU186" s="770"/>
      <c r="BV186" s="770"/>
      <c r="BW186" s="770"/>
      <c r="BX186" s="770"/>
      <c r="BY186" s="770"/>
      <c r="BZ186" s="770"/>
      <c r="CA186" s="770"/>
      <c r="CB186" s="770"/>
      <c r="CC186" s="770"/>
      <c r="CD186" s="770"/>
      <c r="CE186" s="770"/>
      <c r="CF186" s="770"/>
      <c r="CG186" s="770"/>
      <c r="CH186" s="770"/>
      <c r="CI186" s="770"/>
      <c r="CJ186" s="770"/>
      <c r="CK186" s="770"/>
      <c r="CL186" s="770"/>
      <c r="CM186" s="770"/>
      <c r="CN186" s="770"/>
      <c r="CO186" s="770"/>
      <c r="CP186" s="770"/>
      <c r="CQ186" s="770"/>
      <c r="CR186" s="770"/>
      <c r="CS186" s="770"/>
      <c r="CT186" s="770"/>
      <c r="CU186" s="770"/>
      <c r="CV186" s="770"/>
      <c r="CW186" s="770"/>
      <c r="CX186" s="770"/>
      <c r="CY186" s="770"/>
      <c r="CZ186" s="770"/>
      <c r="DA186" s="770"/>
      <c r="DB186" s="770"/>
      <c r="DC186" s="770"/>
      <c r="DD186" s="770"/>
      <c r="DE186" s="770"/>
      <c r="DF186" s="770"/>
      <c r="DG186" s="770"/>
      <c r="DH186" s="770"/>
      <c r="DI186" s="770"/>
      <c r="DJ186" s="770"/>
      <c r="DK186" s="770"/>
      <c r="DL186" s="770"/>
      <c r="DM186" s="770"/>
      <c r="DN186" s="770"/>
      <c r="DO186" s="770"/>
      <c r="DP186" s="770"/>
      <c r="DQ186" s="770"/>
      <c r="DR186" s="770"/>
      <c r="DS186" s="770"/>
      <c r="DT186" s="770"/>
      <c r="DU186" s="770"/>
      <c r="DV186" s="770"/>
      <c r="DW186" s="770"/>
      <c r="DX186" s="770"/>
      <c r="DY186" s="770"/>
      <c r="DZ186" s="770"/>
      <c r="EA186" s="770"/>
      <c r="EB186" s="770"/>
      <c r="EC186" s="770"/>
      <c r="ED186" s="770"/>
      <c r="EE186" s="770"/>
      <c r="EF186" s="770"/>
      <c r="EG186" s="770"/>
      <c r="EH186" s="770"/>
      <c r="EI186" s="770"/>
      <c r="EJ186" s="770"/>
      <c r="EK186" s="770"/>
      <c r="EL186" s="770"/>
      <c r="EM186" s="770"/>
      <c r="EN186" s="770"/>
      <c r="EO186" s="770"/>
      <c r="EP186" s="770"/>
      <c r="EQ186" s="770"/>
      <c r="ER186" s="770"/>
      <c r="ES186" s="770"/>
      <c r="ET186" s="770"/>
      <c r="EU186" s="770"/>
      <c r="EV186" s="770"/>
      <c r="EW186" s="770"/>
      <c r="EX186" s="770"/>
      <c r="EY186" s="770"/>
      <c r="EZ186" s="770"/>
      <c r="FA186" s="770"/>
      <c r="FB186" s="770"/>
      <c r="FC186" s="770"/>
      <c r="FD186" s="770"/>
      <c r="FE186" s="770"/>
      <c r="FF186" s="770"/>
      <c r="FG186" s="770"/>
      <c r="FH186" s="770"/>
      <c r="FI186" s="770"/>
      <c r="FJ186" s="770"/>
      <c r="FK186" s="770"/>
      <c r="FL186" s="770"/>
      <c r="FM186" s="770"/>
      <c r="FN186" s="770"/>
      <c r="FO186" s="770"/>
      <c r="FP186" s="770"/>
      <c r="FQ186" s="770"/>
      <c r="FR186" s="770"/>
      <c r="FS186" s="770"/>
      <c r="FT186" s="770"/>
      <c r="FU186" s="770"/>
      <c r="FV186" s="770"/>
      <c r="FW186" s="770"/>
      <c r="FX186" s="770"/>
      <c r="FY186" s="771"/>
      <c r="FZ186" s="771"/>
      <c r="GA186" s="771"/>
      <c r="GB186" s="771"/>
      <c r="GC186" s="771"/>
      <c r="GD186" s="771"/>
      <c r="GE186" s="771"/>
      <c r="GF186" s="771"/>
      <c r="GG186" s="771"/>
      <c r="GH186" s="771"/>
      <c r="GI186" s="771"/>
      <c r="GJ186" s="771"/>
      <c r="GK186" s="771"/>
      <c r="GL186" s="771"/>
      <c r="GM186" s="771"/>
      <c r="GN186" s="771"/>
      <c r="GO186" s="771"/>
      <c r="GP186" s="770"/>
      <c r="GQ186" s="770"/>
      <c r="GR186" s="770"/>
      <c r="GS186" s="770"/>
      <c r="GT186" s="770"/>
      <c r="GU186" s="770"/>
      <c r="GV186" s="772"/>
      <c r="GW186" s="770"/>
      <c r="GX186" s="770"/>
      <c r="GY186" s="770"/>
      <c r="GZ186" s="770"/>
      <c r="HA186" s="770"/>
      <c r="HB186" s="770"/>
      <c r="HC186" s="770"/>
      <c r="HD186" s="770"/>
      <c r="HE186" s="770"/>
      <c r="HF186" s="770"/>
      <c r="HG186" s="770"/>
      <c r="HH186" s="770"/>
      <c r="HI186" s="770"/>
      <c r="HJ186" s="770"/>
      <c r="HK186" s="770"/>
      <c r="HL186" s="772"/>
      <c r="HM186" s="772"/>
      <c r="HN186" s="770"/>
      <c r="HO186" s="770"/>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4.1" customHeight="1">
      <c r="A187" s="2"/>
      <c r="B187" s="2"/>
      <c r="C187" s="2"/>
      <c r="D187" s="2"/>
      <c r="E187" s="2"/>
      <c r="F187" s="2"/>
      <c r="G187" s="2"/>
      <c r="H187" s="2"/>
      <c r="I187" s="2"/>
      <c r="J187" s="2"/>
      <c r="K187" s="2"/>
      <c r="L187" s="2"/>
      <c r="M187" s="2"/>
      <c r="N187" s="2"/>
      <c r="O187" s="2"/>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0"/>
      <c r="AY187" s="770"/>
      <c r="AZ187" s="770"/>
      <c r="BA187" s="770"/>
      <c r="BB187" s="770"/>
      <c r="BC187" s="770"/>
      <c r="BD187" s="770"/>
      <c r="BE187" s="770"/>
      <c r="BF187" s="770"/>
      <c r="BG187" s="770"/>
      <c r="BH187" s="770"/>
      <c r="BI187" s="770"/>
      <c r="BJ187" s="770"/>
      <c r="BK187" s="770"/>
      <c r="BL187" s="770"/>
      <c r="BM187" s="770"/>
      <c r="BN187" s="770"/>
      <c r="BO187" s="770"/>
      <c r="BP187" s="770"/>
      <c r="BQ187" s="770"/>
      <c r="BR187" s="770"/>
      <c r="BS187" s="770"/>
      <c r="BT187" s="770"/>
      <c r="BU187" s="770"/>
      <c r="BV187" s="770"/>
      <c r="BW187" s="770"/>
      <c r="BX187" s="770"/>
      <c r="BY187" s="770"/>
      <c r="BZ187" s="770"/>
      <c r="CA187" s="770"/>
      <c r="CB187" s="770"/>
      <c r="CC187" s="770"/>
      <c r="CD187" s="770"/>
      <c r="CE187" s="770"/>
      <c r="CF187" s="770"/>
      <c r="CG187" s="770"/>
      <c r="CH187" s="770"/>
      <c r="CI187" s="770"/>
      <c r="CJ187" s="770"/>
      <c r="CK187" s="770"/>
      <c r="CL187" s="770"/>
      <c r="CM187" s="770"/>
      <c r="CN187" s="770"/>
      <c r="CO187" s="770"/>
      <c r="CP187" s="770"/>
      <c r="CQ187" s="770"/>
      <c r="CR187" s="770"/>
      <c r="CS187" s="770"/>
      <c r="CT187" s="770"/>
      <c r="CU187" s="770"/>
      <c r="CV187" s="770"/>
      <c r="CW187" s="770"/>
      <c r="CX187" s="770"/>
      <c r="CY187" s="770"/>
      <c r="CZ187" s="770"/>
      <c r="DA187" s="770"/>
      <c r="DB187" s="770"/>
      <c r="DC187" s="770"/>
      <c r="DD187" s="770"/>
      <c r="DE187" s="770"/>
      <c r="DF187" s="770"/>
      <c r="DG187" s="770"/>
      <c r="DH187" s="770"/>
      <c r="DI187" s="770"/>
      <c r="DJ187" s="770"/>
      <c r="DK187" s="770"/>
      <c r="DL187" s="770"/>
      <c r="DM187" s="770"/>
      <c r="DN187" s="770"/>
      <c r="DO187" s="770"/>
      <c r="DP187" s="770"/>
      <c r="DQ187" s="770"/>
      <c r="DR187" s="770"/>
      <c r="DS187" s="770"/>
      <c r="DT187" s="770"/>
      <c r="DU187" s="770"/>
      <c r="DV187" s="770"/>
      <c r="DW187" s="770"/>
      <c r="DX187" s="770"/>
      <c r="DY187" s="770"/>
      <c r="DZ187" s="770"/>
      <c r="EA187" s="770"/>
      <c r="EB187" s="770"/>
      <c r="EC187" s="770"/>
      <c r="ED187" s="770"/>
      <c r="EE187" s="770"/>
      <c r="EF187" s="770"/>
      <c r="EG187" s="770"/>
      <c r="EH187" s="770"/>
      <c r="EI187" s="770"/>
      <c r="EJ187" s="770"/>
      <c r="EK187" s="770"/>
      <c r="EL187" s="770"/>
      <c r="EM187" s="770"/>
      <c r="EN187" s="770"/>
      <c r="EO187" s="770"/>
      <c r="EP187" s="770"/>
      <c r="EQ187" s="770"/>
      <c r="ER187" s="770"/>
      <c r="ES187" s="770"/>
      <c r="ET187" s="770"/>
      <c r="EU187" s="770"/>
      <c r="EV187" s="770"/>
      <c r="EW187" s="770"/>
      <c r="EX187" s="770"/>
      <c r="EY187" s="770"/>
      <c r="EZ187" s="770"/>
      <c r="FA187" s="770"/>
      <c r="FB187" s="770"/>
      <c r="FC187" s="770"/>
      <c r="FD187" s="770"/>
      <c r="FE187" s="770"/>
      <c r="FF187" s="770"/>
      <c r="FG187" s="770"/>
      <c r="FH187" s="770"/>
      <c r="FI187" s="770"/>
      <c r="FJ187" s="770"/>
      <c r="FK187" s="770"/>
      <c r="FL187" s="770"/>
      <c r="FM187" s="770"/>
      <c r="FN187" s="770"/>
      <c r="FO187" s="770"/>
      <c r="FP187" s="770"/>
      <c r="FQ187" s="770"/>
      <c r="FR187" s="770"/>
      <c r="FS187" s="770"/>
      <c r="FT187" s="770"/>
      <c r="FU187" s="770"/>
      <c r="FV187" s="770"/>
      <c r="FW187" s="770"/>
      <c r="FX187" s="770"/>
      <c r="FY187" s="771"/>
      <c r="FZ187" s="771"/>
      <c r="GA187" s="771"/>
      <c r="GB187" s="771"/>
      <c r="GC187" s="771"/>
      <c r="GD187" s="771"/>
      <c r="GE187" s="771"/>
      <c r="GF187" s="771"/>
      <c r="GG187" s="771"/>
      <c r="GH187" s="771"/>
      <c r="GI187" s="771"/>
      <c r="GJ187" s="771"/>
      <c r="GK187" s="771"/>
      <c r="GL187" s="771"/>
      <c r="GM187" s="771"/>
      <c r="GN187" s="771"/>
      <c r="GO187" s="771"/>
      <c r="GP187" s="770"/>
      <c r="GQ187" s="770"/>
      <c r="GR187" s="770"/>
      <c r="GS187" s="770"/>
      <c r="GT187" s="770"/>
      <c r="GU187" s="770"/>
      <c r="GV187" s="772"/>
      <c r="GW187" s="770"/>
      <c r="GX187" s="770"/>
      <c r="GY187" s="770"/>
      <c r="GZ187" s="770"/>
      <c r="HA187" s="770"/>
      <c r="HB187" s="770"/>
      <c r="HC187" s="770"/>
      <c r="HD187" s="770"/>
      <c r="HE187" s="770"/>
      <c r="HF187" s="770"/>
      <c r="HG187" s="770"/>
      <c r="HH187" s="770"/>
      <c r="HI187" s="770"/>
      <c r="HJ187" s="770"/>
      <c r="HK187" s="770"/>
      <c r="HL187" s="772"/>
      <c r="HM187" s="772"/>
      <c r="HN187" s="770"/>
      <c r="HO187" s="770"/>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4.1" customHeight="1">
      <c r="A188" s="2"/>
      <c r="B188" s="2"/>
      <c r="C188" s="2"/>
      <c r="D188" s="2"/>
      <c r="E188" s="2"/>
      <c r="F188" s="2"/>
      <c r="G188" s="2"/>
      <c r="H188" s="2"/>
      <c r="I188" s="2"/>
      <c r="J188" s="2"/>
      <c r="K188" s="2"/>
      <c r="L188" s="2"/>
      <c r="M188" s="2"/>
      <c r="N188" s="2"/>
      <c r="O188" s="2"/>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770"/>
      <c r="AY188" s="770"/>
      <c r="AZ188" s="770"/>
      <c r="BA188" s="770"/>
      <c r="BB188" s="770"/>
      <c r="BC188" s="770"/>
      <c r="BD188" s="770"/>
      <c r="BE188" s="770"/>
      <c r="BF188" s="770"/>
      <c r="BG188" s="770"/>
      <c r="BH188" s="770"/>
      <c r="BI188" s="770"/>
      <c r="BJ188" s="770"/>
      <c r="BK188" s="770"/>
      <c r="BL188" s="770"/>
      <c r="BM188" s="770"/>
      <c r="BN188" s="770"/>
      <c r="BO188" s="770"/>
      <c r="BP188" s="770"/>
      <c r="BQ188" s="770"/>
      <c r="BR188" s="770"/>
      <c r="BS188" s="770"/>
      <c r="BT188" s="770"/>
      <c r="BU188" s="770"/>
      <c r="BV188" s="770"/>
      <c r="BW188" s="770"/>
      <c r="BX188" s="770"/>
      <c r="BY188" s="770"/>
      <c r="BZ188" s="770"/>
      <c r="CA188" s="770"/>
      <c r="CB188" s="770"/>
      <c r="CC188" s="770"/>
      <c r="CD188" s="770"/>
      <c r="CE188" s="770"/>
      <c r="CF188" s="770"/>
      <c r="CG188" s="770"/>
      <c r="CH188" s="770"/>
      <c r="CI188" s="770"/>
      <c r="CJ188" s="770"/>
      <c r="CK188" s="770"/>
      <c r="CL188" s="770"/>
      <c r="CM188" s="770"/>
      <c r="CN188" s="770"/>
      <c r="CO188" s="770"/>
      <c r="CP188" s="770"/>
      <c r="CQ188" s="770"/>
      <c r="CR188" s="770"/>
      <c r="CS188" s="770"/>
      <c r="CT188" s="770"/>
      <c r="CU188" s="770"/>
      <c r="CV188" s="770"/>
      <c r="CW188" s="770"/>
      <c r="CX188" s="770"/>
      <c r="CY188" s="770"/>
      <c r="CZ188" s="770"/>
      <c r="DA188" s="770"/>
      <c r="DB188" s="770"/>
      <c r="DC188" s="770"/>
      <c r="DD188" s="770"/>
      <c r="DE188" s="770"/>
      <c r="DF188" s="770"/>
      <c r="DG188" s="770"/>
      <c r="DH188" s="770"/>
      <c r="DI188" s="770"/>
      <c r="DJ188" s="770"/>
      <c r="DK188" s="770"/>
      <c r="DL188" s="770"/>
      <c r="DM188" s="770"/>
      <c r="DN188" s="770"/>
      <c r="DO188" s="770"/>
      <c r="DP188" s="770"/>
      <c r="DQ188" s="770"/>
      <c r="DR188" s="770"/>
      <c r="DS188" s="770"/>
      <c r="DT188" s="770"/>
      <c r="DU188" s="770"/>
      <c r="DV188" s="770"/>
      <c r="DW188" s="770"/>
      <c r="DX188" s="770"/>
      <c r="DY188" s="770"/>
      <c r="DZ188" s="770"/>
      <c r="EA188" s="770"/>
      <c r="EB188" s="770"/>
      <c r="EC188" s="770"/>
      <c r="ED188" s="770"/>
      <c r="EE188" s="770"/>
      <c r="EF188" s="770"/>
      <c r="EG188" s="770"/>
      <c r="EH188" s="770"/>
      <c r="EI188" s="770"/>
      <c r="EJ188" s="770"/>
      <c r="EK188" s="770"/>
      <c r="EL188" s="770"/>
      <c r="EM188" s="770"/>
      <c r="EN188" s="770"/>
      <c r="EO188" s="770"/>
      <c r="EP188" s="770"/>
      <c r="EQ188" s="770"/>
      <c r="ER188" s="770"/>
      <c r="ES188" s="770"/>
      <c r="ET188" s="770"/>
      <c r="EU188" s="770"/>
      <c r="EV188" s="770"/>
      <c r="EW188" s="770"/>
      <c r="EX188" s="770"/>
      <c r="EY188" s="770"/>
      <c r="EZ188" s="770"/>
      <c r="FA188" s="770"/>
      <c r="FB188" s="770"/>
      <c r="FC188" s="770"/>
      <c r="FD188" s="770"/>
      <c r="FE188" s="770"/>
      <c r="FF188" s="770"/>
      <c r="FG188" s="770"/>
      <c r="FH188" s="770"/>
      <c r="FI188" s="770"/>
      <c r="FJ188" s="770"/>
      <c r="FK188" s="770"/>
      <c r="FL188" s="770"/>
      <c r="FM188" s="770"/>
      <c r="FN188" s="770"/>
      <c r="FO188" s="770"/>
      <c r="FP188" s="770"/>
      <c r="FQ188" s="770"/>
      <c r="FR188" s="770"/>
      <c r="FS188" s="770"/>
      <c r="FT188" s="770"/>
      <c r="FU188" s="770"/>
      <c r="FV188" s="770"/>
      <c r="FW188" s="770"/>
      <c r="FX188" s="770"/>
      <c r="FY188" s="771"/>
      <c r="FZ188" s="771"/>
      <c r="GA188" s="771"/>
      <c r="GB188" s="771"/>
      <c r="GC188" s="771"/>
      <c r="GD188" s="771"/>
      <c r="GE188" s="771"/>
      <c r="GF188" s="771"/>
      <c r="GG188" s="771"/>
      <c r="GH188" s="771"/>
      <c r="GI188" s="771"/>
      <c r="GJ188" s="771"/>
      <c r="GK188" s="771"/>
      <c r="GL188" s="771"/>
      <c r="GM188" s="771"/>
      <c r="GN188" s="771"/>
      <c r="GO188" s="771"/>
      <c r="GP188" s="770"/>
      <c r="GQ188" s="770"/>
      <c r="GR188" s="770"/>
      <c r="GS188" s="770"/>
      <c r="GT188" s="770"/>
      <c r="GU188" s="770"/>
      <c r="GV188" s="772"/>
      <c r="GW188" s="770"/>
      <c r="GX188" s="770"/>
      <c r="GY188" s="770"/>
      <c r="GZ188" s="770"/>
      <c r="HA188" s="770"/>
      <c r="HB188" s="770"/>
      <c r="HC188" s="770"/>
      <c r="HD188" s="770"/>
      <c r="HE188" s="770"/>
      <c r="HF188" s="770"/>
      <c r="HG188" s="770"/>
      <c r="HH188" s="770"/>
      <c r="HI188" s="770"/>
      <c r="HJ188" s="770"/>
      <c r="HK188" s="770"/>
      <c r="HL188" s="772"/>
      <c r="HM188" s="772"/>
      <c r="HN188" s="770"/>
      <c r="HO188" s="770"/>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19" customFormat="1" ht="14.1" customHeight="1">
      <c r="A196" s="36"/>
      <c r="B196" s="2"/>
      <c r="C196" s="2"/>
      <c r="D196" s="2"/>
      <c r="E196" s="2"/>
      <c r="F196" s="2"/>
      <c r="G196" s="2"/>
      <c r="H196" s="2"/>
      <c r="I196" s="2"/>
      <c r="J196" s="2"/>
      <c r="K196" s="2"/>
      <c r="L196" s="2"/>
      <c r="M196" s="2"/>
      <c r="N196" s="2"/>
      <c r="O196" s="2"/>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70"/>
      <c r="AQ196" s="770"/>
      <c r="AR196" s="770"/>
      <c r="AS196" s="770"/>
      <c r="AT196" s="770"/>
      <c r="AU196" s="770"/>
      <c r="AV196" s="770"/>
      <c r="AW196" s="770"/>
      <c r="AX196" s="770"/>
      <c r="AY196" s="770"/>
      <c r="AZ196" s="770"/>
      <c r="BA196" s="770"/>
      <c r="BB196" s="770"/>
      <c r="BC196" s="770"/>
      <c r="BD196" s="770"/>
      <c r="BE196" s="770"/>
      <c r="BF196" s="770"/>
      <c r="BG196" s="770"/>
      <c r="BH196" s="770"/>
      <c r="BI196" s="770"/>
      <c r="BJ196" s="770"/>
      <c r="BK196" s="770"/>
      <c r="BL196" s="770"/>
      <c r="BM196" s="770"/>
      <c r="BN196" s="770"/>
      <c r="BO196" s="770"/>
      <c r="BP196" s="770"/>
      <c r="BQ196" s="770"/>
      <c r="BR196" s="770"/>
      <c r="BS196" s="770"/>
      <c r="BT196" s="770"/>
      <c r="BU196" s="770"/>
      <c r="BV196" s="770"/>
      <c r="BW196" s="770"/>
      <c r="BX196" s="770"/>
      <c r="BY196" s="770"/>
      <c r="BZ196" s="770"/>
      <c r="CA196" s="770"/>
      <c r="CB196" s="770"/>
      <c r="CC196" s="770"/>
      <c r="CD196" s="770"/>
      <c r="CE196" s="770"/>
      <c r="CF196" s="770"/>
      <c r="CG196" s="770"/>
      <c r="CH196" s="770"/>
      <c r="CI196" s="770"/>
      <c r="CJ196" s="770"/>
      <c r="CK196" s="770"/>
      <c r="CL196" s="770"/>
      <c r="CM196" s="770"/>
      <c r="CN196" s="770"/>
      <c r="CO196" s="770"/>
      <c r="CP196" s="770"/>
      <c r="CQ196" s="770"/>
      <c r="CR196" s="770"/>
      <c r="CS196" s="770"/>
      <c r="CT196" s="770"/>
      <c r="CU196" s="770"/>
      <c r="CV196" s="770"/>
      <c r="CW196" s="770"/>
      <c r="CX196" s="770"/>
      <c r="CY196" s="770"/>
      <c r="CZ196" s="770"/>
      <c r="DA196" s="770"/>
      <c r="DB196" s="770"/>
      <c r="DC196" s="770"/>
      <c r="DD196" s="770"/>
      <c r="DE196" s="770"/>
      <c r="DF196" s="770"/>
      <c r="DG196" s="770"/>
      <c r="DH196" s="770"/>
      <c r="DI196" s="770"/>
      <c r="DJ196" s="770"/>
      <c r="DK196" s="770"/>
      <c r="DL196" s="770"/>
      <c r="DM196" s="770"/>
      <c r="DN196" s="770"/>
      <c r="DO196" s="770"/>
      <c r="DP196" s="770"/>
      <c r="DQ196" s="770"/>
      <c r="DR196" s="770"/>
      <c r="DS196" s="770"/>
      <c r="DT196" s="770"/>
      <c r="DU196" s="770"/>
      <c r="DV196" s="770"/>
      <c r="DW196" s="770"/>
      <c r="DX196" s="770"/>
      <c r="DY196" s="770"/>
      <c r="DZ196" s="770"/>
      <c r="EA196" s="770"/>
      <c r="EB196" s="770"/>
      <c r="EC196" s="770"/>
      <c r="ED196" s="770"/>
      <c r="EE196" s="770"/>
      <c r="EF196" s="770"/>
      <c r="EG196" s="770"/>
      <c r="EH196" s="770"/>
      <c r="EI196" s="770"/>
      <c r="EJ196" s="770"/>
      <c r="EK196" s="770"/>
      <c r="EL196" s="770"/>
      <c r="EM196" s="770"/>
      <c r="EN196" s="770"/>
      <c r="EO196" s="770"/>
      <c r="EP196" s="770"/>
      <c r="EQ196" s="770"/>
      <c r="ER196" s="770"/>
      <c r="ES196" s="770"/>
      <c r="ET196" s="770"/>
      <c r="EU196" s="770"/>
      <c r="EV196" s="770"/>
      <c r="EW196" s="770"/>
      <c r="EX196" s="770"/>
      <c r="EY196" s="770"/>
      <c r="EZ196" s="770"/>
      <c r="FA196" s="770"/>
      <c r="FB196" s="770"/>
      <c r="FC196" s="770"/>
      <c r="FD196" s="770"/>
      <c r="FE196" s="770"/>
      <c r="FF196" s="770"/>
      <c r="FG196" s="770"/>
      <c r="FH196" s="770"/>
      <c r="FI196" s="770"/>
      <c r="FJ196" s="770"/>
      <c r="FK196" s="770"/>
      <c r="FL196" s="770"/>
      <c r="FM196" s="770"/>
      <c r="FN196" s="770"/>
      <c r="FO196" s="770"/>
      <c r="FP196" s="770"/>
      <c r="FQ196" s="770"/>
      <c r="FR196" s="770"/>
      <c r="FS196" s="770"/>
      <c r="FT196" s="770"/>
      <c r="FU196" s="770"/>
      <c r="FV196" s="770"/>
      <c r="FW196" s="770"/>
      <c r="FX196" s="770"/>
      <c r="FY196" s="771"/>
      <c r="FZ196" s="771"/>
      <c r="GA196" s="771"/>
      <c r="GB196" s="771"/>
      <c r="GC196" s="771"/>
      <c r="GD196" s="771"/>
      <c r="GE196" s="771"/>
      <c r="GF196" s="771"/>
      <c r="GG196" s="771"/>
      <c r="GH196" s="771"/>
      <c r="GI196" s="771"/>
      <c r="GJ196" s="771"/>
      <c r="GK196" s="771"/>
      <c r="GL196" s="771"/>
      <c r="GM196" s="771"/>
      <c r="GN196" s="771"/>
      <c r="GO196" s="771"/>
      <c r="GP196" s="770"/>
      <c r="GQ196" s="770"/>
      <c r="GR196" s="770"/>
      <c r="GS196" s="770"/>
      <c r="GT196" s="770"/>
      <c r="GU196" s="770"/>
      <c r="GV196" s="772"/>
      <c r="GW196" s="770"/>
      <c r="GX196" s="770"/>
      <c r="GY196" s="770"/>
      <c r="GZ196" s="770"/>
      <c r="HA196" s="770"/>
      <c r="HB196" s="770"/>
      <c r="HC196" s="770"/>
      <c r="HD196" s="770"/>
      <c r="HE196" s="770"/>
      <c r="HF196" s="770"/>
      <c r="HG196" s="770"/>
      <c r="HH196" s="770"/>
      <c r="HI196" s="770"/>
      <c r="HJ196" s="770"/>
      <c r="HK196" s="770"/>
      <c r="HL196" s="772"/>
      <c r="HM196" s="772"/>
      <c r="HN196" s="770"/>
      <c r="HO196" s="770"/>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4.1" customHeight="1">
      <c r="A197" s="36"/>
      <c r="B197" s="2"/>
      <c r="C197" s="2"/>
      <c r="D197" s="2"/>
      <c r="E197" s="2"/>
      <c r="F197" s="2"/>
      <c r="G197" s="2"/>
      <c r="H197" s="2"/>
      <c r="I197" s="2"/>
      <c r="J197" s="2"/>
      <c r="K197" s="2"/>
      <c r="L197" s="2"/>
      <c r="M197" s="2"/>
      <c r="N197" s="2"/>
      <c r="O197" s="2"/>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c r="AT197" s="770"/>
      <c r="AU197" s="770"/>
      <c r="AV197" s="770"/>
      <c r="AW197" s="770"/>
      <c r="AX197" s="770"/>
      <c r="AY197" s="770"/>
      <c r="AZ197" s="770"/>
      <c r="BA197" s="770"/>
      <c r="BB197" s="770"/>
      <c r="BC197" s="770"/>
      <c r="BD197" s="770"/>
      <c r="BE197" s="770"/>
      <c r="BF197" s="770"/>
      <c r="BG197" s="770"/>
      <c r="BH197" s="770"/>
      <c r="BI197" s="770"/>
      <c r="BJ197" s="770"/>
      <c r="BK197" s="770"/>
      <c r="BL197" s="770"/>
      <c r="BM197" s="770"/>
      <c r="BN197" s="770"/>
      <c r="BO197" s="770"/>
      <c r="BP197" s="770"/>
      <c r="BQ197" s="770"/>
      <c r="BR197" s="770"/>
      <c r="BS197" s="770"/>
      <c r="BT197" s="770"/>
      <c r="BU197" s="770"/>
      <c r="BV197" s="770"/>
      <c r="BW197" s="770"/>
      <c r="BX197" s="770"/>
      <c r="BY197" s="770"/>
      <c r="BZ197" s="770"/>
      <c r="CA197" s="770"/>
      <c r="CB197" s="770"/>
      <c r="CC197" s="770"/>
      <c r="CD197" s="770"/>
      <c r="CE197" s="770"/>
      <c r="CF197" s="770"/>
      <c r="CG197" s="770"/>
      <c r="CH197" s="770"/>
      <c r="CI197" s="770"/>
      <c r="CJ197" s="770"/>
      <c r="CK197" s="770"/>
      <c r="CL197" s="770"/>
      <c r="CM197" s="770"/>
      <c r="CN197" s="770"/>
      <c r="CO197" s="770"/>
      <c r="CP197" s="770"/>
      <c r="CQ197" s="770"/>
      <c r="CR197" s="770"/>
      <c r="CS197" s="770"/>
      <c r="CT197" s="770"/>
      <c r="CU197" s="770"/>
      <c r="CV197" s="770"/>
      <c r="CW197" s="770"/>
      <c r="CX197" s="770"/>
      <c r="CY197" s="770"/>
      <c r="CZ197" s="770"/>
      <c r="DA197" s="770"/>
      <c r="DB197" s="770"/>
      <c r="DC197" s="770"/>
      <c r="DD197" s="770"/>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1"/>
      <c r="FZ197" s="771"/>
      <c r="GA197" s="771"/>
      <c r="GB197" s="771"/>
      <c r="GC197" s="771"/>
      <c r="GD197" s="771"/>
      <c r="GE197" s="771"/>
      <c r="GF197" s="771"/>
      <c r="GG197" s="771"/>
      <c r="GH197" s="771"/>
      <c r="GI197" s="771"/>
      <c r="GJ197" s="771"/>
      <c r="GK197" s="771"/>
      <c r="GL197" s="771"/>
      <c r="GM197" s="771"/>
      <c r="GN197" s="771"/>
      <c r="GO197" s="771"/>
      <c r="GP197" s="770"/>
      <c r="GQ197" s="770"/>
      <c r="GR197" s="770"/>
      <c r="GS197" s="770"/>
      <c r="GT197" s="770"/>
      <c r="GU197" s="770"/>
      <c r="GV197" s="772"/>
      <c r="GW197" s="770"/>
      <c r="GX197" s="770"/>
      <c r="GY197" s="770"/>
      <c r="GZ197" s="770"/>
      <c r="HA197" s="770"/>
      <c r="HB197" s="770"/>
      <c r="HC197" s="770"/>
      <c r="HD197" s="770"/>
      <c r="HE197" s="770"/>
      <c r="HF197" s="770"/>
      <c r="HG197" s="770"/>
      <c r="HH197" s="770"/>
      <c r="HI197" s="770"/>
      <c r="HJ197" s="770"/>
      <c r="HK197" s="770"/>
      <c r="HL197" s="772"/>
      <c r="HM197" s="772"/>
      <c r="HN197" s="770"/>
      <c r="HO197" s="770"/>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4.1" customHeight="1">
      <c r="A198" s="3"/>
      <c r="B198" s="2"/>
      <c r="C198" s="2"/>
      <c r="D198" s="2"/>
      <c r="E198" s="2"/>
      <c r="F198" s="2"/>
      <c r="G198" s="2"/>
      <c r="H198" s="2"/>
      <c r="I198" s="2"/>
      <c r="J198" s="2"/>
      <c r="K198" s="2"/>
      <c r="L198" s="2"/>
      <c r="M198" s="2"/>
      <c r="N198" s="2"/>
      <c r="O198" s="2"/>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c r="AT198" s="770"/>
      <c r="AU198" s="770"/>
      <c r="AV198" s="770"/>
      <c r="AW198" s="770"/>
      <c r="AX198" s="770"/>
      <c r="AY198" s="770"/>
      <c r="AZ198" s="770"/>
      <c r="BA198" s="770"/>
      <c r="BB198" s="770"/>
      <c r="BC198" s="770"/>
      <c r="BD198" s="770"/>
      <c r="BE198" s="770"/>
      <c r="BF198" s="770"/>
      <c r="BG198" s="770"/>
      <c r="BH198" s="770"/>
      <c r="BI198" s="770"/>
      <c r="BJ198" s="770"/>
      <c r="BK198" s="770"/>
      <c r="BL198" s="770"/>
      <c r="BM198" s="770"/>
      <c r="BN198" s="770"/>
      <c r="BO198" s="770"/>
      <c r="BP198" s="770"/>
      <c r="BQ198" s="770"/>
      <c r="BR198" s="770"/>
      <c r="BS198" s="770"/>
      <c r="BT198" s="770"/>
      <c r="BU198" s="770"/>
      <c r="BV198" s="770"/>
      <c r="BW198" s="770"/>
      <c r="BX198" s="770"/>
      <c r="BY198" s="770"/>
      <c r="BZ198" s="770"/>
      <c r="CA198" s="770"/>
      <c r="CB198" s="770"/>
      <c r="CC198" s="770"/>
      <c r="CD198" s="770"/>
      <c r="CE198" s="770"/>
      <c r="CF198" s="770"/>
      <c r="CG198" s="770"/>
      <c r="CH198" s="770"/>
      <c r="CI198" s="770"/>
      <c r="CJ198" s="770"/>
      <c r="CK198" s="770"/>
      <c r="CL198" s="770"/>
      <c r="CM198" s="770"/>
      <c r="CN198" s="770"/>
      <c r="CO198" s="770"/>
      <c r="CP198" s="770"/>
      <c r="CQ198" s="770"/>
      <c r="CR198" s="770"/>
      <c r="CS198" s="770"/>
      <c r="CT198" s="770"/>
      <c r="CU198" s="770"/>
      <c r="CV198" s="770"/>
      <c r="CW198" s="770"/>
      <c r="CX198" s="770"/>
      <c r="CY198" s="770"/>
      <c r="CZ198" s="770"/>
      <c r="DA198" s="770"/>
      <c r="DB198" s="770"/>
      <c r="DC198" s="770"/>
      <c r="DD198" s="770"/>
      <c r="DE198" s="770"/>
      <c r="DF198" s="770"/>
      <c r="DG198" s="770"/>
      <c r="DH198" s="770"/>
      <c r="DI198" s="770"/>
      <c r="DJ198" s="770"/>
      <c r="DK198" s="770"/>
      <c r="DL198" s="770"/>
      <c r="DM198" s="770"/>
      <c r="DN198" s="770"/>
      <c r="DO198" s="770"/>
      <c r="DP198" s="770"/>
      <c r="DQ198" s="770"/>
      <c r="DR198" s="770"/>
      <c r="DS198" s="770"/>
      <c r="DT198" s="770"/>
      <c r="DU198" s="770"/>
      <c r="DV198" s="770"/>
      <c r="DW198" s="770"/>
      <c r="DX198" s="770"/>
      <c r="DY198" s="770"/>
      <c r="DZ198" s="770"/>
      <c r="EA198" s="770"/>
      <c r="EB198" s="770"/>
      <c r="EC198" s="770"/>
      <c r="ED198" s="770"/>
      <c r="EE198" s="770"/>
      <c r="EF198" s="770"/>
      <c r="EG198" s="770"/>
      <c r="EH198" s="770"/>
      <c r="EI198" s="770"/>
      <c r="EJ198" s="770"/>
      <c r="EK198" s="770"/>
      <c r="EL198" s="770"/>
      <c r="EM198" s="770"/>
      <c r="EN198" s="770"/>
      <c r="EO198" s="770"/>
      <c r="EP198" s="770"/>
      <c r="EQ198" s="770"/>
      <c r="ER198" s="770"/>
      <c r="ES198" s="770"/>
      <c r="ET198" s="770"/>
      <c r="EU198" s="770"/>
      <c r="EV198" s="770"/>
      <c r="EW198" s="770"/>
      <c r="EX198" s="770"/>
      <c r="EY198" s="770"/>
      <c r="EZ198" s="770"/>
      <c r="FA198" s="770"/>
      <c r="FB198" s="770"/>
      <c r="FC198" s="770"/>
      <c r="FD198" s="770"/>
      <c r="FE198" s="770"/>
      <c r="FF198" s="770"/>
      <c r="FG198" s="770"/>
      <c r="FH198" s="770"/>
      <c r="FI198" s="770"/>
      <c r="FJ198" s="770"/>
      <c r="FK198" s="770"/>
      <c r="FL198" s="770"/>
      <c r="FM198" s="770"/>
      <c r="FN198" s="770"/>
      <c r="FO198" s="770"/>
      <c r="FP198" s="770"/>
      <c r="FQ198" s="770"/>
      <c r="FR198" s="770"/>
      <c r="FS198" s="770"/>
      <c r="FT198" s="770"/>
      <c r="FU198" s="770"/>
      <c r="FV198" s="770"/>
      <c r="FW198" s="770"/>
      <c r="FX198" s="770"/>
      <c r="FY198" s="771"/>
      <c r="FZ198" s="771"/>
      <c r="GA198" s="771"/>
      <c r="GB198" s="771"/>
      <c r="GC198" s="771"/>
      <c r="GD198" s="771"/>
      <c r="GE198" s="771"/>
      <c r="GF198" s="771"/>
      <c r="GG198" s="771"/>
      <c r="GH198" s="771"/>
      <c r="GI198" s="771"/>
      <c r="GJ198" s="771"/>
      <c r="GK198" s="771"/>
      <c r="GL198" s="771"/>
      <c r="GM198" s="771"/>
      <c r="GN198" s="771"/>
      <c r="GO198" s="771"/>
      <c r="GP198" s="770"/>
      <c r="GQ198" s="770"/>
      <c r="GR198" s="770"/>
      <c r="GS198" s="770"/>
      <c r="GT198" s="770"/>
      <c r="GU198" s="770"/>
      <c r="GV198" s="772"/>
      <c r="GW198" s="770"/>
      <c r="GX198" s="770"/>
      <c r="GY198" s="770"/>
      <c r="GZ198" s="770"/>
      <c r="HA198" s="770"/>
      <c r="HB198" s="770"/>
      <c r="HC198" s="770"/>
      <c r="HD198" s="770"/>
      <c r="HE198" s="770"/>
      <c r="HF198" s="770"/>
      <c r="HG198" s="770"/>
      <c r="HH198" s="770"/>
      <c r="HI198" s="770"/>
      <c r="HJ198" s="770"/>
      <c r="HK198" s="770"/>
      <c r="HL198" s="772"/>
      <c r="HM198" s="772"/>
      <c r="HN198" s="770"/>
      <c r="HO198" s="770"/>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4.1" customHeight="1">
      <c r="A199" s="2"/>
      <c r="B199" s="2"/>
      <c r="C199" s="2"/>
      <c r="D199" s="2"/>
      <c r="E199" s="2"/>
      <c r="F199" s="2"/>
      <c r="G199" s="2"/>
      <c r="H199" s="2"/>
      <c r="I199" s="2"/>
      <c r="J199" s="2"/>
      <c r="K199" s="2"/>
      <c r="L199" s="2"/>
      <c r="M199" s="2"/>
      <c r="N199" s="2"/>
      <c r="O199" s="2"/>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0"/>
      <c r="AZ199" s="770"/>
      <c r="BA199" s="770"/>
      <c r="BB199" s="770"/>
      <c r="BC199" s="770"/>
      <c r="BD199" s="770"/>
      <c r="BE199" s="770"/>
      <c r="BF199" s="770"/>
      <c r="BG199" s="770"/>
      <c r="BH199" s="770"/>
      <c r="BI199" s="770"/>
      <c r="BJ199" s="770"/>
      <c r="BK199" s="770"/>
      <c r="BL199" s="770"/>
      <c r="BM199" s="770"/>
      <c r="BN199" s="770"/>
      <c r="BO199" s="770"/>
      <c r="BP199" s="770"/>
      <c r="BQ199" s="770"/>
      <c r="BR199" s="770"/>
      <c r="BS199" s="770"/>
      <c r="BT199" s="770"/>
      <c r="BU199" s="770"/>
      <c r="BV199" s="770"/>
      <c r="BW199" s="770"/>
      <c r="BX199" s="770"/>
      <c r="BY199" s="770"/>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0"/>
      <c r="DB199" s="770"/>
      <c r="DC199" s="770"/>
      <c r="DD199" s="770"/>
      <c r="DE199" s="770"/>
      <c r="DF199" s="770"/>
      <c r="DG199" s="770"/>
      <c r="DH199" s="770"/>
      <c r="DI199" s="770"/>
      <c r="DJ199" s="770"/>
      <c r="DK199" s="770"/>
      <c r="DL199" s="770"/>
      <c r="DM199" s="770"/>
      <c r="DN199" s="770"/>
      <c r="DO199" s="770"/>
      <c r="DP199" s="770"/>
      <c r="DQ199" s="770"/>
      <c r="DR199" s="770"/>
      <c r="DS199" s="770"/>
      <c r="DT199" s="770"/>
      <c r="DU199" s="770"/>
      <c r="DV199" s="770"/>
      <c r="DW199" s="770"/>
      <c r="DX199" s="770"/>
      <c r="DY199" s="770"/>
      <c r="DZ199" s="770"/>
      <c r="EA199" s="770"/>
      <c r="EB199" s="770"/>
      <c r="EC199" s="770"/>
      <c r="ED199" s="770"/>
      <c r="EE199" s="770"/>
      <c r="EF199" s="770"/>
      <c r="EG199" s="770"/>
      <c r="EH199" s="770"/>
      <c r="EI199" s="770"/>
      <c r="EJ199" s="770"/>
      <c r="EK199" s="770"/>
      <c r="EL199" s="770"/>
      <c r="EM199" s="770"/>
      <c r="EN199" s="770"/>
      <c r="EO199" s="770"/>
      <c r="EP199" s="770"/>
      <c r="EQ199" s="770"/>
      <c r="ER199" s="770"/>
      <c r="ES199" s="770"/>
      <c r="ET199" s="770"/>
      <c r="EU199" s="770"/>
      <c r="EV199" s="770"/>
      <c r="EW199" s="770"/>
      <c r="EX199" s="770"/>
      <c r="EY199" s="770"/>
      <c r="EZ199" s="770"/>
      <c r="FA199" s="770"/>
      <c r="FB199" s="770"/>
      <c r="FC199" s="770"/>
      <c r="FD199" s="770"/>
      <c r="FE199" s="770"/>
      <c r="FF199" s="770"/>
      <c r="FG199" s="770"/>
      <c r="FH199" s="770"/>
      <c r="FI199" s="770"/>
      <c r="FJ199" s="770"/>
      <c r="FK199" s="770"/>
      <c r="FL199" s="770"/>
      <c r="FM199" s="770"/>
      <c r="FN199" s="770"/>
      <c r="FO199" s="770"/>
      <c r="FP199" s="770"/>
      <c r="FQ199" s="770"/>
      <c r="FR199" s="770"/>
      <c r="FS199" s="770"/>
      <c r="FT199" s="770"/>
      <c r="FU199" s="770"/>
      <c r="FV199" s="770"/>
      <c r="FW199" s="770"/>
      <c r="FX199" s="770"/>
      <c r="FY199" s="771"/>
      <c r="FZ199" s="771"/>
      <c r="GA199" s="771"/>
      <c r="GB199" s="771"/>
      <c r="GC199" s="771"/>
      <c r="GD199" s="771"/>
      <c r="GE199" s="771"/>
      <c r="GF199" s="771"/>
      <c r="GG199" s="771"/>
      <c r="GH199" s="771"/>
      <c r="GI199" s="771"/>
      <c r="GJ199" s="771"/>
      <c r="GK199" s="771"/>
      <c r="GL199" s="771"/>
      <c r="GM199" s="771"/>
      <c r="GN199" s="771"/>
      <c r="GO199" s="771"/>
      <c r="GP199" s="770"/>
      <c r="GQ199" s="770"/>
      <c r="GR199" s="770"/>
      <c r="GS199" s="770"/>
      <c r="GT199" s="770"/>
      <c r="GU199" s="770"/>
      <c r="GV199" s="772"/>
      <c r="GW199" s="770"/>
      <c r="GX199" s="770"/>
      <c r="GY199" s="770"/>
      <c r="GZ199" s="770"/>
      <c r="HA199" s="770"/>
      <c r="HB199" s="770"/>
      <c r="HC199" s="770"/>
      <c r="HD199" s="770"/>
      <c r="HE199" s="770"/>
      <c r="HF199" s="770"/>
      <c r="HG199" s="770"/>
      <c r="HH199" s="770"/>
      <c r="HI199" s="770"/>
      <c r="HJ199" s="770"/>
      <c r="HK199" s="770"/>
      <c r="HL199" s="772"/>
      <c r="HM199" s="772"/>
      <c r="HN199" s="770"/>
      <c r="HO199" s="770"/>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4.1" customHeight="1">
      <c r="A200" s="2"/>
      <c r="B200" s="2"/>
      <c r="C200" s="2"/>
      <c r="D200" s="2"/>
      <c r="E200" s="2"/>
      <c r="F200" s="2"/>
      <c r="G200" s="2"/>
      <c r="H200" s="2"/>
      <c r="I200" s="2"/>
      <c r="J200" s="2"/>
      <c r="K200" s="2"/>
      <c r="L200" s="2"/>
      <c r="M200" s="2"/>
      <c r="N200" s="2"/>
      <c r="O200" s="2"/>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0"/>
      <c r="BG200" s="770"/>
      <c r="BH200" s="770"/>
      <c r="BI200" s="770"/>
      <c r="BJ200" s="770"/>
      <c r="BK200" s="770"/>
      <c r="BL200" s="770"/>
      <c r="BM200" s="770"/>
      <c r="BN200" s="770"/>
      <c r="BO200" s="770"/>
      <c r="BP200" s="770"/>
      <c r="BQ200" s="770"/>
      <c r="BR200" s="770"/>
      <c r="BS200" s="770"/>
      <c r="BT200" s="770"/>
      <c r="BU200" s="770"/>
      <c r="BV200" s="770"/>
      <c r="BW200" s="770"/>
      <c r="BX200" s="770"/>
      <c r="BY200" s="770"/>
      <c r="BZ200" s="770"/>
      <c r="CA200" s="770"/>
      <c r="CB200" s="770"/>
      <c r="CC200" s="770"/>
      <c r="CD200" s="770"/>
      <c r="CE200" s="770"/>
      <c r="CF200" s="770"/>
      <c r="CG200" s="770"/>
      <c r="CH200" s="770"/>
      <c r="CI200" s="770"/>
      <c r="CJ200" s="770"/>
      <c r="CK200" s="770"/>
      <c r="CL200" s="770"/>
      <c r="CM200" s="770"/>
      <c r="CN200" s="770"/>
      <c r="CO200" s="770"/>
      <c r="CP200" s="770"/>
      <c r="CQ200" s="770"/>
      <c r="CR200" s="770"/>
      <c r="CS200" s="770"/>
      <c r="CT200" s="770"/>
      <c r="CU200" s="770"/>
      <c r="CV200" s="770"/>
      <c r="CW200" s="770"/>
      <c r="CX200" s="770"/>
      <c r="CY200" s="770"/>
      <c r="CZ200" s="770"/>
      <c r="DA200" s="770"/>
      <c r="DB200" s="770"/>
      <c r="DC200" s="770"/>
      <c r="DD200" s="770"/>
      <c r="DE200" s="770"/>
      <c r="DF200" s="770"/>
      <c r="DG200" s="770"/>
      <c r="DH200" s="770"/>
      <c r="DI200" s="770"/>
      <c r="DJ200" s="770"/>
      <c r="DK200" s="770"/>
      <c r="DL200" s="770"/>
      <c r="DM200" s="770"/>
      <c r="DN200" s="770"/>
      <c r="DO200" s="770"/>
      <c r="DP200" s="770"/>
      <c r="DQ200" s="770"/>
      <c r="DR200" s="770"/>
      <c r="DS200" s="770"/>
      <c r="DT200" s="770"/>
      <c r="DU200" s="770"/>
      <c r="DV200" s="770"/>
      <c r="DW200" s="770"/>
      <c r="DX200" s="770"/>
      <c r="DY200" s="770"/>
      <c r="DZ200" s="770"/>
      <c r="EA200" s="770"/>
      <c r="EB200" s="770"/>
      <c r="EC200" s="770"/>
      <c r="ED200" s="770"/>
      <c r="EE200" s="770"/>
      <c r="EF200" s="770"/>
      <c r="EG200" s="770"/>
      <c r="EH200" s="770"/>
      <c r="EI200" s="770"/>
      <c r="EJ200" s="770"/>
      <c r="EK200" s="770"/>
      <c r="EL200" s="770"/>
      <c r="EM200" s="770"/>
      <c r="EN200" s="770"/>
      <c r="EO200" s="770"/>
      <c r="EP200" s="770"/>
      <c r="EQ200" s="770"/>
      <c r="ER200" s="770"/>
      <c r="ES200" s="770"/>
      <c r="ET200" s="770"/>
      <c r="EU200" s="770"/>
      <c r="EV200" s="770"/>
      <c r="EW200" s="770"/>
      <c r="EX200" s="770"/>
      <c r="EY200" s="770"/>
      <c r="EZ200" s="770"/>
      <c r="FA200" s="770"/>
      <c r="FB200" s="770"/>
      <c r="FC200" s="770"/>
      <c r="FD200" s="770"/>
      <c r="FE200" s="770"/>
      <c r="FF200" s="770"/>
      <c r="FG200" s="770"/>
      <c r="FH200" s="770"/>
      <c r="FI200" s="770"/>
      <c r="FJ200" s="770"/>
      <c r="FK200" s="770"/>
      <c r="FL200" s="770"/>
      <c r="FM200" s="770"/>
      <c r="FN200" s="770"/>
      <c r="FO200" s="770"/>
      <c r="FP200" s="770"/>
      <c r="FQ200" s="770"/>
      <c r="FR200" s="770"/>
      <c r="FS200" s="770"/>
      <c r="FT200" s="770"/>
      <c r="FU200" s="770"/>
      <c r="FV200" s="770"/>
      <c r="FW200" s="770"/>
      <c r="FX200" s="770"/>
      <c r="FY200" s="771"/>
      <c r="FZ200" s="771"/>
      <c r="GA200" s="771"/>
      <c r="GB200" s="771"/>
      <c r="GC200" s="771"/>
      <c r="GD200" s="771"/>
      <c r="GE200" s="771"/>
      <c r="GF200" s="771"/>
      <c r="GG200" s="771"/>
      <c r="GH200" s="771"/>
      <c r="GI200" s="771"/>
      <c r="GJ200" s="771"/>
      <c r="GK200" s="771"/>
      <c r="GL200" s="771"/>
      <c r="GM200" s="771"/>
      <c r="GN200" s="771"/>
      <c r="GO200" s="771"/>
      <c r="GP200" s="770"/>
      <c r="GQ200" s="770"/>
      <c r="GR200" s="770"/>
      <c r="GS200" s="770"/>
      <c r="GT200" s="770"/>
      <c r="GU200" s="770"/>
      <c r="GV200" s="772"/>
      <c r="GW200" s="770"/>
      <c r="GX200" s="770"/>
      <c r="GY200" s="770"/>
      <c r="GZ200" s="770"/>
      <c r="HA200" s="770"/>
      <c r="HB200" s="770"/>
      <c r="HC200" s="770"/>
      <c r="HD200" s="770"/>
      <c r="HE200" s="770"/>
      <c r="HF200" s="770"/>
      <c r="HG200" s="770"/>
      <c r="HH200" s="770"/>
      <c r="HI200" s="770"/>
      <c r="HJ200" s="770"/>
      <c r="HK200" s="770"/>
      <c r="HL200" s="772"/>
      <c r="HM200" s="772"/>
      <c r="HN200" s="770"/>
      <c r="HO200" s="770"/>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41"/>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6" t="str">
        <f>CONCATENATE("PART SEVEN - OPERATING PRO FORMA","  -  ",'Part I-Project Information'!$O$4," ",'Part I-Project Information'!$F$22,", ",'Part I-Project Information'!F24,", ",'Part I-Project Information'!J25," County")</f>
        <v>PART SEVEN - OPERATING PRO FORMA  -  2012-042 Adair Court, Atlanta, Fulton County</v>
      </c>
      <c r="B1" s="1107"/>
      <c r="C1" s="1107"/>
      <c r="D1" s="1107"/>
      <c r="E1" s="1107"/>
      <c r="F1" s="1107"/>
      <c r="G1" s="1107"/>
      <c r="H1" s="1107"/>
      <c r="I1" s="1107"/>
      <c r="J1" s="1107"/>
      <c r="K1" s="1108"/>
      <c r="L1" s="11"/>
      <c r="M1" s="1104" t="str">
        <f>A1</f>
        <v>PART SEVEN - OPERATING PRO FORMA  -  2012-042 Adair Court, Atlanta, Fulton County</v>
      </c>
      <c r="N1" s="1104"/>
      <c r="O1" s="11"/>
    </row>
    <row r="2" spans="1:15" ht="13.5" customHeight="1">
      <c r="M2" s="1105" t="s">
        <v>1370</v>
      </c>
      <c r="N2" s="1105"/>
    </row>
    <row r="3" spans="1:15" ht="13.5">
      <c r="A3" s="16" t="s">
        <v>4057</v>
      </c>
      <c r="D3" s="16" t="s">
        <v>4047</v>
      </c>
      <c r="E3" s="301"/>
      <c r="F3" s="400" t="s">
        <v>2534</v>
      </c>
      <c r="M3" s="16" t="str">
        <f>A3</f>
        <v>I.  OPERATING ASSUMPTIONS</v>
      </c>
      <c r="N3" s="35"/>
    </row>
    <row r="4" spans="1:15" ht="2.4500000000000002" customHeight="1">
      <c r="A4" s="19"/>
      <c r="B4" s="19"/>
      <c r="C4" s="19"/>
      <c r="H4" s="19"/>
      <c r="I4" s="19"/>
    </row>
    <row r="5" spans="1:15" ht="13.5" customHeight="1">
      <c r="A5" s="19" t="s">
        <v>901</v>
      </c>
      <c r="B5" s="105">
        <v>0.02</v>
      </c>
      <c r="C5" s="19"/>
      <c r="D5" s="19" t="s">
        <v>2804</v>
      </c>
      <c r="F5" s="19"/>
      <c r="G5" s="1557">
        <v>7500</v>
      </c>
      <c r="H5" s="128" t="s">
        <v>1326</v>
      </c>
      <c r="K5" s="133">
        <f>IF(($B$14+$B$15+$B$16+$B$17)=0,"",-B28/($B$14+$B$15+$B$16+$B$17))</f>
        <v>1.0233767913699045E-2</v>
      </c>
      <c r="M5" s="1453"/>
      <c r="N5" s="1454"/>
    </row>
    <row r="6" spans="1:15">
      <c r="A6" s="19" t="s">
        <v>902</v>
      </c>
      <c r="B6" s="105">
        <v>0.03</v>
      </c>
      <c r="C6" s="19"/>
      <c r="D6" s="19" t="s">
        <v>2805</v>
      </c>
      <c r="F6" s="19"/>
      <c r="G6" s="1557"/>
      <c r="H6" s="128" t="s">
        <v>632</v>
      </c>
      <c r="K6" s="133" t="e">
        <f>IF(($B$14+$B$15+$B$16+$B$17)=0,"",-#REF!/($B$14+$B$15+$B$16+$B$17))</f>
        <v>#REF!</v>
      </c>
      <c r="M6" s="1455"/>
      <c r="N6" s="1456"/>
    </row>
    <row r="7" spans="1:15">
      <c r="A7" s="19" t="s">
        <v>904</v>
      </c>
      <c r="B7" s="105">
        <v>0.03</v>
      </c>
      <c r="C7" s="19"/>
      <c r="D7" s="107" t="s">
        <v>3698</v>
      </c>
      <c r="G7" s="109"/>
      <c r="H7" s="128" t="s">
        <v>633</v>
      </c>
      <c r="K7" s="133">
        <f>IF(($B$14+$B$15+$B$16+$B$17)=0,"",-B20/($B$14+$B$15+$B$16+$B$17))</f>
        <v>5.9999899026823247E-2</v>
      </c>
      <c r="M7" s="1455"/>
      <c r="N7" s="1456"/>
    </row>
    <row r="8" spans="1:15" ht="13.35" customHeight="1">
      <c r="A8" s="19" t="s">
        <v>903</v>
      </c>
      <c r="B8" s="1558">
        <v>7.0000000000000007E-2</v>
      </c>
      <c r="C8" s="19"/>
      <c r="D8" s="106" t="s">
        <v>491</v>
      </c>
      <c r="G8" s="1559"/>
      <c r="H8" s="230" t="s">
        <v>2046</v>
      </c>
      <c r="K8" s="1560"/>
      <c r="M8" s="1455"/>
      <c r="N8" s="1456"/>
    </row>
    <row r="9" spans="1:15">
      <c r="A9" s="19" t="s">
        <v>2113</v>
      </c>
      <c r="B9" s="105">
        <v>0.02</v>
      </c>
      <c r="D9" s="106" t="s">
        <v>1478</v>
      </c>
      <c r="G9" s="1559" t="s">
        <v>63</v>
      </c>
      <c r="H9" s="230" t="s">
        <v>748</v>
      </c>
      <c r="K9" s="1561">
        <v>0.06</v>
      </c>
      <c r="M9" s="1458"/>
      <c r="N9" s="1459"/>
    </row>
    <row r="10" spans="1:15" ht="13.5" customHeight="1"/>
    <row r="11" spans="1:15">
      <c r="A11" s="16" t="s">
        <v>4058</v>
      </c>
      <c r="M11" s="16" t="str">
        <f>A11</f>
        <v>II.  OPERATING PRO FORMA</v>
      </c>
    </row>
    <row r="12" spans="1:15" ht="2.4500000000000002" customHeight="1"/>
    <row r="13" spans="1:15" ht="14.45" customHeight="1">
      <c r="A13" s="16" t="s">
        <v>787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387</v>
      </c>
      <c r="N13" s="976"/>
    </row>
    <row r="14" spans="1:15" ht="13.35" customHeight="1">
      <c r="A14" s="21" t="s">
        <v>684</v>
      </c>
      <c r="B14" s="22">
        <f>'Part VI-Revenues &amp; Expenses'!L49</f>
        <v>783480</v>
      </c>
      <c r="C14" s="22">
        <f t="shared" ref="C14:K14" si="1">$B$14*(1+$B$5)^(C13-1)</f>
        <v>799149.6</v>
      </c>
      <c r="D14" s="22">
        <f t="shared" si="1"/>
        <v>815132.59199999995</v>
      </c>
      <c r="E14" s="22">
        <f t="shared" si="1"/>
        <v>831435.24383999989</v>
      </c>
      <c r="F14" s="22">
        <f t="shared" si="1"/>
        <v>848063.94871679996</v>
      </c>
      <c r="G14" s="22">
        <f t="shared" si="1"/>
        <v>865025.22769113607</v>
      </c>
      <c r="H14" s="22">
        <f t="shared" si="1"/>
        <v>882325.73224495875</v>
      </c>
      <c r="I14" s="22">
        <f t="shared" si="1"/>
        <v>899972.24688985781</v>
      </c>
      <c r="J14" s="22">
        <f t="shared" si="1"/>
        <v>917971.69182765495</v>
      </c>
      <c r="K14" s="23">
        <f t="shared" si="1"/>
        <v>936331.12566420808</v>
      </c>
      <c r="M14" s="1453"/>
      <c r="N14" s="1454"/>
    </row>
    <row r="15" spans="1:15" ht="13.35" customHeight="1">
      <c r="A15" s="24" t="s">
        <v>2497</v>
      </c>
      <c r="B15" s="25">
        <f>MIN(B14*B9,'Part VI-Revenues &amp; Expenses'!G104)</f>
        <v>4550</v>
      </c>
      <c r="C15" s="25">
        <f t="shared" ref="C15:K15" si="2">$B$15*(1+$B$5)^(C13-1)</f>
        <v>4641</v>
      </c>
      <c r="D15" s="25">
        <f t="shared" si="2"/>
        <v>4733.82</v>
      </c>
      <c r="E15" s="25">
        <f t="shared" si="2"/>
        <v>4828.4964</v>
      </c>
      <c r="F15" s="25">
        <f t="shared" si="2"/>
        <v>4925.0663279999999</v>
      </c>
      <c r="G15" s="25">
        <f t="shared" si="2"/>
        <v>5023.5676545599999</v>
      </c>
      <c r="H15" s="25">
        <f t="shared" si="2"/>
        <v>5124.0390076512003</v>
      </c>
      <c r="I15" s="25">
        <f t="shared" si="2"/>
        <v>5226.5197878042236</v>
      </c>
      <c r="J15" s="25">
        <f t="shared" si="2"/>
        <v>5331.0501835603081</v>
      </c>
      <c r="K15" s="26">
        <f t="shared" si="2"/>
        <v>5437.6711872315145</v>
      </c>
      <c r="M15" s="1455"/>
      <c r="N15" s="1456"/>
    </row>
    <row r="16" spans="1:15" ht="13.35" customHeight="1">
      <c r="A16" s="24" t="s">
        <v>685</v>
      </c>
      <c r="B16" s="25">
        <f t="shared" ref="B16:K16" si="3">-(B14+B15)*$B$8</f>
        <v>-55162.100000000006</v>
      </c>
      <c r="C16" s="25">
        <f t="shared" si="3"/>
        <v>-56265.342000000004</v>
      </c>
      <c r="D16" s="25">
        <f t="shared" si="3"/>
        <v>-57390.648840000002</v>
      </c>
      <c r="E16" s="25">
        <f t="shared" si="3"/>
        <v>-58538.461816799994</v>
      </c>
      <c r="F16" s="25">
        <f t="shared" si="3"/>
        <v>-59709.231053136005</v>
      </c>
      <c r="G16" s="25">
        <f t="shared" si="3"/>
        <v>-60903.415674198732</v>
      </c>
      <c r="H16" s="25">
        <f t="shared" si="3"/>
        <v>-62121.483987682703</v>
      </c>
      <c r="I16" s="25">
        <f t="shared" si="3"/>
        <v>-63363.913667436347</v>
      </c>
      <c r="J16" s="25">
        <f t="shared" si="3"/>
        <v>-64631.19194078508</v>
      </c>
      <c r="K16" s="26">
        <f t="shared" si="3"/>
        <v>-65923.815779600787</v>
      </c>
      <c r="M16" s="1455"/>
      <c r="N16" s="1456"/>
    </row>
    <row r="17" spans="1:14" ht="13.35" customHeight="1">
      <c r="A17" s="24" t="s">
        <v>4012</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55"/>
      <c r="N17" s="1456"/>
    </row>
    <row r="18" spans="1:14" ht="13.35" customHeight="1">
      <c r="A18" s="24" t="s">
        <v>4013</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55"/>
      <c r="N18" s="1456"/>
    </row>
    <row r="19" spans="1:14" ht="13.35" customHeight="1">
      <c r="A19" s="24" t="s">
        <v>3218</v>
      </c>
      <c r="B19" s="25">
        <f>-('Part VI-Revenues &amp; Expenses'!P157-'Part VI-Revenues &amp; Expenses'!P147)</f>
        <v>-524365</v>
      </c>
      <c r="C19" s="25">
        <f t="shared" ref="C19:K19" si="4">$B$19*(1+$B$6)^(C13-1)</f>
        <v>-540095.95000000007</v>
      </c>
      <c r="D19" s="25">
        <f t="shared" si="4"/>
        <v>-556298.82849999995</v>
      </c>
      <c r="E19" s="25">
        <f t="shared" si="4"/>
        <v>-572987.79335499997</v>
      </c>
      <c r="F19" s="25">
        <f t="shared" si="4"/>
        <v>-590177.42715564999</v>
      </c>
      <c r="G19" s="25">
        <f t="shared" si="4"/>
        <v>-607882.74997031945</v>
      </c>
      <c r="H19" s="25">
        <f t="shared" si="4"/>
        <v>-626119.23246942903</v>
      </c>
      <c r="I19" s="25">
        <f t="shared" si="4"/>
        <v>-644902.809443512</v>
      </c>
      <c r="J19" s="25">
        <f t="shared" si="4"/>
        <v>-664249.89372681722</v>
      </c>
      <c r="K19" s="26">
        <f t="shared" si="4"/>
        <v>-684177.39053862181</v>
      </c>
      <c r="M19" s="1455"/>
      <c r="N19" s="1456"/>
    </row>
    <row r="20" spans="1:14" ht="13.35" customHeight="1">
      <c r="A20" s="24" t="s">
        <v>2471</v>
      </c>
      <c r="B20" s="25">
        <f>IF(AND('Part VII-Pro Forma'!$G$8="Yes",'Part VII-Pro Forma'!$G$9="Yes"),"Choose One!",IF('Part VII-Pro Forma'!$G$8="Yes",ROUND((-$K$8*(1+'Part VII-Pro Forma'!$B$6)^('Part VII-Pro Forma'!B13-1)),),IF('Part VII-Pro Forma'!$G$9="Yes",ROUND((-(SUM(B14:B17)*'Part VII-Pro Forma'!$K$9)),),"Choose mgt fee")))</f>
        <v>-43972</v>
      </c>
      <c r="C20" s="25">
        <f>IF(AND('Part VII-Pro Forma'!$G$8="Yes",'Part VII-Pro Forma'!$G$9="Yes"),"Choose One!",IF('Part VII-Pro Forma'!$G$8="Yes",ROUND((-$K$8*(1+'Part VII-Pro Forma'!$B$6)^('Part VII-Pro Forma'!C13-1)),),IF('Part VII-Pro Forma'!$G$9="Yes",ROUND((-(SUM(C14:C17)*'Part VII-Pro Forma'!$K$9)),),"Choose mgt fee")))</f>
        <v>-44852</v>
      </c>
      <c r="D20" s="25">
        <f>IF(AND('Part VII-Pro Forma'!$G$8="Yes",'Part VII-Pro Forma'!$G$9="Yes"),"Choose One!",IF('Part VII-Pro Forma'!$G$8="Yes",ROUND((-$K$8*(1+'Part VII-Pro Forma'!$B$6)^('Part VII-Pro Forma'!D13-1)),),IF('Part VII-Pro Forma'!$G$9="Yes",ROUND((-(SUM(D14:D17)*'Part VII-Pro Forma'!$K$9)),),"Choose mgt fee")))</f>
        <v>-45749</v>
      </c>
      <c r="E20" s="25">
        <f>IF(AND('Part VII-Pro Forma'!$G$8="Yes",'Part VII-Pro Forma'!$G$9="Yes"),"Choose One!",IF('Part VII-Pro Forma'!$G$8="Yes",ROUND((-$K$8*(1+'Part VII-Pro Forma'!$B$6)^('Part VII-Pro Forma'!E13-1)),),IF('Part VII-Pro Forma'!$G$9="Yes",ROUND((-(SUM(E14:E17)*'Part VII-Pro Forma'!$K$9)),),"Choose mgt fee")))</f>
        <v>-46664</v>
      </c>
      <c r="F20" s="25">
        <f>IF(AND('Part VII-Pro Forma'!$G$8="Yes",'Part VII-Pro Forma'!$G$9="Yes"),"Choose One!",IF('Part VII-Pro Forma'!$G$8="Yes",ROUND((-$K$8*(1+'Part VII-Pro Forma'!$B$6)^('Part VII-Pro Forma'!F13-1)),),IF('Part VII-Pro Forma'!$G$9="Yes",ROUND((-(SUM(F14:F17)*'Part VII-Pro Forma'!$K$9)),),"Choose mgt fee")))</f>
        <v>-47597</v>
      </c>
      <c r="G20" s="25">
        <f>IF(AND('Part VII-Pro Forma'!$G$8="Yes",'Part VII-Pro Forma'!$G$9="Yes"),"Choose One!",IF('Part VII-Pro Forma'!$G$8="Yes",ROUND((-$K$8*(1+'Part VII-Pro Forma'!$B$6)^('Part VII-Pro Forma'!G13-1)),),IF('Part VII-Pro Forma'!$G$9="Yes",ROUND((-(SUM(G14:G17)*'Part VII-Pro Forma'!$K$9)),),"Choose mgt fee")))</f>
        <v>-48549</v>
      </c>
      <c r="H20" s="25">
        <f>IF(AND('Part VII-Pro Forma'!$G$8="Yes",'Part VII-Pro Forma'!$G$9="Yes"),"Choose One!",IF('Part VII-Pro Forma'!$G$8="Yes",ROUND((-$K$8*(1+'Part VII-Pro Forma'!$B$6)^('Part VII-Pro Forma'!H13-1)),),IF('Part VII-Pro Forma'!$G$9="Yes",ROUND((-(SUM(H14:H17)*'Part VII-Pro Forma'!$K$9)),),"Choose mgt fee")))</f>
        <v>-49520</v>
      </c>
      <c r="I20" s="25">
        <f>IF(AND('Part VII-Pro Forma'!$G$8="Yes",'Part VII-Pro Forma'!$G$9="Yes"),"Choose One!",IF('Part VII-Pro Forma'!$G$8="Yes",ROUND((-$K$8*(1+'Part VII-Pro Forma'!$B$6)^('Part VII-Pro Forma'!I13-1)),),IF('Part VII-Pro Forma'!$G$9="Yes",ROUND((-(SUM(I14:I17)*'Part VII-Pro Forma'!$K$9)),),"Choose mgt fee")))</f>
        <v>-50510</v>
      </c>
      <c r="J20" s="25">
        <f>IF(AND('Part VII-Pro Forma'!$G$8="Yes",'Part VII-Pro Forma'!$G$9="Yes"),"Choose One!",IF('Part VII-Pro Forma'!$G$8="Yes",ROUND((-$K$8*(1+'Part VII-Pro Forma'!$B$6)^('Part VII-Pro Forma'!J13-1)),),IF('Part VII-Pro Forma'!$G$9="Yes",ROUND((-(SUM(J14:J17)*'Part VII-Pro Forma'!$K$9)),),"Choose mgt fee")))</f>
        <v>-51520</v>
      </c>
      <c r="K20" s="25">
        <f>IF(AND('Part VII-Pro Forma'!$G$8="Yes",'Part VII-Pro Forma'!$G$9="Yes"),"Choose One!",IF('Part VII-Pro Forma'!$G$8="Yes",ROUND((-$K$8*(1+'Part VII-Pro Forma'!$B$6)^('Part VII-Pro Forma'!K13-1)),),IF('Part VII-Pro Forma'!$G$9="Yes",ROUND((-(SUM(K14:K17)*'Part VII-Pro Forma'!$K$9)),),"Choose mgt fee")))</f>
        <v>-52551</v>
      </c>
      <c r="M20" s="1455"/>
      <c r="N20" s="1456"/>
    </row>
    <row r="21" spans="1:14" ht="13.35" customHeight="1">
      <c r="A21" s="24" t="s">
        <v>2376</v>
      </c>
      <c r="B21" s="25">
        <f>-('Part VI-Revenues &amp; Expenses'!P160)</f>
        <v>-31850</v>
      </c>
      <c r="C21" s="25">
        <f t="shared" ref="C21:K21" si="5">$B$21*(1+$B$7)^(C13-1)</f>
        <v>-32805.5</v>
      </c>
      <c r="D21" s="25">
        <f t="shared" si="5"/>
        <v>-33789.665000000001</v>
      </c>
      <c r="E21" s="25">
        <f t="shared" si="5"/>
        <v>-34803.354950000001</v>
      </c>
      <c r="F21" s="25">
        <f t="shared" si="5"/>
        <v>-35847.455598499997</v>
      </c>
      <c r="G21" s="25">
        <f t="shared" si="5"/>
        <v>-36922.879266454998</v>
      </c>
      <c r="H21" s="25">
        <f t="shared" si="5"/>
        <v>-38030.565644448645</v>
      </c>
      <c r="I21" s="25">
        <f t="shared" si="5"/>
        <v>-39171.482613782107</v>
      </c>
      <c r="J21" s="25">
        <f t="shared" si="5"/>
        <v>-40346.627092195566</v>
      </c>
      <c r="K21" s="26">
        <f t="shared" si="5"/>
        <v>-41557.025904961432</v>
      </c>
      <c r="M21" s="1455"/>
      <c r="N21" s="1456"/>
    </row>
    <row r="22" spans="1:14" ht="13.35" customHeight="1">
      <c r="A22" s="24" t="s">
        <v>2265</v>
      </c>
      <c r="B22" s="25">
        <f t="shared" ref="B22:K22" si="6">SUM(B14:B21)</f>
        <v>132680.90000000002</v>
      </c>
      <c r="C22" s="25">
        <f t="shared" si="6"/>
        <v>129771.80799999984</v>
      </c>
      <c r="D22" s="25">
        <f t="shared" si="6"/>
        <v>126638.2696599999</v>
      </c>
      <c r="E22" s="25">
        <f t="shared" si="6"/>
        <v>123270.13011819992</v>
      </c>
      <c r="F22" s="25">
        <f t="shared" si="6"/>
        <v>119657.90123751396</v>
      </c>
      <c r="G22" s="25">
        <f t="shared" si="6"/>
        <v>115790.75043472282</v>
      </c>
      <c r="H22" s="25">
        <f t="shared" si="6"/>
        <v>111658.48915104949</v>
      </c>
      <c r="I22" s="25">
        <f t="shared" si="6"/>
        <v>107250.56095293158</v>
      </c>
      <c r="J22" s="25">
        <f t="shared" si="6"/>
        <v>102555.02925141749</v>
      </c>
      <c r="K22" s="26">
        <f t="shared" si="6"/>
        <v>97559.564628255641</v>
      </c>
      <c r="M22" s="1455"/>
      <c r="N22" s="1456"/>
    </row>
    <row r="23" spans="1:14" ht="13.35" customHeight="1">
      <c r="A23" s="679" t="s">
        <v>1862</v>
      </c>
      <c r="B23" s="1562">
        <f>IF('Part III A-Sources of Funds'!$M$32="", 0,-'Part III A-Sources of Funds'!$M$32)</f>
        <v>-55885.40959505138</v>
      </c>
      <c r="C23" s="1562">
        <f>IF('Part III A-Sources of Funds'!$M$32="", 0,-'Part III A-Sources of Funds'!$M$32)</f>
        <v>-55885.40959505138</v>
      </c>
      <c r="D23" s="1562">
        <f>IF('Part III A-Sources of Funds'!$M$32="", 0,-'Part III A-Sources of Funds'!$M$32)</f>
        <v>-55885.40959505138</v>
      </c>
      <c r="E23" s="1562">
        <f>IF('Part III A-Sources of Funds'!$M$32="", 0,-'Part III A-Sources of Funds'!$M$32)</f>
        <v>-55885.40959505138</v>
      </c>
      <c r="F23" s="1562">
        <f>IF('Part III A-Sources of Funds'!$M$32="", 0,-'Part III A-Sources of Funds'!$M$32)</f>
        <v>-55885.40959505138</v>
      </c>
      <c r="G23" s="1562">
        <f>IF('Part III A-Sources of Funds'!$M$32="", 0,-'Part III A-Sources of Funds'!$M$32)</f>
        <v>-55885.40959505138</v>
      </c>
      <c r="H23" s="1562">
        <f>IF('Part III A-Sources of Funds'!$M$32="", 0,-'Part III A-Sources of Funds'!$M$32)</f>
        <v>-55885.40959505138</v>
      </c>
      <c r="I23" s="1562">
        <f>IF('Part III A-Sources of Funds'!$M$32="", 0,-'Part III A-Sources of Funds'!$M$32)</f>
        <v>-55885.40959505138</v>
      </c>
      <c r="J23" s="1562">
        <f>IF('Part III A-Sources of Funds'!$M$32="", 0,-'Part III A-Sources of Funds'!$M$32)</f>
        <v>-55885.40959505138</v>
      </c>
      <c r="K23" s="1562">
        <f>IF('Part III A-Sources of Funds'!$M$32="", 0,-'Part III A-Sources of Funds'!$M$32)</f>
        <v>-55885.40959505138</v>
      </c>
      <c r="M23" s="1455"/>
      <c r="N23" s="1456"/>
    </row>
    <row r="24" spans="1:14" ht="13.35" customHeight="1">
      <c r="A24" s="679" t="s">
        <v>1863</v>
      </c>
      <c r="B24" s="1563">
        <f>IF('Part III A-Sources of Funds'!$M$33="", 0,-'Part III A-Sources of Funds'!$M$33)</f>
        <v>0</v>
      </c>
      <c r="C24" s="1563">
        <f>IF('Part III A-Sources of Funds'!$M$33="", 0,-'Part III A-Sources of Funds'!$M$33)</f>
        <v>0</v>
      </c>
      <c r="D24" s="1563">
        <f>IF('Part III A-Sources of Funds'!$M$33="", 0,-'Part III A-Sources of Funds'!$M$33)</f>
        <v>0</v>
      </c>
      <c r="E24" s="1563">
        <f>IF('Part III A-Sources of Funds'!$M$33="", 0,-'Part III A-Sources of Funds'!$M$33)</f>
        <v>0</v>
      </c>
      <c r="F24" s="1563">
        <f>IF('Part III A-Sources of Funds'!$M$33="", 0,-'Part III A-Sources of Funds'!$M$33)</f>
        <v>0</v>
      </c>
      <c r="G24" s="1563">
        <f>IF('Part III A-Sources of Funds'!$M$33="", 0,-'Part III A-Sources of Funds'!$M$33)</f>
        <v>0</v>
      </c>
      <c r="H24" s="1563">
        <f>IF('Part III A-Sources of Funds'!$M$33="", 0,-'Part III A-Sources of Funds'!$M$33)</f>
        <v>0</v>
      </c>
      <c r="I24" s="1563">
        <f>IF('Part III A-Sources of Funds'!$M$33="", 0,-'Part III A-Sources of Funds'!$M$33)</f>
        <v>0</v>
      </c>
      <c r="J24" s="1563">
        <f>IF('Part III A-Sources of Funds'!$M$33="", 0,-'Part III A-Sources of Funds'!$M$33)</f>
        <v>0</v>
      </c>
      <c r="K24" s="1563">
        <f>IF('Part III A-Sources of Funds'!$M$33="", 0,-'Part III A-Sources of Funds'!$M$33)</f>
        <v>0</v>
      </c>
      <c r="M24" s="1455"/>
      <c r="N24" s="1456"/>
    </row>
    <row r="25" spans="1:14" ht="13.35" customHeight="1">
      <c r="A25" s="679" t="s">
        <v>1864</v>
      </c>
      <c r="B25" s="1563">
        <f>IF('Part III A-Sources of Funds'!$M$34="", 0,-'Part III A-Sources of Funds'!$M$34)</f>
        <v>0</v>
      </c>
      <c r="C25" s="1563">
        <f>IF('Part III A-Sources of Funds'!$M$34="", 0,-'Part III A-Sources of Funds'!$M$34)</f>
        <v>0</v>
      </c>
      <c r="D25" s="1563">
        <f>IF('Part III A-Sources of Funds'!$M$34="", 0,-'Part III A-Sources of Funds'!$M$34)</f>
        <v>0</v>
      </c>
      <c r="E25" s="1563">
        <f>IF('Part III A-Sources of Funds'!$M$34="", 0,-'Part III A-Sources of Funds'!$M$34)</f>
        <v>0</v>
      </c>
      <c r="F25" s="1563">
        <f>IF('Part III A-Sources of Funds'!$M$34="", 0,-'Part III A-Sources of Funds'!$M$34)</f>
        <v>0</v>
      </c>
      <c r="G25" s="1563">
        <f>IF('Part III A-Sources of Funds'!$M$34="", 0,-'Part III A-Sources of Funds'!$M$34)</f>
        <v>0</v>
      </c>
      <c r="H25" s="1563">
        <f>IF('Part III A-Sources of Funds'!$M$34="", 0,-'Part III A-Sources of Funds'!$M$34)</f>
        <v>0</v>
      </c>
      <c r="I25" s="1563">
        <f>IF('Part III A-Sources of Funds'!$M$34="", 0,-'Part III A-Sources of Funds'!$M$34)</f>
        <v>0</v>
      </c>
      <c r="J25" s="1563">
        <f>IF('Part III A-Sources of Funds'!$M$34="", 0,-'Part III A-Sources of Funds'!$M$34)</f>
        <v>0</v>
      </c>
      <c r="K25" s="1563">
        <f>IF('Part III A-Sources of Funds'!$M$34="", 0,-'Part III A-Sources of Funds'!$M$34)</f>
        <v>0</v>
      </c>
      <c r="M25" s="1455"/>
      <c r="N25" s="1456"/>
    </row>
    <row r="26" spans="1:14" ht="13.35" customHeight="1">
      <c r="A26" s="24" t="s">
        <v>2801</v>
      </c>
      <c r="B26" s="1563">
        <f>IF('Part III A-Sources of Funds'!$M$35="", 0,-'Part III A-Sources of Funds'!$M$35)</f>
        <v>0</v>
      </c>
      <c r="C26" s="1563">
        <f>IF('Part III A-Sources of Funds'!$M$35="", 0,-'Part III A-Sources of Funds'!$M$35)</f>
        <v>0</v>
      </c>
      <c r="D26" s="1563">
        <f>IF('Part III A-Sources of Funds'!$M$35="", 0,-'Part III A-Sources of Funds'!$M$35)</f>
        <v>0</v>
      </c>
      <c r="E26" s="1563">
        <f>IF('Part III A-Sources of Funds'!$M$35="", 0,-'Part III A-Sources of Funds'!$M$35)</f>
        <v>0</v>
      </c>
      <c r="F26" s="1563">
        <f>IF('Part III A-Sources of Funds'!$M$35="", 0,-'Part III A-Sources of Funds'!$M$35)</f>
        <v>0</v>
      </c>
      <c r="G26" s="1563">
        <f>IF('Part III A-Sources of Funds'!$M$35="", 0,-'Part III A-Sources of Funds'!$M$35)</f>
        <v>0</v>
      </c>
      <c r="H26" s="1563">
        <f>IF('Part III A-Sources of Funds'!$M$35="", 0,-'Part III A-Sources of Funds'!$M$35)</f>
        <v>0</v>
      </c>
      <c r="I26" s="1563">
        <f>IF('Part III A-Sources of Funds'!$M$35="", 0,-'Part III A-Sources of Funds'!$M$35)</f>
        <v>0</v>
      </c>
      <c r="J26" s="1563">
        <f>IF('Part III A-Sources of Funds'!$M$35="", 0,-'Part III A-Sources of Funds'!$M$35)</f>
        <v>0</v>
      </c>
      <c r="K26" s="1563">
        <f>IF('Part III A-Sources of Funds'!$M$35="", 0,-'Part III A-Sources of Funds'!$M$35)</f>
        <v>0</v>
      </c>
      <c r="M26" s="1455"/>
      <c r="N26" s="1456"/>
    </row>
    <row r="27" spans="1:14" ht="13.35" customHeight="1">
      <c r="A27" s="24" t="s">
        <v>2937</v>
      </c>
      <c r="B27" s="1564"/>
      <c r="C27" s="1564"/>
      <c r="D27" s="1564"/>
      <c r="E27" s="1564"/>
      <c r="F27" s="1564"/>
      <c r="G27" s="1564"/>
      <c r="H27" s="1564"/>
      <c r="I27" s="1564"/>
      <c r="J27" s="1564"/>
      <c r="K27" s="1564"/>
      <c r="M27" s="1455"/>
      <c r="N27" s="1456"/>
    </row>
    <row r="28" spans="1:14" ht="13.35" customHeight="1">
      <c r="A28" s="24" t="s">
        <v>2428</v>
      </c>
      <c r="B28" s="1563">
        <f>-$G$5</f>
        <v>-7500</v>
      </c>
      <c r="C28" s="1563">
        <f t="shared" ref="C28:K28" si="7">+B28</f>
        <v>-7500</v>
      </c>
      <c r="D28" s="1563">
        <f t="shared" si="7"/>
        <v>-7500</v>
      </c>
      <c r="E28" s="1563">
        <f t="shared" si="7"/>
        <v>-7500</v>
      </c>
      <c r="F28" s="1563">
        <f t="shared" si="7"/>
        <v>-7500</v>
      </c>
      <c r="G28" s="1563">
        <f t="shared" si="7"/>
        <v>-7500</v>
      </c>
      <c r="H28" s="1563">
        <f t="shared" si="7"/>
        <v>-7500</v>
      </c>
      <c r="I28" s="1563">
        <f t="shared" si="7"/>
        <v>-7500</v>
      </c>
      <c r="J28" s="1563">
        <f t="shared" si="7"/>
        <v>-7500</v>
      </c>
      <c r="K28" s="1563">
        <f t="shared" si="7"/>
        <v>-7500</v>
      </c>
      <c r="M28" s="1455"/>
      <c r="N28" s="1456"/>
    </row>
    <row r="29" spans="1:14" ht="13.35" customHeight="1">
      <c r="A29" s="24" t="s">
        <v>2266</v>
      </c>
      <c r="B29" s="1565">
        <f>IF('Part III A-Sources of Funds'!$M$37="", 0,-'Part III A-Sources of Funds'!$M$37)</f>
        <v>-13944</v>
      </c>
      <c r="C29" s="1565">
        <v>-1793</v>
      </c>
      <c r="D29" s="1565"/>
      <c r="E29" s="1565"/>
      <c r="F29" s="1565"/>
      <c r="G29" s="1565"/>
      <c r="H29" s="1565"/>
      <c r="I29" s="1565"/>
      <c r="J29" s="1565"/>
      <c r="K29" s="1565"/>
      <c r="M29" s="1455"/>
      <c r="N29" s="1456"/>
    </row>
    <row r="30" spans="1:14" ht="13.35" customHeight="1">
      <c r="A30" s="24" t="s">
        <v>2429</v>
      </c>
      <c r="B30" s="25">
        <f t="shared" ref="B30:K30" si="8">SUM(B22:B29)</f>
        <v>55351.49040494865</v>
      </c>
      <c r="C30" s="25">
        <f t="shared" si="8"/>
        <v>64593.398404948472</v>
      </c>
      <c r="D30" s="25">
        <f t="shared" si="8"/>
        <v>63252.860064948531</v>
      </c>
      <c r="E30" s="25">
        <f t="shared" si="8"/>
        <v>59884.720523148542</v>
      </c>
      <c r="F30" s="25">
        <f t="shared" si="8"/>
        <v>56272.491642462577</v>
      </c>
      <c r="G30" s="25">
        <f t="shared" si="8"/>
        <v>52405.340839671444</v>
      </c>
      <c r="H30" s="25">
        <f t="shared" si="8"/>
        <v>48273.079555998112</v>
      </c>
      <c r="I30" s="25">
        <f t="shared" si="8"/>
        <v>43865.151357880204</v>
      </c>
      <c r="J30" s="25">
        <f t="shared" si="8"/>
        <v>39169.619656366114</v>
      </c>
      <c r="K30" s="26">
        <f t="shared" si="8"/>
        <v>34174.155033204261</v>
      </c>
      <c r="M30" s="1455"/>
      <c r="N30" s="1456"/>
    </row>
    <row r="31" spans="1:14" ht="13.35" customHeight="1">
      <c r="A31" s="24" t="str">
        <f>IF('Part III A-Sources of Funds'!$E$32 = "Neither", "", "DCR Mortgage A")</f>
        <v>DCR Mortgage A</v>
      </c>
      <c r="B31" s="27">
        <f>IF(B23=0,"",-B22/B23)</f>
        <v>2.3741599276342931</v>
      </c>
      <c r="C31" s="27">
        <f t="shared" ref="C31:K31" si="9">IF(C23=0,"",-C22/C23)</f>
        <v>2.3221053391275683</v>
      </c>
      <c r="D31" s="27">
        <f t="shared" si="9"/>
        <v>2.2660345621089202</v>
      </c>
      <c r="E31" s="27">
        <f t="shared" si="9"/>
        <v>2.2057658879378672</v>
      </c>
      <c r="F31" s="27">
        <f t="shared" si="9"/>
        <v>2.1411295381846784</v>
      </c>
      <c r="G31" s="27">
        <f t="shared" si="9"/>
        <v>2.0719316772257499</v>
      </c>
      <c r="H31" s="27">
        <f t="shared" si="9"/>
        <v>1.99798999345505</v>
      </c>
      <c r="I31" s="27">
        <f t="shared" si="9"/>
        <v>1.9191155926041303</v>
      </c>
      <c r="J31" s="27">
        <f t="shared" si="9"/>
        <v>1.8350948842378831</v>
      </c>
      <c r="K31" s="28">
        <f t="shared" si="9"/>
        <v>1.7457072487287359</v>
      </c>
      <c r="M31" s="1455"/>
      <c r="N31" s="1456"/>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55"/>
      <c r="N32" s="1456"/>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55"/>
      <c r="N33" s="1456"/>
    </row>
    <row r="34" spans="1:14" ht="13.35" customHeight="1">
      <c r="A34" s="24" t="s">
        <v>2802</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55"/>
      <c r="N34" s="1456"/>
    </row>
    <row r="35" spans="1:14" ht="13.35" customHeight="1">
      <c r="A35" s="24" t="s">
        <v>2947</v>
      </c>
      <c r="B35" s="378">
        <f>IF(OR(B20="Choose mgt fee",B20="Choose One!"),"",(B14+B15+B16+B17+B18) / -(B19+B20+B21))</f>
        <v>1.2210659344504295</v>
      </c>
      <c r="C35" s="378">
        <f t="shared" ref="C35:K35" si="13">IF(OR(C20="Choose mgt fee",C20="Choose One!"),"",(C14+C15+C16+C17+C18) / -(C19+C20+C21))</f>
        <v>1.2100705516092218</v>
      </c>
      <c r="D35" s="378">
        <f t="shared" si="13"/>
        <v>1.1991676661955133</v>
      </c>
      <c r="E35" s="378">
        <f t="shared" si="13"/>
        <v>1.188355352444644</v>
      </c>
      <c r="F35" s="378">
        <f t="shared" si="13"/>
        <v>1.1776336314198765</v>
      </c>
      <c r="G35" s="378">
        <f t="shared" si="13"/>
        <v>1.1670007605807466</v>
      </c>
      <c r="H35" s="378">
        <f t="shared" si="13"/>
        <v>1.1564567947896158</v>
      </c>
      <c r="I35" s="378">
        <f t="shared" si="13"/>
        <v>1.1460017075134605</v>
      </c>
      <c r="J35" s="378">
        <f t="shared" si="13"/>
        <v>1.1356338956068988</v>
      </c>
      <c r="K35" s="379">
        <f t="shared" si="13"/>
        <v>1.1253519114800574</v>
      </c>
      <c r="M35" s="1455"/>
      <c r="N35" s="1456"/>
    </row>
    <row r="36" spans="1:14" ht="13.35" customHeight="1">
      <c r="A36" s="679" t="s">
        <v>379</v>
      </c>
      <c r="B36" s="1566">
        <f>IF('Part III A-Sources of Funds'!$H$32="","",-FV('Part III A-Sources of Funds'!$J$32/12,12,B23/12,'Part III A-Sources of Funds'!$H$32))</f>
        <v>692889.33119493467</v>
      </c>
      <c r="C36" s="1566">
        <f>IF('Part III A-Sources of Funds'!$H$32="","",-FV('Part III A-Sources of Funds'!$J$32/12,12,C23/12,B36))</f>
        <v>685264.63156700926</v>
      </c>
      <c r="D36" s="1566">
        <f>IF('Part III A-Sources of Funds'!$H$32="","",-FV('Part III A-Sources of Funds'!$J$32/12,12,D23/12,C36))</f>
        <v>677088.74178647669</v>
      </c>
      <c r="E36" s="1566">
        <f>IF('Part III A-Sources of Funds'!$H$32="","",-FV('Part III A-Sources of Funds'!$J$32/12,12,E23/12,D36))</f>
        <v>668321.81627263769</v>
      </c>
      <c r="F36" s="1566">
        <f>IF('Part III A-Sources of Funds'!$H$32="","",-FV('Part III A-Sources of Funds'!$J$32/12,12,F23/12,E36))</f>
        <v>658921.12900454272</v>
      </c>
      <c r="G36" s="1566">
        <f>IF('Part III A-Sources of Funds'!$H$32="","",-FV('Part III A-Sources of Funds'!$J$32/12,12,G23/12,F36))</f>
        <v>648840.86529373296</v>
      </c>
      <c r="H36" s="1566">
        <f>IF('Part III A-Sources of Funds'!$H$32="","",-FV('Part III A-Sources of Funds'!$J$32/12,12,H23/12,G36))</f>
        <v>638031.89850421657</v>
      </c>
      <c r="I36" s="1566">
        <f>IF('Part III A-Sources of Funds'!$H$32="","",-FV('Part III A-Sources of Funds'!$J$32/12,12,I23/12,H36))</f>
        <v>626441.5506315137</v>
      </c>
      <c r="J36" s="1566">
        <f>IF('Part III A-Sources of Funds'!$H$32="","",-FV('Part III A-Sources of Funds'!$J$32/12,12,J23/12,I36))</f>
        <v>614013.33557394124</v>
      </c>
      <c r="K36" s="1566">
        <f>IF('Part III A-Sources of Funds'!$H$32="","",-FV('Part III A-Sources of Funds'!$J$32/12,12,K23/12,J36))</f>
        <v>600686.68384495808</v>
      </c>
      <c r="M36" s="1455"/>
      <c r="N36" s="1456"/>
    </row>
    <row r="37" spans="1:14" ht="13.35" customHeight="1">
      <c r="A37" s="679" t="s">
        <v>380</v>
      </c>
      <c r="B37" s="1563">
        <f>IF('Part III A-Sources of Funds'!$H$33="","",-FV('Part III A-Sources of Funds'!$J$33/12,12,B24/12,'Part III A-Sources of Funds'!$H$33))</f>
        <v>257994.42170829503</v>
      </c>
      <c r="C37" s="1563">
        <f>IF('Part III A-Sources of Funds'!$H$33="","",-FV('Part III A-Sources of Funds'!$J$33/12,12,C24/12,B37))</f>
        <v>263201.8728798987</v>
      </c>
      <c r="D37" s="1563">
        <f>IF('Part III A-Sources of Funds'!$H$33="","",-FV('Part III A-Sources of Funds'!$J$33/12,12,D24/12,C37))</f>
        <v>268514.43309814407</v>
      </c>
      <c r="E37" s="1563">
        <f>IF('Part III A-Sources of Funds'!$H$33="","",-FV('Part III A-Sources of Funds'!$J$33/12,12,E24/12,D37))</f>
        <v>273934.22392141388</v>
      </c>
      <c r="F37" s="1563">
        <f>IF('Part III A-Sources of Funds'!$H$33="","",-FV('Part III A-Sources of Funds'!$J$33/12,12,F24/12,E37))</f>
        <v>279463.40973037994</v>
      </c>
      <c r="G37" s="1563">
        <f>IF('Part III A-Sources of Funds'!$H$33="","",-FV('Part III A-Sources of Funds'!$J$33/12,12,G24/12,F37))</f>
        <v>285104.19859234325</v>
      </c>
      <c r="H37" s="1563">
        <f>IF('Part III A-Sources of Funds'!$H$33="","",-FV('Part III A-Sources of Funds'!$J$33/12,12,H24/12,G37))</f>
        <v>290858.8431430207</v>
      </c>
      <c r="I37" s="1563">
        <f>IF('Part III A-Sources of Funds'!$H$33="","",-FV('Part III A-Sources of Funds'!$J$33/12,12,I24/12,H37))</f>
        <v>296729.64148612961</v>
      </c>
      <c r="J37" s="1563">
        <f>IF('Part III A-Sources of Funds'!$H$33="","",-FV('Part III A-Sources of Funds'!$J$33/12,12,J24/12,I37))</f>
        <v>302718.93811113021</v>
      </c>
      <c r="K37" s="1563">
        <f>IF('Part III A-Sources of Funds'!$H$33="","",-FV('Part III A-Sources of Funds'!$J$33/12,12,K24/12,J37))</f>
        <v>308829.12482949183</v>
      </c>
      <c r="M37" s="1455"/>
      <c r="N37" s="1456"/>
    </row>
    <row r="38" spans="1:14" ht="13.35" customHeight="1">
      <c r="A38" s="679" t="s">
        <v>381</v>
      </c>
      <c r="B38" s="1563" t="str">
        <f>IF('Part III A-Sources of Funds'!$H$34="","",-FV('Part III A-Sources of Funds'!$J$34/12,12,B25/12,'Part III A-Sources of Funds'!$H$34))</f>
        <v/>
      </c>
      <c r="C38" s="1563" t="str">
        <f>IF('Part III A-Sources of Funds'!$H$34="","",-FV('Part III A-Sources of Funds'!$J$34/12,12,C25/12,B38))</f>
        <v/>
      </c>
      <c r="D38" s="1563" t="str">
        <f>IF('Part III A-Sources of Funds'!$H$34="","",-FV('Part III A-Sources of Funds'!$J$34/12,12,D25/12,C38))</f>
        <v/>
      </c>
      <c r="E38" s="1563" t="str">
        <f>IF('Part III A-Sources of Funds'!$H$34="","",-FV('Part III A-Sources of Funds'!$J$34/12,12,E25/12,D38))</f>
        <v/>
      </c>
      <c r="F38" s="1563" t="str">
        <f>IF('Part III A-Sources of Funds'!$H$34="","",-FV('Part III A-Sources of Funds'!$J$34/12,12,F25/12,E38))</f>
        <v/>
      </c>
      <c r="G38" s="1563" t="str">
        <f>IF('Part III A-Sources of Funds'!$H$34="","",-FV('Part III A-Sources of Funds'!$J$34/12,12,G25/12,F38))</f>
        <v/>
      </c>
      <c r="H38" s="1563" t="str">
        <f>IF('Part III A-Sources of Funds'!$H$34="","",-FV('Part III A-Sources of Funds'!$J$34/12,12,H25/12,G38))</f>
        <v/>
      </c>
      <c r="I38" s="1563" t="str">
        <f>IF('Part III A-Sources of Funds'!$H$34="","",-FV('Part III A-Sources of Funds'!$J$34/12,12,I25/12,H38))</f>
        <v/>
      </c>
      <c r="J38" s="1563" t="str">
        <f>IF('Part III A-Sources of Funds'!$H$34="","",-FV('Part III A-Sources of Funds'!$J$34/12,12,J25/12,I38))</f>
        <v/>
      </c>
      <c r="K38" s="1563" t="str">
        <f>IF('Part III A-Sources of Funds'!$H$34="","",-FV('Part III A-Sources of Funds'!$J$34/12,12,K25/12,J38))</f>
        <v/>
      </c>
      <c r="M38" s="1455"/>
      <c r="N38" s="1456"/>
    </row>
    <row r="39" spans="1:14" ht="13.35" customHeight="1">
      <c r="A39" s="24" t="s">
        <v>2803</v>
      </c>
      <c r="B39" s="1563" t="str">
        <f>IF('Part III A-Sources of Funds'!$H$35="","",-FV('Part III A-Sources of Funds'!$J$35/12,12,B24/12,'Part III A-Sources of Funds'!$H$35))</f>
        <v/>
      </c>
      <c r="C39" s="1563" t="str">
        <f>IF('Part III A-Sources of Funds'!$H$35="","",-FV('Part III A-Sources of Funds'!$J$35/12,12,C26/12,B39))</f>
        <v/>
      </c>
      <c r="D39" s="1563" t="str">
        <f>IF('Part III A-Sources of Funds'!$H$35="","",-FV('Part III A-Sources of Funds'!$J$35/12,12,D26/12,C39))</f>
        <v/>
      </c>
      <c r="E39" s="1563" t="str">
        <f>IF('Part III A-Sources of Funds'!$H$35="","",-FV('Part III A-Sources of Funds'!$J$35/12,12,E26/12,D39))</f>
        <v/>
      </c>
      <c r="F39" s="1563" t="str">
        <f>IF('Part III A-Sources of Funds'!$H$35="","",-FV('Part III A-Sources of Funds'!$J$35/12,12,F26/12,E39))</f>
        <v/>
      </c>
      <c r="G39" s="1563" t="str">
        <f>IF('Part III A-Sources of Funds'!$H$35="","",-FV('Part III A-Sources of Funds'!$J$35/12,12,G26/12,F39))</f>
        <v/>
      </c>
      <c r="H39" s="1563" t="str">
        <f>IF('Part III A-Sources of Funds'!$H$35="","",-FV('Part III A-Sources of Funds'!$J$35/12,12,H26/12,G39))</f>
        <v/>
      </c>
      <c r="I39" s="1563" t="str">
        <f>IF('Part III A-Sources of Funds'!$H$35="","",-FV('Part III A-Sources of Funds'!$J$35/12,12,I26/12,H39))</f>
        <v/>
      </c>
      <c r="J39" s="1563" t="str">
        <f>IF('Part III A-Sources of Funds'!$H$35="","",-FV('Part III A-Sources of Funds'!$J$35/12,12,J26/12,I39))</f>
        <v/>
      </c>
      <c r="K39" s="1563" t="str">
        <f>IF('Part III A-Sources of Funds'!$H$35="","",-FV('Part III A-Sources of Funds'!$J$35/12,12,K26/12,J39))</f>
        <v/>
      </c>
      <c r="M39" s="1455"/>
      <c r="N39" s="1456"/>
    </row>
    <row r="40" spans="1:14" ht="13.35" customHeight="1">
      <c r="A40" s="679" t="s">
        <v>382</v>
      </c>
      <c r="B40" s="1563">
        <f>'Part III A-Sources of Funds'!$H$36</f>
        <v>1100000</v>
      </c>
      <c r="C40" s="1563">
        <f>B40</f>
        <v>1100000</v>
      </c>
      <c r="D40" s="1563">
        <f t="shared" ref="D40:K40" si="14">C40</f>
        <v>1100000</v>
      </c>
      <c r="E40" s="1563">
        <f t="shared" si="14"/>
        <v>1100000</v>
      </c>
      <c r="F40" s="1563">
        <f t="shared" si="14"/>
        <v>1100000</v>
      </c>
      <c r="G40" s="1563">
        <f t="shared" si="14"/>
        <v>1100000</v>
      </c>
      <c r="H40" s="1563">
        <f t="shared" si="14"/>
        <v>1100000</v>
      </c>
      <c r="I40" s="1563">
        <f t="shared" si="14"/>
        <v>1100000</v>
      </c>
      <c r="J40" s="1563">
        <f t="shared" si="14"/>
        <v>1100000</v>
      </c>
      <c r="K40" s="1563">
        <f t="shared" si="14"/>
        <v>1100000</v>
      </c>
      <c r="M40" s="1455"/>
      <c r="N40" s="1456"/>
    </row>
    <row r="41" spans="1:14" ht="13.35" customHeight="1">
      <c r="A41" s="29" t="s">
        <v>2299</v>
      </c>
      <c r="B41" s="1565">
        <f>IF('Part III A-Sources of Funds'!$H$37="","",-FV('Part III A-Sources of Funds'!$J$37/12,12,B29/12,'Part III A-Sources of Funds'!$H$37))</f>
        <v>1717.5305931824369</v>
      </c>
      <c r="C41" s="1565">
        <f>IF('Part III A-Sources of Funds'!$H$37="","",-FV('Part III A-Sources of Funds'!$J$37/12,12,C29/12,B41))</f>
        <v>-0.14166097992847426</v>
      </c>
      <c r="D41" s="1565">
        <f>IF('Part III A-Sources of Funds'!$H$37="","",-FV('Part III A-Sources of Funds'!$J$37/12,12,D29/12,C41))</f>
        <v>-0.15341877139640619</v>
      </c>
      <c r="E41" s="1565">
        <f>IF('Part III A-Sources of Funds'!$H$37="","",-FV('Part III A-Sources of Funds'!$J$37/12,12,E29/12,D41))</f>
        <v>-0.16615245375732204</v>
      </c>
      <c r="F41" s="1565">
        <f>IF('Part III A-Sources of Funds'!$H$37="","",-FV('Part III A-Sources of Funds'!$J$37/12,12,F29/12,E41))</f>
        <v>-0.1799430254740374</v>
      </c>
      <c r="G41" s="1565">
        <f>IF('Part III A-Sources of Funds'!$H$37="","",-FV('Part III A-Sources of Funds'!$J$37/12,12,G29/12,F41))</f>
        <v>-0.19487820784183371</v>
      </c>
      <c r="H41" s="1565">
        <f>IF('Part III A-Sources of Funds'!$H$37="","",-FV('Part III A-Sources of Funds'!$J$37/12,12,H29/12,G41))</f>
        <v>-0.21105300298023733</v>
      </c>
      <c r="I41" s="1565">
        <f>IF('Part III A-Sources of Funds'!$H$37="","",-FV('Part III A-Sources of Funds'!$J$37/12,12,I29/12,H41))</f>
        <v>-0.22857029813784097</v>
      </c>
      <c r="J41" s="1565">
        <f>IF('Part III A-Sources of Funds'!$H$37="","",-FV('Part III A-Sources of Funds'!$J$37/12,12,J29/12,I41))</f>
        <v>-0.24754152015412728</v>
      </c>
      <c r="K41" s="1565">
        <f>IF('Part III A-Sources of Funds'!$H$37="","",-FV('Part III A-Sources of Funds'!$J$37/12,12,K29/12,J41))</f>
        <v>-0.26808734424130115</v>
      </c>
      <c r="M41" s="1458"/>
      <c r="N41" s="1459"/>
    </row>
    <row r="42" spans="1:14" ht="4.3499999999999996" customHeight="1">
      <c r="B42" s="20"/>
      <c r="C42" s="20"/>
      <c r="D42" s="20"/>
      <c r="E42" s="20"/>
      <c r="F42" s="20"/>
      <c r="G42" s="20"/>
      <c r="H42" s="20"/>
      <c r="I42" s="20"/>
      <c r="J42" s="20"/>
      <c r="K42" s="20"/>
    </row>
    <row r="43" spans="1:14" ht="14.45" customHeight="1">
      <c r="A43" s="16" t="s">
        <v>787</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385</v>
      </c>
      <c r="N43" s="976"/>
    </row>
    <row r="44" spans="1:14" ht="13.35" customHeight="1">
      <c r="A44" s="21" t="s">
        <v>684</v>
      </c>
      <c r="B44" s="22">
        <f t="shared" ref="B44:K44" si="16">$B$14*(1+$B$5)^(B43-1)</f>
        <v>955057.74817749229</v>
      </c>
      <c r="C44" s="22">
        <f t="shared" si="16"/>
        <v>974158.90314104198</v>
      </c>
      <c r="D44" s="22">
        <f t="shared" si="16"/>
        <v>993642.08120386291</v>
      </c>
      <c r="E44" s="22">
        <f t="shared" si="16"/>
        <v>1013514.9228279402</v>
      </c>
      <c r="F44" s="22">
        <f t="shared" si="16"/>
        <v>1033785.221284499</v>
      </c>
      <c r="G44" s="22">
        <f t="shared" si="16"/>
        <v>1054460.9257101887</v>
      </c>
      <c r="H44" s="22">
        <f t="shared" si="16"/>
        <v>1075550.1442243927</v>
      </c>
      <c r="I44" s="22">
        <f t="shared" si="16"/>
        <v>1097061.1471088806</v>
      </c>
      <c r="J44" s="22">
        <f t="shared" si="16"/>
        <v>1119002.3700510582</v>
      </c>
      <c r="K44" s="23">
        <f t="shared" si="16"/>
        <v>1141382.4174520792</v>
      </c>
      <c r="M44" s="1453"/>
      <c r="N44" s="1454"/>
    </row>
    <row r="45" spans="1:14" ht="13.35" customHeight="1">
      <c r="A45" s="24" t="s">
        <v>2497</v>
      </c>
      <c r="B45" s="25">
        <f t="shared" ref="B45:K45" si="17">$B$15*(1+$B$5)^(B43-1)</f>
        <v>5546.4246109761452</v>
      </c>
      <c r="C45" s="25">
        <f t="shared" si="17"/>
        <v>5657.3531031956663</v>
      </c>
      <c r="D45" s="25">
        <f t="shared" si="17"/>
        <v>5770.5001652595811</v>
      </c>
      <c r="E45" s="25">
        <f t="shared" si="17"/>
        <v>5885.910168564772</v>
      </c>
      <c r="F45" s="25">
        <f t="shared" si="17"/>
        <v>6003.6283719360681</v>
      </c>
      <c r="G45" s="25">
        <f t="shared" si="17"/>
        <v>6123.7009393747876</v>
      </c>
      <c r="H45" s="25">
        <f t="shared" si="17"/>
        <v>6246.1749581622844</v>
      </c>
      <c r="I45" s="25">
        <f t="shared" si="17"/>
        <v>6371.0984573255309</v>
      </c>
      <c r="J45" s="25">
        <f t="shared" si="17"/>
        <v>6498.5204264720405</v>
      </c>
      <c r="K45" s="26">
        <f t="shared" si="17"/>
        <v>6628.4908350014812</v>
      </c>
      <c r="M45" s="1455"/>
      <c r="N45" s="1456"/>
    </row>
    <row r="46" spans="1:14" ht="13.35" customHeight="1">
      <c r="A46" s="24" t="s">
        <v>685</v>
      </c>
      <c r="B46" s="25">
        <f t="shared" ref="B46:K46" si="18">-(B44+B45)*$B$8</f>
        <v>-67242.292095192795</v>
      </c>
      <c r="C46" s="25">
        <f t="shared" si="18"/>
        <v>-68587.137937096646</v>
      </c>
      <c r="D46" s="25">
        <f t="shared" si="18"/>
        <v>-69958.880695838583</v>
      </c>
      <c r="E46" s="25">
        <f t="shared" si="18"/>
        <v>-71358.058309755361</v>
      </c>
      <c r="F46" s="25">
        <f t="shared" si="18"/>
        <v>-72785.219475950464</v>
      </c>
      <c r="G46" s="25">
        <f t="shared" si="18"/>
        <v>-74240.923865469449</v>
      </c>
      <c r="H46" s="25">
        <f t="shared" si="18"/>
        <v>-75725.74234277886</v>
      </c>
      <c r="I46" s="25">
        <f t="shared" si="18"/>
        <v>-77240.257189634431</v>
      </c>
      <c r="J46" s="25">
        <f t="shared" si="18"/>
        <v>-78785.062333427122</v>
      </c>
      <c r="K46" s="26">
        <f t="shared" si="18"/>
        <v>-80360.763580095663</v>
      </c>
      <c r="M46" s="1455"/>
      <c r="N46" s="1456"/>
    </row>
    <row r="47" spans="1:14" ht="13.35" customHeight="1">
      <c r="A47" s="24" t="s">
        <v>4012</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55"/>
      <c r="N47" s="1456"/>
    </row>
    <row r="48" spans="1:14" ht="13.35" customHeight="1">
      <c r="A48" s="24" t="s">
        <v>4013</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55"/>
      <c r="N48" s="1456"/>
    </row>
    <row r="49" spans="1:14" ht="13.35" customHeight="1">
      <c r="A49" s="24" t="s">
        <v>3218</v>
      </c>
      <c r="B49" s="25">
        <f t="shared" ref="B49:K49" si="19">$B$19*(1+$B$6)^(B43-1)</f>
        <v>-704702.71225478046</v>
      </c>
      <c r="C49" s="25">
        <f t="shared" si="19"/>
        <v>-725843.79362242389</v>
      </c>
      <c r="D49" s="25">
        <f t="shared" si="19"/>
        <v>-747619.10743109649</v>
      </c>
      <c r="E49" s="25">
        <f t="shared" si="19"/>
        <v>-770047.68065402936</v>
      </c>
      <c r="F49" s="25">
        <f t="shared" si="19"/>
        <v>-793149.1110736503</v>
      </c>
      <c r="G49" s="25">
        <f t="shared" si="19"/>
        <v>-816943.58440585982</v>
      </c>
      <c r="H49" s="25">
        <f t="shared" si="19"/>
        <v>-841451.89193803549</v>
      </c>
      <c r="I49" s="25">
        <f t="shared" si="19"/>
        <v>-866695.44869617652</v>
      </c>
      <c r="J49" s="25">
        <f t="shared" si="19"/>
        <v>-892696.31215706188</v>
      </c>
      <c r="K49" s="26">
        <f t="shared" si="19"/>
        <v>-919477.20152177371</v>
      </c>
      <c r="M49" s="1455"/>
      <c r="N49" s="1456"/>
    </row>
    <row r="50" spans="1:14" ht="13.35" customHeight="1">
      <c r="A50" s="24" t="s">
        <v>2471</v>
      </c>
      <c r="B50" s="25">
        <f>IF(AND('Part VII-Pro Forma'!$G$8="Yes",'Part VII-Pro Forma'!$G$9="Yes"),"Choose One!",IF('Part VII-Pro Forma'!$G$8="Yes",ROUND((-$K$8*(1+'Part VII-Pro Forma'!$B$6)^('Part VII-Pro Forma'!B43-1)),),IF('Part VII-Pro Forma'!$G$9="Yes",ROUND((-(SUM(B44:B47)*'Part VII-Pro Forma'!$K$9)),),"Choose mgt fee")))</f>
        <v>-53602</v>
      </c>
      <c r="C50" s="25">
        <f>IF(AND('Part VII-Pro Forma'!$G$8="Yes",'Part VII-Pro Forma'!$G$9="Yes"),"Choose One!",IF('Part VII-Pro Forma'!$G$8="Yes",ROUND((-$K$8*(1+'Part VII-Pro Forma'!$B$6)^('Part VII-Pro Forma'!C43-1)),),IF('Part VII-Pro Forma'!$G$9="Yes",ROUND((-(SUM(C44:C47)*'Part VII-Pro Forma'!$K$9)),),"Choose mgt fee")))</f>
        <v>-54674</v>
      </c>
      <c r="D50" s="25">
        <f>IF(AND('Part VII-Pro Forma'!$G$8="Yes",'Part VII-Pro Forma'!$G$9="Yes"),"Choose One!",IF('Part VII-Pro Forma'!$G$8="Yes",ROUND((-$K$8*(1+'Part VII-Pro Forma'!$B$6)^('Part VII-Pro Forma'!D43-1)),),IF('Part VII-Pro Forma'!$G$9="Yes",ROUND((-(SUM(D44:D47)*'Part VII-Pro Forma'!$K$9)),),"Choose mgt fee")))</f>
        <v>-55767</v>
      </c>
      <c r="E50" s="25">
        <f>IF(AND('Part VII-Pro Forma'!$G$8="Yes",'Part VII-Pro Forma'!$G$9="Yes"),"Choose One!",IF('Part VII-Pro Forma'!$G$8="Yes",ROUND((-$K$8*(1+'Part VII-Pro Forma'!$B$6)^('Part VII-Pro Forma'!E43-1)),),IF('Part VII-Pro Forma'!$G$9="Yes",ROUND((-(SUM(E44:E47)*'Part VII-Pro Forma'!$K$9)),),"Choose mgt fee")))</f>
        <v>-56883</v>
      </c>
      <c r="F50" s="25">
        <f>IF(AND('Part VII-Pro Forma'!$G$8="Yes",'Part VII-Pro Forma'!$G$9="Yes"),"Choose One!",IF('Part VII-Pro Forma'!$G$8="Yes",ROUND((-$K$8*(1+'Part VII-Pro Forma'!$B$6)^('Part VII-Pro Forma'!F43-1)),),IF('Part VII-Pro Forma'!$G$9="Yes",ROUND((-(SUM(F44:F47)*'Part VII-Pro Forma'!$K$9)),),"Choose mgt fee")))</f>
        <v>-58020</v>
      </c>
      <c r="G50" s="25">
        <f>IF(AND('Part VII-Pro Forma'!$G$8="Yes",'Part VII-Pro Forma'!$G$9="Yes"),"Choose One!",IF('Part VII-Pro Forma'!$G$8="Yes",ROUND((-$K$8*(1+'Part VII-Pro Forma'!$B$6)^('Part VII-Pro Forma'!G43-1)),),IF('Part VII-Pro Forma'!$G$9="Yes",ROUND((-(SUM(G44:G47)*'Part VII-Pro Forma'!$K$9)),),"Choose mgt fee")))</f>
        <v>-59181</v>
      </c>
      <c r="H50" s="25">
        <f>IF(AND('Part VII-Pro Forma'!$G$8="Yes",'Part VII-Pro Forma'!$G$9="Yes"),"Choose One!",IF('Part VII-Pro Forma'!$G$8="Yes",ROUND((-$K$8*(1+'Part VII-Pro Forma'!$B$6)^('Part VII-Pro Forma'!H43-1)),),IF('Part VII-Pro Forma'!$G$9="Yes",ROUND((-(SUM(H44:H47)*'Part VII-Pro Forma'!$K$9)),),"Choose mgt fee")))</f>
        <v>-60364</v>
      </c>
      <c r="I50" s="25">
        <f>IF(AND('Part VII-Pro Forma'!$G$8="Yes",'Part VII-Pro Forma'!$G$9="Yes"),"Choose One!",IF('Part VII-Pro Forma'!$G$8="Yes",ROUND((-$K$8*(1+'Part VII-Pro Forma'!$B$6)^('Part VII-Pro Forma'!I43-1)),),IF('Part VII-Pro Forma'!$G$9="Yes",ROUND((-(SUM(I44:I47)*'Part VII-Pro Forma'!$K$9)),),"Choose mgt fee")))</f>
        <v>-61572</v>
      </c>
      <c r="J50" s="25">
        <f>IF(AND('Part VII-Pro Forma'!$G$8="Yes",'Part VII-Pro Forma'!$G$9="Yes"),"Choose One!",IF('Part VII-Pro Forma'!$G$8="Yes",ROUND((-$K$8*(1+'Part VII-Pro Forma'!$B$6)^('Part VII-Pro Forma'!J43-1)),),IF('Part VII-Pro Forma'!$G$9="Yes",ROUND((-(SUM(J44:J47)*'Part VII-Pro Forma'!$K$9)),),"Choose mgt fee")))</f>
        <v>-62803</v>
      </c>
      <c r="K50" s="25">
        <f>IF(AND('Part VII-Pro Forma'!$G$8="Yes",'Part VII-Pro Forma'!$G$9="Yes"),"Choose One!",IF('Part VII-Pro Forma'!$G$8="Yes",ROUND((-$K$8*(1+'Part VII-Pro Forma'!$B$6)^('Part VII-Pro Forma'!K43-1)),),IF('Part VII-Pro Forma'!$G$9="Yes",ROUND((-(SUM(K44:K47)*'Part VII-Pro Forma'!$K$9)),),"Choose mgt fee")))</f>
        <v>-64059</v>
      </c>
      <c r="M50" s="1455"/>
      <c r="N50" s="1456"/>
    </row>
    <row r="51" spans="1:14" ht="13.35" customHeight="1">
      <c r="A51" s="24" t="s">
        <v>2376</v>
      </c>
      <c r="B51" s="25">
        <f t="shared" ref="B51:K51" si="20">$B$21*(1+$B$7)^(B43-1)</f>
        <v>-42803.736682110277</v>
      </c>
      <c r="C51" s="25">
        <f t="shared" si="20"/>
        <v>-44087.848782573587</v>
      </c>
      <c r="D51" s="25">
        <f t="shared" si="20"/>
        <v>-45410.484246050786</v>
      </c>
      <c r="E51" s="25">
        <f t="shared" si="20"/>
        <v>-46772.798773432311</v>
      </c>
      <c r="F51" s="25">
        <f t="shared" si="20"/>
        <v>-48175.982736635284</v>
      </c>
      <c r="G51" s="25">
        <f t="shared" si="20"/>
        <v>-49621.262218734344</v>
      </c>
      <c r="H51" s="25">
        <f t="shared" si="20"/>
        <v>-51109.900085296365</v>
      </c>
      <c r="I51" s="25">
        <f t="shared" si="20"/>
        <v>-52643.19708785526</v>
      </c>
      <c r="J51" s="25">
        <f t="shared" si="20"/>
        <v>-54222.493000490918</v>
      </c>
      <c r="K51" s="26">
        <f t="shared" si="20"/>
        <v>-55849.167790505642</v>
      </c>
      <c r="M51" s="1455"/>
      <c r="N51" s="1456"/>
    </row>
    <row r="52" spans="1:14" ht="13.35" customHeight="1">
      <c r="A52" s="24" t="s">
        <v>2265</v>
      </c>
      <c r="B52" s="25">
        <f t="shared" ref="B52:K52" si="21">SUM(B44:B51)</f>
        <v>92253.43175638486</v>
      </c>
      <c r="C52" s="25">
        <f t="shared" si="21"/>
        <v>86623.475902143517</v>
      </c>
      <c r="D52" s="25">
        <f t="shared" si="21"/>
        <v>80657.108996136609</v>
      </c>
      <c r="E52" s="25">
        <f t="shared" si="21"/>
        <v>74339.295259287886</v>
      </c>
      <c r="F52" s="25">
        <f t="shared" si="21"/>
        <v>67658.536370199028</v>
      </c>
      <c r="G52" s="25">
        <f t="shared" si="21"/>
        <v>60597.856159499868</v>
      </c>
      <c r="H52" s="25">
        <f t="shared" si="21"/>
        <v>53144.784816444269</v>
      </c>
      <c r="I52" s="25">
        <f t="shared" si="21"/>
        <v>45281.342592539782</v>
      </c>
      <c r="J52" s="25">
        <f t="shared" si="21"/>
        <v>36994.022986550255</v>
      </c>
      <c r="K52" s="26">
        <f t="shared" si="21"/>
        <v>28264.775394705634</v>
      </c>
      <c r="M52" s="1455"/>
      <c r="N52" s="1456"/>
    </row>
    <row r="53" spans="1:14" ht="13.35" customHeight="1">
      <c r="A53" s="24" t="str">
        <f>$A23</f>
        <v>Mortgage A</v>
      </c>
      <c r="B53" s="1562">
        <f>IF('Part III A-Sources of Funds'!$M$32="", 0,-'Part III A-Sources of Funds'!$M$32)</f>
        <v>-55885.40959505138</v>
      </c>
      <c r="C53" s="1562">
        <f>IF('Part III A-Sources of Funds'!$M$32="", 0,-'Part III A-Sources of Funds'!$M$32)</f>
        <v>-55885.40959505138</v>
      </c>
      <c r="D53" s="1562">
        <f>IF('Part III A-Sources of Funds'!$M$32="", 0,-'Part III A-Sources of Funds'!$M$32)</f>
        <v>-55885.40959505138</v>
      </c>
      <c r="E53" s="1562">
        <f>IF('Part III A-Sources of Funds'!$M$32="", 0,-'Part III A-Sources of Funds'!$M$32)</f>
        <v>-55885.40959505138</v>
      </c>
      <c r="F53" s="1562">
        <f>IF('Part III A-Sources of Funds'!$M$32="", 0,-'Part III A-Sources of Funds'!$M$32)</f>
        <v>-55885.40959505138</v>
      </c>
      <c r="G53" s="1562">
        <f>IF('Part III A-Sources of Funds'!$M$32="", 0,-'Part III A-Sources of Funds'!$M$32)</f>
        <v>-55885.40959505138</v>
      </c>
      <c r="H53" s="1562">
        <f>IF('Part III A-Sources of Funds'!$M$32="", 0,-'Part III A-Sources of Funds'!$M$32)</f>
        <v>-55885.40959505138</v>
      </c>
      <c r="I53" s="1562">
        <f>IF('Part III A-Sources of Funds'!$M$32="", 0,-'Part III A-Sources of Funds'!$M$32)</f>
        <v>-55885.40959505138</v>
      </c>
      <c r="J53" s="1562">
        <f>IF('Part III A-Sources of Funds'!$M$32="", 0,-'Part III A-Sources of Funds'!$M$32)</f>
        <v>-55885.40959505138</v>
      </c>
      <c r="K53" s="1562">
        <f>IF('Part III A-Sources of Funds'!$M$32="", 0,-'Part III A-Sources of Funds'!$M$32)</f>
        <v>-55885.40959505138</v>
      </c>
      <c r="M53" s="1455"/>
      <c r="N53" s="1456"/>
    </row>
    <row r="54" spans="1:14" ht="13.35" customHeight="1">
      <c r="A54" s="24" t="str">
        <f>$A24</f>
        <v>Mortgage B</v>
      </c>
      <c r="B54" s="1563">
        <f>IF('Part III A-Sources of Funds'!$M$33="", 0,-'Part III A-Sources of Funds'!$M$33)</f>
        <v>0</v>
      </c>
      <c r="C54" s="1563">
        <f>IF('Part III A-Sources of Funds'!$M$33="", 0,-'Part III A-Sources of Funds'!$M$33)</f>
        <v>0</v>
      </c>
      <c r="D54" s="1563">
        <f>IF('Part III A-Sources of Funds'!$M$33="", 0,-'Part III A-Sources of Funds'!$M$33)</f>
        <v>0</v>
      </c>
      <c r="E54" s="1563">
        <f>IF('Part III A-Sources of Funds'!$M$33="", 0,-'Part III A-Sources of Funds'!$M$33)</f>
        <v>0</v>
      </c>
      <c r="F54" s="1563">
        <f>IF('Part III A-Sources of Funds'!$M$33="", 0,-'Part III A-Sources of Funds'!$M$33)</f>
        <v>0</v>
      </c>
      <c r="G54" s="1563">
        <f>IF('Part III A-Sources of Funds'!$M$33="", 0,-'Part III A-Sources of Funds'!$M$33)</f>
        <v>0</v>
      </c>
      <c r="H54" s="1563">
        <f>IF('Part III A-Sources of Funds'!$M$33="", 0,-'Part III A-Sources of Funds'!$M$33)</f>
        <v>0</v>
      </c>
      <c r="I54" s="1563">
        <f>IF('Part III A-Sources of Funds'!$M$33="", 0,-'Part III A-Sources of Funds'!$M$33)</f>
        <v>0</v>
      </c>
      <c r="J54" s="1563">
        <f>IF('Part III A-Sources of Funds'!$M$33="", 0,-'Part III A-Sources of Funds'!$M$33)</f>
        <v>0</v>
      </c>
      <c r="K54" s="1563">
        <f>IF('Part III A-Sources of Funds'!$M$33="", 0,-'Part III A-Sources of Funds'!$M$33)</f>
        <v>0</v>
      </c>
      <c r="M54" s="1455"/>
      <c r="N54" s="1456"/>
    </row>
    <row r="55" spans="1:14" ht="13.35" customHeight="1">
      <c r="A55" s="24" t="str">
        <f>$A25</f>
        <v>Mortgage C</v>
      </c>
      <c r="B55" s="1563">
        <f>IF('Part III A-Sources of Funds'!$M$34="", 0,-'Part III A-Sources of Funds'!$M$34)</f>
        <v>0</v>
      </c>
      <c r="C55" s="1563">
        <f>IF('Part III A-Sources of Funds'!$M$34="", 0,-'Part III A-Sources of Funds'!$M$34)</f>
        <v>0</v>
      </c>
      <c r="D55" s="1563">
        <f>IF('Part III A-Sources of Funds'!$M$34="", 0,-'Part III A-Sources of Funds'!$M$34)</f>
        <v>0</v>
      </c>
      <c r="E55" s="1563">
        <f>IF('Part III A-Sources of Funds'!$M$34="", 0,-'Part III A-Sources of Funds'!$M$34)</f>
        <v>0</v>
      </c>
      <c r="F55" s="1563">
        <f>IF('Part III A-Sources of Funds'!$M$34="", 0,-'Part III A-Sources of Funds'!$M$34)</f>
        <v>0</v>
      </c>
      <c r="G55" s="1563">
        <f>IF('Part III A-Sources of Funds'!$M$34="", 0,-'Part III A-Sources of Funds'!$M$34)</f>
        <v>0</v>
      </c>
      <c r="H55" s="1563">
        <f>IF('Part III A-Sources of Funds'!$M$34="", 0,-'Part III A-Sources of Funds'!$M$34)</f>
        <v>0</v>
      </c>
      <c r="I55" s="1563">
        <f>IF('Part III A-Sources of Funds'!$M$34="", 0,-'Part III A-Sources of Funds'!$M$34)</f>
        <v>0</v>
      </c>
      <c r="J55" s="1563">
        <f>IF('Part III A-Sources of Funds'!$M$34="", 0,-'Part III A-Sources of Funds'!$M$34)</f>
        <v>0</v>
      </c>
      <c r="K55" s="1563">
        <f>IF('Part III A-Sources of Funds'!$M$34="", 0,-'Part III A-Sources of Funds'!$M$34)</f>
        <v>0</v>
      </c>
      <c r="M55" s="1455"/>
      <c r="N55" s="1456"/>
    </row>
    <row r="56" spans="1:14" ht="13.35" customHeight="1">
      <c r="A56" s="24" t="str">
        <f>$A26</f>
        <v>D/S Other Source</v>
      </c>
      <c r="B56" s="1563">
        <f>IF('Part III A-Sources of Funds'!$M$35="", 0,-'Part III A-Sources of Funds'!$M$35)</f>
        <v>0</v>
      </c>
      <c r="C56" s="1563">
        <f>IF('Part III A-Sources of Funds'!$M$35="", 0,-'Part III A-Sources of Funds'!$M$35)</f>
        <v>0</v>
      </c>
      <c r="D56" s="1563">
        <f>IF('Part III A-Sources of Funds'!$M$35="", 0,-'Part III A-Sources of Funds'!$M$35)</f>
        <v>0</v>
      </c>
      <c r="E56" s="1563">
        <f>IF('Part III A-Sources of Funds'!$M$35="", 0,-'Part III A-Sources of Funds'!$M$35)</f>
        <v>0</v>
      </c>
      <c r="F56" s="1563">
        <f>IF('Part III A-Sources of Funds'!$M$35="", 0,-'Part III A-Sources of Funds'!$M$35)</f>
        <v>0</v>
      </c>
      <c r="G56" s="1563">
        <f>IF('Part III A-Sources of Funds'!$M$35="", 0,-'Part III A-Sources of Funds'!$M$35)</f>
        <v>0</v>
      </c>
      <c r="H56" s="1563">
        <f>IF('Part III A-Sources of Funds'!$M$35="", 0,-'Part III A-Sources of Funds'!$M$35)</f>
        <v>0</v>
      </c>
      <c r="I56" s="1563">
        <f>IF('Part III A-Sources of Funds'!$M$35="", 0,-'Part III A-Sources of Funds'!$M$35)</f>
        <v>0</v>
      </c>
      <c r="J56" s="1563">
        <f>IF('Part III A-Sources of Funds'!$M$35="", 0,-'Part III A-Sources of Funds'!$M$35)</f>
        <v>0</v>
      </c>
      <c r="K56" s="1563">
        <f>IF('Part III A-Sources of Funds'!$M$35="", 0,-'Part III A-Sources of Funds'!$M$35)</f>
        <v>0</v>
      </c>
      <c r="M56" s="1455"/>
      <c r="N56" s="1456"/>
    </row>
    <row r="57" spans="1:14" ht="13.35" customHeight="1">
      <c r="A57" s="24" t="s">
        <v>2937</v>
      </c>
      <c r="B57" s="1564"/>
      <c r="C57" s="1564"/>
      <c r="D57" s="1564"/>
      <c r="E57" s="1564"/>
      <c r="F57" s="1564"/>
      <c r="G57" s="1564"/>
      <c r="H57" s="1564"/>
      <c r="I57" s="1564"/>
      <c r="J57" s="1564"/>
      <c r="K57" s="1564"/>
      <c r="M57" s="1455"/>
      <c r="N57" s="1456"/>
    </row>
    <row r="58" spans="1:14" ht="13.35" customHeight="1">
      <c r="A58" s="24" t="s">
        <v>2428</v>
      </c>
      <c r="B58" s="1563">
        <f>+K28</f>
        <v>-7500</v>
      </c>
      <c r="C58" s="1563">
        <f t="shared" ref="C58:K58" si="22">+B58</f>
        <v>-7500</v>
      </c>
      <c r="D58" s="1563">
        <f t="shared" si="22"/>
        <v>-7500</v>
      </c>
      <c r="E58" s="1563">
        <f t="shared" si="22"/>
        <v>-7500</v>
      </c>
      <c r="F58" s="1563">
        <f t="shared" si="22"/>
        <v>-7500</v>
      </c>
      <c r="G58" s="1563">
        <f t="shared" si="22"/>
        <v>-7500</v>
      </c>
      <c r="H58" s="1563">
        <f t="shared" si="22"/>
        <v>-7500</v>
      </c>
      <c r="I58" s="1563">
        <f t="shared" si="22"/>
        <v>-7500</v>
      </c>
      <c r="J58" s="1563">
        <f t="shared" si="22"/>
        <v>-7500</v>
      </c>
      <c r="K58" s="1563">
        <f t="shared" si="22"/>
        <v>-7500</v>
      </c>
      <c r="M58" s="1455"/>
      <c r="N58" s="1456"/>
    </row>
    <row r="59" spans="1:14" ht="13.35" customHeight="1">
      <c r="A59" s="24" t="s">
        <v>2266</v>
      </c>
      <c r="B59" s="1565"/>
      <c r="C59" s="1565"/>
      <c r="D59" s="1565"/>
      <c r="E59" s="1565"/>
      <c r="F59" s="1565"/>
      <c r="G59" s="1565"/>
      <c r="H59" s="1565"/>
      <c r="I59" s="1565"/>
      <c r="J59" s="1565"/>
      <c r="K59" s="1563"/>
      <c r="M59" s="1455"/>
      <c r="N59" s="1456"/>
    </row>
    <row r="60" spans="1:14" ht="13.35" customHeight="1">
      <c r="A60" s="24" t="s">
        <v>2429</v>
      </c>
      <c r="B60" s="25">
        <f t="shared" ref="B60:K60" si="23">SUM(B52:B59)</f>
        <v>28868.02216133348</v>
      </c>
      <c r="C60" s="25">
        <f t="shared" si="23"/>
        <v>23238.066307092136</v>
      </c>
      <c r="D60" s="25">
        <f t="shared" si="23"/>
        <v>17271.699401085229</v>
      </c>
      <c r="E60" s="25">
        <f t="shared" si="23"/>
        <v>10953.885664236506</v>
      </c>
      <c r="F60" s="25">
        <f t="shared" si="23"/>
        <v>4273.126775147648</v>
      </c>
      <c r="G60" s="25">
        <f t="shared" si="23"/>
        <v>-2787.5534355515119</v>
      </c>
      <c r="H60" s="25">
        <f t="shared" si="23"/>
        <v>-10240.624778607111</v>
      </c>
      <c r="I60" s="25">
        <f t="shared" si="23"/>
        <v>-18104.067002511598</v>
      </c>
      <c r="J60" s="25">
        <f t="shared" si="23"/>
        <v>-26391.386608501125</v>
      </c>
      <c r="K60" s="23">
        <f t="shared" si="23"/>
        <v>-35120.634200345747</v>
      </c>
      <c r="M60" s="1455"/>
      <c r="N60" s="1456"/>
    </row>
    <row r="61" spans="1:14" ht="13.35" customHeight="1">
      <c r="A61" s="24" t="str">
        <f>$A31</f>
        <v>DCR Mortgage A</v>
      </c>
      <c r="B61" s="27">
        <f>IF(B53=0,"",-B52/B53)</f>
        <v>1.6507605907312495</v>
      </c>
      <c r="C61" s="27">
        <f t="shared" ref="C61:K61" si="24">IF(C53=0,"",-C52/C53)</f>
        <v>1.5500195226235574</v>
      </c>
      <c r="D61" s="27">
        <f t="shared" si="24"/>
        <v>1.4432587965370973</v>
      </c>
      <c r="E61" s="27">
        <f t="shared" si="24"/>
        <v>1.3302093658783989</v>
      </c>
      <c r="F61" s="27">
        <f t="shared" si="24"/>
        <v>1.2106654824659306</v>
      </c>
      <c r="G61" s="27">
        <f t="shared" si="24"/>
        <v>1.0843233788317044</v>
      </c>
      <c r="H61" s="27">
        <f t="shared" si="24"/>
        <v>0.95095992319881306</v>
      </c>
      <c r="I61" s="27">
        <f t="shared" si="24"/>
        <v>0.81025339029723098</v>
      </c>
      <c r="J61" s="27">
        <f t="shared" si="24"/>
        <v>0.66196209806120943</v>
      </c>
      <c r="K61" s="28">
        <f t="shared" si="24"/>
        <v>0.50576305335352612</v>
      </c>
      <c r="M61" s="1455"/>
      <c r="N61" s="1456"/>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55"/>
      <c r="N62" s="1456"/>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55"/>
      <c r="N63" s="1456"/>
    </row>
    <row r="64" spans="1:14" ht="13.3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55"/>
      <c r="N64" s="1456"/>
    </row>
    <row r="65" spans="1:14" ht="13.35" customHeight="1">
      <c r="A65" s="24" t="s">
        <v>2947</v>
      </c>
      <c r="B65" s="378">
        <f>IF(OR(B50="Choose mgt fee",B50="Choose One!"),"",(B44+B45+B46+B47+B48) / -(B49+B50+B51))</f>
        <v>1.1151572323058252</v>
      </c>
      <c r="C65" s="378">
        <f t="shared" ref="C65:K65" si="28">IF(OR(C50="Choose mgt fee",C50="Choose One!"),"",(C44+C45+C46+C47+C48) / -(C49+C50+C51))</f>
        <v>1.105048366695021</v>
      </c>
      <c r="D65" s="378">
        <f t="shared" si="28"/>
        <v>1.0950252507927314</v>
      </c>
      <c r="E65" s="378">
        <f t="shared" si="28"/>
        <v>1.0850852686405719</v>
      </c>
      <c r="F65" s="378">
        <f t="shared" si="28"/>
        <v>1.0752308950544756</v>
      </c>
      <c r="G65" s="378">
        <f t="shared" si="28"/>
        <v>1.0654584153744233</v>
      </c>
      <c r="H65" s="378">
        <f t="shared" si="28"/>
        <v>1.0557701189969921</v>
      </c>
      <c r="I65" s="378">
        <f t="shared" si="28"/>
        <v>1.0461625559750622</v>
      </c>
      <c r="J65" s="378">
        <f t="shared" si="28"/>
        <v>1.0366378370731311</v>
      </c>
      <c r="K65" s="379">
        <f t="shared" si="28"/>
        <v>1.0271937399055437</v>
      </c>
      <c r="M65" s="1455"/>
      <c r="N65" s="1456"/>
    </row>
    <row r="66" spans="1:14" ht="13.35" customHeight="1">
      <c r="A66" s="679" t="s">
        <v>379</v>
      </c>
      <c r="B66" s="1566">
        <f>IF('Part III A-Sources of Funds'!$H$32="","",-FV('Part III A-Sources of Funds'!$J$32/12,12,B53/12,K36))</f>
        <v>586396.64738494391</v>
      </c>
      <c r="C66" s="1566">
        <f>IF('Part III A-Sources of Funds'!$H$32="","",-FV('Part III A-Sources of Funds'!$J$32/12,12,C53/12,B66))</f>
        <v>571073.58303379675</v>
      </c>
      <c r="D66" s="1566">
        <f>IF('Part III A-Sources of Funds'!$H$32="","",-FV('Part III A-Sources of Funds'!$J$32/12,12,D53/12,C66))</f>
        <v>554642.81312173989</v>
      </c>
      <c r="E66" s="1566">
        <f>IF('Part III A-Sources of Funds'!$H$32="","",-FV('Part III A-Sources of Funds'!$J$32/12,12,E53/12,D66))</f>
        <v>537024.26152421022</v>
      </c>
      <c r="F66" s="1566">
        <f>IF('Part III A-Sources of Funds'!$H$32="","",-FV('Part III A-Sources of Funds'!$J$32/12,12,F53/12,E66))</f>
        <v>518132.06340712536</v>
      </c>
      <c r="G66" s="1566">
        <f>IF('Part III A-Sources of Funds'!$H$32="","",-FV('Part III A-Sources of Funds'!$J$32/12,12,G53/12,F66))</f>
        <v>497874.1467606044</v>
      </c>
      <c r="H66" s="1566">
        <f>IF('Part III A-Sources of Funds'!$H$32="","",-FV('Part III A-Sources of Funds'!$J$32/12,12,H53/12,G66))</f>
        <v>476151.78368172754</v>
      </c>
      <c r="I66" s="1566">
        <f>IF('Part III A-Sources of Funds'!$H$32="","",-FV('Part III A-Sources of Funds'!$J$32/12,12,I53/12,H66))</f>
        <v>452859.1092194902</v>
      </c>
      <c r="J66" s="1566">
        <f>IF('Part III A-Sources of Funds'!$H$32="","",-FV('Part III A-Sources of Funds'!$J$32/12,12,J53/12,I66))</f>
        <v>427882.60543701978</v>
      </c>
      <c r="K66" s="1566">
        <f>IF('Part III A-Sources of Funds'!$H$32="","",-FV('Part III A-Sources of Funds'!$J$32/12,12,K53/12,J66))</f>
        <v>401100.54817660846</v>
      </c>
      <c r="M66" s="1455"/>
      <c r="N66" s="1456"/>
    </row>
    <row r="67" spans="1:14" ht="13.35" customHeight="1">
      <c r="A67" s="679" t="s">
        <v>380</v>
      </c>
      <c r="B67" s="1563">
        <f>IF('Part III A-Sources of Funds'!$H$33="","",-FV('Part III A-Sources of Funds'!$J$33/12,12,B54/12,K37))</f>
        <v>315062.64172985731</v>
      </c>
      <c r="C67" s="1563">
        <f>IF('Part III A-Sources of Funds'!$H$33="","",-FV('Part III A-Sources of Funds'!$J$33/12,12,C54/12,B67))</f>
        <v>321421.97815248638</v>
      </c>
      <c r="D67" s="1563">
        <f>IF('Part III A-Sources of Funds'!$H$33="","",-FV('Part III A-Sources of Funds'!$J$33/12,12,D54/12,C67))</f>
        <v>327909.67368336814</v>
      </c>
      <c r="E67" s="1563">
        <f>IF('Part III A-Sources of Funds'!$H$33="","",-FV('Part III A-Sources of Funds'!$J$33/12,12,E54/12,D67))</f>
        <v>334528.31916839851</v>
      </c>
      <c r="F67" s="1563">
        <f>IF('Part III A-Sources of Funds'!$H$33="","",-FV('Part III A-Sources of Funds'!$J$33/12,12,F54/12,E67))</f>
        <v>341280.55774802848</v>
      </c>
      <c r="G67" s="1563">
        <f>IF('Part III A-Sources of Funds'!$H$33="","",-FV('Part III A-Sources of Funds'!$J$33/12,12,G54/12,F67))</f>
        <v>348169.08591279609</v>
      </c>
      <c r="H67" s="1563">
        <f>IF('Part III A-Sources of Funds'!$H$33="","",-FV('Part III A-Sources of Funds'!$J$33/12,12,H54/12,G67))</f>
        <v>355196.65458016342</v>
      </c>
      <c r="I67" s="1563">
        <f>IF('Part III A-Sources of Funds'!$H$33="","",-FV('Part III A-Sources of Funds'!$J$33/12,12,I54/12,H67))</f>
        <v>362366.07019308902</v>
      </c>
      <c r="J67" s="1563">
        <f>IF('Part III A-Sources of Funds'!$H$33="","",-FV('Part III A-Sources of Funds'!$J$33/12,12,J54/12,I67))</f>
        <v>369680.19584077445</v>
      </c>
      <c r="K67" s="1563">
        <f>IF('Part III A-Sources of Funds'!$H$33="","",-FV('Part III A-Sources of Funds'!$J$33/12,12,K54/12,J67))</f>
        <v>377141.95240203198</v>
      </c>
      <c r="M67" s="1455"/>
      <c r="N67" s="1456"/>
    </row>
    <row r="68" spans="1:14" ht="13.35" customHeight="1">
      <c r="A68" s="679" t="s">
        <v>381</v>
      </c>
      <c r="B68" s="1563" t="str">
        <f>IF('Part III A-Sources of Funds'!$H$34="","",-FV('Part III A-Sources of Funds'!$J$34/12,12,B55/12,K38))</f>
        <v/>
      </c>
      <c r="C68" s="1563" t="str">
        <f>IF('Part III A-Sources of Funds'!$H$34="","",-FV('Part III A-Sources of Funds'!$J$34/12,12,C55/12,B68))</f>
        <v/>
      </c>
      <c r="D68" s="1563" t="str">
        <f>IF('Part III A-Sources of Funds'!$H$34="","",-FV('Part III A-Sources of Funds'!$J$34/12,12,D55/12,C68))</f>
        <v/>
      </c>
      <c r="E68" s="1563" t="str">
        <f>IF('Part III A-Sources of Funds'!$H$34="","",-FV('Part III A-Sources of Funds'!$J$34/12,12,E55/12,D68))</f>
        <v/>
      </c>
      <c r="F68" s="1563" t="str">
        <f>IF('Part III A-Sources of Funds'!$H$34="","",-FV('Part III A-Sources of Funds'!$J$34/12,12,F55/12,E68))</f>
        <v/>
      </c>
      <c r="G68" s="1563" t="str">
        <f>IF('Part III A-Sources of Funds'!$H$34="","",-FV('Part III A-Sources of Funds'!$J$34/12,12,G55/12,F68))</f>
        <v/>
      </c>
      <c r="H68" s="1563" t="str">
        <f>IF('Part III A-Sources of Funds'!$H$34="","",-FV('Part III A-Sources of Funds'!$J$34/12,12,H55/12,G68))</f>
        <v/>
      </c>
      <c r="I68" s="1563" t="str">
        <f>IF('Part III A-Sources of Funds'!$H$34="","",-FV('Part III A-Sources of Funds'!$J$34/12,12,I55/12,H68))</f>
        <v/>
      </c>
      <c r="J68" s="1563" t="str">
        <f>IF('Part III A-Sources of Funds'!$H$34="","",-FV('Part III A-Sources of Funds'!$J$34/12,12,J55/12,I68))</f>
        <v/>
      </c>
      <c r="K68" s="1563" t="str">
        <f>IF('Part III A-Sources of Funds'!$H$34="","",-FV('Part III A-Sources of Funds'!$J$34/12,12,K55/12,J68))</f>
        <v/>
      </c>
      <c r="M68" s="1455"/>
      <c r="N68" s="1456"/>
    </row>
    <row r="69" spans="1:14" ht="13.35" customHeight="1">
      <c r="A69" s="24" t="s">
        <v>2803</v>
      </c>
      <c r="B69" s="1563" t="str">
        <f>IF('Part III A-Sources of Funds'!$H$35="","",-FV('Part III A-Sources of Funds'!$J$35/12,12,B56/12,K39))</f>
        <v/>
      </c>
      <c r="C69" s="1563" t="str">
        <f>IF('Part III A-Sources of Funds'!$H$35="","",-FV('Part III A-Sources of Funds'!$J$35/12,12,C56/12,B69))</f>
        <v/>
      </c>
      <c r="D69" s="1563" t="str">
        <f>IF('Part III A-Sources of Funds'!$H$35="","",-FV('Part III A-Sources of Funds'!$J$35/12,12,D56/12,C69))</f>
        <v/>
      </c>
      <c r="E69" s="1563" t="str">
        <f>IF('Part III A-Sources of Funds'!$H$35="","",-FV('Part III A-Sources of Funds'!$J$35/12,12,E56/12,D69))</f>
        <v/>
      </c>
      <c r="F69" s="1563" t="str">
        <f>IF('Part III A-Sources of Funds'!$H$35="","",-FV('Part III A-Sources of Funds'!$J$35/12,12,F56/12,E69))</f>
        <v/>
      </c>
      <c r="G69" s="1563" t="str">
        <f>IF('Part III A-Sources of Funds'!$H$35="","",-FV('Part III A-Sources of Funds'!$J$35/12,12,G56/12,F69))</f>
        <v/>
      </c>
      <c r="H69" s="1563" t="str">
        <f>IF('Part III A-Sources of Funds'!$H$35="","",-FV('Part III A-Sources of Funds'!$J$35/12,12,H56/12,G69))</f>
        <v/>
      </c>
      <c r="I69" s="1563" t="str">
        <f>IF('Part III A-Sources of Funds'!$H$35="","",-FV('Part III A-Sources of Funds'!$J$35/12,12,I56/12,H69))</f>
        <v/>
      </c>
      <c r="J69" s="1563" t="str">
        <f>IF('Part III A-Sources of Funds'!$H$35="","",-FV('Part III A-Sources of Funds'!$J$35/12,12,J56/12,I69))</f>
        <v/>
      </c>
      <c r="K69" s="1563" t="str">
        <f>IF('Part III A-Sources of Funds'!$H$35="","",-FV('Part III A-Sources of Funds'!$J$35/12,12,K56/12,J69))</f>
        <v/>
      </c>
      <c r="M69" s="1455"/>
      <c r="N69" s="1456"/>
    </row>
    <row r="70" spans="1:14" ht="13.35" customHeight="1">
      <c r="A70" s="679" t="s">
        <v>514</v>
      </c>
      <c r="B70" s="1563">
        <f>'Part III A-Sources of Funds'!$H$36</f>
        <v>1100000</v>
      </c>
      <c r="C70" s="1563">
        <f>B70</f>
        <v>1100000</v>
      </c>
      <c r="D70" s="1563">
        <f t="shared" ref="D70:K70" si="29">C70</f>
        <v>1100000</v>
      </c>
      <c r="E70" s="1563">
        <f t="shared" si="29"/>
        <v>1100000</v>
      </c>
      <c r="F70" s="1563">
        <f t="shared" si="29"/>
        <v>1100000</v>
      </c>
      <c r="G70" s="1563">
        <f t="shared" si="29"/>
        <v>1100000</v>
      </c>
      <c r="H70" s="1563">
        <f t="shared" si="29"/>
        <v>1100000</v>
      </c>
      <c r="I70" s="1563">
        <f t="shared" si="29"/>
        <v>1100000</v>
      </c>
      <c r="J70" s="1563">
        <f t="shared" si="29"/>
        <v>1100000</v>
      </c>
      <c r="K70" s="1563">
        <f t="shared" si="29"/>
        <v>1100000</v>
      </c>
      <c r="M70" s="1455"/>
      <c r="N70" s="1456"/>
    </row>
    <row r="71" spans="1:14" ht="13.35" customHeight="1">
      <c r="A71" s="29" t="s">
        <v>2299</v>
      </c>
      <c r="B71" s="1565"/>
      <c r="C71" s="1565"/>
      <c r="D71" s="1565"/>
      <c r="E71" s="1565"/>
      <c r="F71" s="1565"/>
      <c r="G71" s="1565"/>
      <c r="H71" s="1565"/>
      <c r="I71" s="1565"/>
      <c r="J71" s="1565"/>
      <c r="K71" s="1565"/>
      <c r="M71" s="1458"/>
      <c r="N71" s="1459"/>
    </row>
    <row r="72" spans="1:14" ht="4.3499999999999996" customHeight="1">
      <c r="B72" s="20"/>
      <c r="C72" s="20"/>
      <c r="D72" s="20"/>
      <c r="E72" s="20"/>
      <c r="F72" s="20"/>
      <c r="G72" s="20"/>
      <c r="H72" s="20"/>
      <c r="I72" s="20"/>
      <c r="J72" s="20"/>
      <c r="K72" s="20"/>
    </row>
    <row r="73" spans="1:14" ht="14.45" customHeight="1">
      <c r="A73" s="16" t="s">
        <v>787</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386</v>
      </c>
      <c r="N73" s="976"/>
    </row>
    <row r="74" spans="1:14" ht="13.35" customHeight="1">
      <c r="A74" s="21" t="s">
        <v>684</v>
      </c>
      <c r="B74" s="22">
        <f t="shared" ref="B74:K74" si="31">$B$14*(1+$B$5)^(B73-1)</f>
        <v>1164210.0658011211</v>
      </c>
      <c r="C74" s="22">
        <f t="shared" si="31"/>
        <v>1187494.2671171434</v>
      </c>
      <c r="D74" s="22">
        <f t="shared" si="31"/>
        <v>1211244.1524594862</v>
      </c>
      <c r="E74" s="22">
        <f t="shared" si="31"/>
        <v>1235469.0355086757</v>
      </c>
      <c r="F74" s="22">
        <f t="shared" si="31"/>
        <v>1260178.4162188494</v>
      </c>
      <c r="G74" s="22">
        <f t="shared" si="31"/>
        <v>1285381.9845432262</v>
      </c>
      <c r="H74" s="22">
        <f t="shared" si="31"/>
        <v>1311089.624234091</v>
      </c>
      <c r="I74" s="22">
        <f t="shared" si="31"/>
        <v>1337311.4167187726</v>
      </c>
      <c r="J74" s="22">
        <f t="shared" si="31"/>
        <v>1364057.6450531483</v>
      </c>
      <c r="K74" s="23">
        <f t="shared" si="31"/>
        <v>1391338.797954211</v>
      </c>
      <c r="M74" s="1453"/>
      <c r="N74" s="1454"/>
    </row>
    <row r="75" spans="1:14" ht="13.35" customHeight="1">
      <c r="A75" s="24" t="s">
        <v>2497</v>
      </c>
      <c r="B75" s="25">
        <f t="shared" ref="B75:K75" si="32">$B$15*(1+$B$5)^(B73-1)</f>
        <v>6761.0606517015121</v>
      </c>
      <c r="C75" s="25">
        <f t="shared" si="32"/>
        <v>6896.2818647355416</v>
      </c>
      <c r="D75" s="25">
        <f t="shared" si="32"/>
        <v>7034.2075020302527</v>
      </c>
      <c r="E75" s="25">
        <f t="shared" si="32"/>
        <v>7174.8916520708563</v>
      </c>
      <c r="F75" s="25">
        <f t="shared" si="32"/>
        <v>7318.3894851122741</v>
      </c>
      <c r="G75" s="25">
        <f t="shared" si="32"/>
        <v>7464.7572748145194</v>
      </c>
      <c r="H75" s="25">
        <f t="shared" si="32"/>
        <v>7614.0524203108107</v>
      </c>
      <c r="I75" s="25">
        <f t="shared" si="32"/>
        <v>7766.3334687170254</v>
      </c>
      <c r="J75" s="25">
        <f t="shared" si="32"/>
        <v>7921.660138091368</v>
      </c>
      <c r="K75" s="26">
        <f t="shared" si="32"/>
        <v>8080.0933408531937</v>
      </c>
      <c r="M75" s="1455"/>
      <c r="N75" s="1456"/>
    </row>
    <row r="76" spans="1:14" ht="13.35" customHeight="1">
      <c r="A76" s="24" t="s">
        <v>685</v>
      </c>
      <c r="B76" s="25">
        <f t="shared" ref="B76:K76" si="33">-(B74+B75)*$B$8</f>
        <v>-81967.978851697582</v>
      </c>
      <c r="C76" s="25">
        <f t="shared" si="33"/>
        <v>-83607.338428731528</v>
      </c>
      <c r="D76" s="25">
        <f t="shared" si="33"/>
        <v>-85279.48519730616</v>
      </c>
      <c r="E76" s="25">
        <f t="shared" si="33"/>
        <v>-86985.074901252272</v>
      </c>
      <c r="F76" s="25">
        <f t="shared" si="33"/>
        <v>-88724.776399277311</v>
      </c>
      <c r="G76" s="25">
        <f t="shared" si="33"/>
        <v>-90499.271927262846</v>
      </c>
      <c r="H76" s="25">
        <f t="shared" si="33"/>
        <v>-92309.257365808138</v>
      </c>
      <c r="I76" s="25">
        <f t="shared" si="33"/>
        <v>-94155.44251312429</v>
      </c>
      <c r="J76" s="25">
        <f t="shared" si="33"/>
        <v>-96038.551363386781</v>
      </c>
      <c r="K76" s="26">
        <f t="shared" si="33"/>
        <v>-97959.322390654503</v>
      </c>
      <c r="M76" s="1455"/>
      <c r="N76" s="1456"/>
    </row>
    <row r="77" spans="1:14" ht="13.35" customHeight="1">
      <c r="A77" s="24" t="s">
        <v>4012</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55"/>
      <c r="N77" s="1456"/>
    </row>
    <row r="78" spans="1:14" ht="13.35" customHeight="1">
      <c r="A78" s="24" t="s">
        <v>4013</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55"/>
      <c r="N78" s="1456"/>
    </row>
    <row r="79" spans="1:14" ht="13.35" customHeight="1">
      <c r="A79" s="24" t="s">
        <v>3218</v>
      </c>
      <c r="B79" s="25">
        <f t="shared" ref="B79:K79" si="34">$B$19*(1+$B$6)^(B73-1)</f>
        <v>-947061.5175674269</v>
      </c>
      <c r="C79" s="25">
        <f t="shared" si="34"/>
        <v>-975473.36309444951</v>
      </c>
      <c r="D79" s="25">
        <f t="shared" si="34"/>
        <v>-1004737.5639872832</v>
      </c>
      <c r="E79" s="25">
        <f t="shared" si="34"/>
        <v>-1034879.6909069017</v>
      </c>
      <c r="F79" s="25">
        <f t="shared" si="34"/>
        <v>-1065926.0816341087</v>
      </c>
      <c r="G79" s="25">
        <f t="shared" si="34"/>
        <v>-1097903.8640831318</v>
      </c>
      <c r="H79" s="25">
        <f t="shared" si="34"/>
        <v>-1130840.9800056259</v>
      </c>
      <c r="I79" s="25">
        <f t="shared" si="34"/>
        <v>-1164766.2094057945</v>
      </c>
      <c r="J79" s="25">
        <f t="shared" si="34"/>
        <v>-1199709.1956879685</v>
      </c>
      <c r="K79" s="26">
        <f t="shared" si="34"/>
        <v>-1235700.4715586074</v>
      </c>
      <c r="M79" s="1455"/>
      <c r="N79" s="1456"/>
    </row>
    <row r="80" spans="1:14" ht="13.35" customHeight="1">
      <c r="A80" s="24" t="s">
        <v>2471</v>
      </c>
      <c r="B80" s="25">
        <f>IF(AND('Part VII-Pro Forma'!$G$8="Yes",'Part VII-Pro Forma'!$G$9="Yes"),"Choose One!",IF('Part VII-Pro Forma'!$G$8="Yes",ROUND((-$K$8*(1+'Part VII-Pro Forma'!$B$6)^('Part VII-Pro Forma'!B73-1)),),IF('Part VII-Pro Forma'!$G$9="Yes",ROUND((-(SUM(B74:B77)*'Part VII-Pro Forma'!$K$9)),),"Choose mgt fee")))</f>
        <v>-65340</v>
      </c>
      <c r="C80" s="25">
        <f>IF(AND('Part VII-Pro Forma'!$G$8="Yes",'Part VII-Pro Forma'!$G$9="Yes"),"Choose One!",IF('Part VII-Pro Forma'!$G$8="Yes",ROUND((-$K$8*(1+'Part VII-Pro Forma'!$B$6)^('Part VII-Pro Forma'!C73-1)),),IF('Part VII-Pro Forma'!$G$9="Yes",ROUND((-(SUM(C74:C77)*'Part VII-Pro Forma'!$K$9)),),"Choose mgt fee")))</f>
        <v>-66647</v>
      </c>
      <c r="D80" s="25">
        <f>IF(AND('Part VII-Pro Forma'!$G$8="Yes",'Part VII-Pro Forma'!$G$9="Yes"),"Choose One!",IF('Part VII-Pro Forma'!$G$8="Yes",ROUND((-$K$8*(1+'Part VII-Pro Forma'!$B$6)^('Part VII-Pro Forma'!D73-1)),),IF('Part VII-Pro Forma'!$G$9="Yes",ROUND((-(SUM(D74:D77)*'Part VII-Pro Forma'!$K$9)),),"Choose mgt fee")))</f>
        <v>-67980</v>
      </c>
      <c r="E80" s="25">
        <f>IF(AND('Part VII-Pro Forma'!$G$8="Yes",'Part VII-Pro Forma'!$G$9="Yes"),"Choose One!",IF('Part VII-Pro Forma'!$G$8="Yes",ROUND((-$K$8*(1+'Part VII-Pro Forma'!$B$6)^('Part VII-Pro Forma'!E73-1)),),IF('Part VII-Pro Forma'!$G$9="Yes",ROUND((-(SUM(E74:E77)*'Part VII-Pro Forma'!$K$9)),),"Choose mgt fee")))</f>
        <v>-69340</v>
      </c>
      <c r="F80" s="25">
        <f>IF(AND('Part VII-Pro Forma'!$G$8="Yes",'Part VII-Pro Forma'!$G$9="Yes"),"Choose One!",IF('Part VII-Pro Forma'!$G$8="Yes",ROUND((-$K$8*(1+'Part VII-Pro Forma'!$B$6)^('Part VII-Pro Forma'!F73-1)),),IF('Part VII-Pro Forma'!$G$9="Yes",ROUND((-(SUM(F74:F77)*'Part VII-Pro Forma'!$K$9)),),"Choose mgt fee")))</f>
        <v>-70726</v>
      </c>
      <c r="G80" s="25">
        <f>IF(AND('Part VII-Pro Forma'!$G$8="Yes",'Part VII-Pro Forma'!$G$9="Yes"),"Choose One!",IF('Part VII-Pro Forma'!$G$8="Yes",ROUND((-$K$8*(1+'Part VII-Pro Forma'!$B$6)^('Part VII-Pro Forma'!G73-1)),),IF('Part VII-Pro Forma'!$G$9="Yes",ROUND((-(SUM(G74:G77)*'Part VII-Pro Forma'!$K$9)),),"Choose mgt fee")))</f>
        <v>-72141</v>
      </c>
      <c r="H80" s="25">
        <f>IF(AND('Part VII-Pro Forma'!$G$8="Yes",'Part VII-Pro Forma'!$G$9="Yes"),"Choose One!",IF('Part VII-Pro Forma'!$G$8="Yes",ROUND((-$K$8*(1+'Part VII-Pro Forma'!$B$6)^('Part VII-Pro Forma'!H73-1)),),IF('Part VII-Pro Forma'!$G$9="Yes",ROUND((-(SUM(H74:H77)*'Part VII-Pro Forma'!$K$9)),),"Choose mgt fee")))</f>
        <v>-73584</v>
      </c>
      <c r="I80" s="25">
        <f>IF(AND('Part VII-Pro Forma'!$G$8="Yes",'Part VII-Pro Forma'!$G$9="Yes"),"Choose One!",IF('Part VII-Pro Forma'!$G$8="Yes",ROUND((-$K$8*(1+'Part VII-Pro Forma'!$B$6)^('Part VII-Pro Forma'!I73-1)),),IF('Part VII-Pro Forma'!$G$9="Yes",ROUND((-(SUM(I74:I77)*'Part VII-Pro Forma'!$K$9)),),"Choose mgt fee")))</f>
        <v>-75055</v>
      </c>
      <c r="J80" s="25">
        <f>IF(AND('Part VII-Pro Forma'!$G$8="Yes",'Part VII-Pro Forma'!$G$9="Yes"),"Choose One!",IF('Part VII-Pro Forma'!$G$8="Yes",ROUND((-$K$8*(1+'Part VII-Pro Forma'!$B$6)^('Part VII-Pro Forma'!J73-1)),),IF('Part VII-Pro Forma'!$G$9="Yes",ROUND((-(SUM(J74:J77)*'Part VII-Pro Forma'!$K$9)),),"Choose mgt fee")))</f>
        <v>-76556</v>
      </c>
      <c r="K80" s="25">
        <f>IF(AND('Part VII-Pro Forma'!$G$8="Yes",'Part VII-Pro Forma'!$G$9="Yes"),"Choose One!",IF('Part VII-Pro Forma'!$G$8="Yes",ROUND((-$K$8*(1+'Part VII-Pro Forma'!$B$6)^('Part VII-Pro Forma'!K73-1)),),IF('Part VII-Pro Forma'!$G$9="Yes",ROUND((-(SUM(K74:K77)*'Part VII-Pro Forma'!$K$9)),),"Choose mgt fee")))</f>
        <v>-78088</v>
      </c>
      <c r="M80" s="1455"/>
      <c r="N80" s="1456"/>
    </row>
    <row r="81" spans="1:14" ht="13.35" customHeight="1">
      <c r="A81" s="24" t="s">
        <v>2376</v>
      </c>
      <c r="B81" s="25">
        <f t="shared" ref="B81:K81" si="35">$B$21*(1+$B$7)^(B73-1)</f>
        <v>-57524.642824220813</v>
      </c>
      <c r="C81" s="25">
        <f t="shared" si="35"/>
        <v>-59250.38210894743</v>
      </c>
      <c r="D81" s="25">
        <f t="shared" si="35"/>
        <v>-61027.893572215857</v>
      </c>
      <c r="E81" s="25">
        <f t="shared" si="35"/>
        <v>-62858.730379382338</v>
      </c>
      <c r="F81" s="25">
        <f t="shared" si="35"/>
        <v>-64744.492290763796</v>
      </c>
      <c r="G81" s="25">
        <f t="shared" si="35"/>
        <v>-66686.827059486706</v>
      </c>
      <c r="H81" s="25">
        <f t="shared" si="35"/>
        <v>-68687.431871271328</v>
      </c>
      <c r="I81" s="25">
        <f t="shared" si="35"/>
        <v>-70748.054827409447</v>
      </c>
      <c r="J81" s="25">
        <f t="shared" si="35"/>
        <v>-72870.496472231738</v>
      </c>
      <c r="K81" s="26">
        <f t="shared" si="35"/>
        <v>-75056.611366398676</v>
      </c>
      <c r="M81" s="1455"/>
      <c r="N81" s="1456"/>
    </row>
    <row r="82" spans="1:14" ht="13.35" customHeight="1">
      <c r="A82" s="24" t="s">
        <v>2265</v>
      </c>
      <c r="B82" s="25">
        <f t="shared" ref="B82:K82" si="36">SUM(B74:B81)</f>
        <v>19076.98720947712</v>
      </c>
      <c r="C82" s="25">
        <f t="shared" si="36"/>
        <v>9412.465349750426</v>
      </c>
      <c r="D82" s="25">
        <f t="shared" si="36"/>
        <v>-746.58279528869753</v>
      </c>
      <c r="E82" s="25">
        <f t="shared" si="36"/>
        <v>-11419.569026789701</v>
      </c>
      <c r="F82" s="25">
        <f t="shared" si="36"/>
        <v>-22624.544620188331</v>
      </c>
      <c r="G82" s="25">
        <f t="shared" si="36"/>
        <v>-34384.221251840761</v>
      </c>
      <c r="H82" s="25">
        <f t="shared" si="36"/>
        <v>-46717.992588303387</v>
      </c>
      <c r="I82" s="25">
        <f t="shared" si="36"/>
        <v>-59646.956558838603</v>
      </c>
      <c r="J82" s="25">
        <f t="shared" si="36"/>
        <v>-73194.938332347359</v>
      </c>
      <c r="K82" s="26">
        <f t="shared" si="36"/>
        <v>-87385.514020596442</v>
      </c>
      <c r="M82" s="1455"/>
      <c r="N82" s="1456"/>
    </row>
    <row r="83" spans="1:14" ht="13.35" customHeight="1">
      <c r="A83" s="24" t="str">
        <f>$A53</f>
        <v>Mortgage A</v>
      </c>
      <c r="B83" s="1562">
        <f>IF('Part III A-Sources of Funds'!$M$32="", 0,-'Part III A-Sources of Funds'!$M$32)</f>
        <v>-55885.40959505138</v>
      </c>
      <c r="C83" s="1562">
        <f>IF('Part III A-Sources of Funds'!$M$32="", 0,-'Part III A-Sources of Funds'!$M$32)</f>
        <v>-55885.40959505138</v>
      </c>
      <c r="D83" s="1562">
        <f>IF('Part III A-Sources of Funds'!$M$32="", 0,-'Part III A-Sources of Funds'!$M$32)</f>
        <v>-55885.40959505138</v>
      </c>
      <c r="E83" s="1562">
        <f>IF('Part III A-Sources of Funds'!$M$32="", 0,-'Part III A-Sources of Funds'!$M$32)</f>
        <v>-55885.40959505138</v>
      </c>
      <c r="F83" s="1562">
        <f>IF('Part III A-Sources of Funds'!$M$32="", 0,-'Part III A-Sources of Funds'!$M$32)</f>
        <v>-55885.40959505138</v>
      </c>
      <c r="G83" s="1562">
        <f>IF('Part III A-Sources of Funds'!$M$32="", 0,-'Part III A-Sources of Funds'!$M$32)</f>
        <v>-55885.40959505138</v>
      </c>
      <c r="H83" s="1562">
        <f>IF('Part III A-Sources of Funds'!$M$32="", 0,-'Part III A-Sources of Funds'!$M$32)</f>
        <v>-55885.40959505138</v>
      </c>
      <c r="I83" s="1562">
        <f>IF('Part III A-Sources of Funds'!$M$32="", 0,-'Part III A-Sources of Funds'!$M$32)</f>
        <v>-55885.40959505138</v>
      </c>
      <c r="J83" s="1562">
        <f>IF('Part III A-Sources of Funds'!$M$32="", 0,-'Part III A-Sources of Funds'!$M$32)</f>
        <v>-55885.40959505138</v>
      </c>
      <c r="K83" s="1562">
        <f>IF('Part III A-Sources of Funds'!$M$32="", 0,-'Part III A-Sources of Funds'!$M$32)</f>
        <v>-55885.40959505138</v>
      </c>
      <c r="M83" s="1455"/>
      <c r="N83" s="1456"/>
    </row>
    <row r="84" spans="1:14" ht="13.35" customHeight="1">
      <c r="A84" s="24" t="str">
        <f>$A54</f>
        <v>Mortgage B</v>
      </c>
      <c r="B84" s="1563">
        <f>IF('Part III A-Sources of Funds'!$M$33="", 0,-'Part III A-Sources of Funds'!$M$33)</f>
        <v>0</v>
      </c>
      <c r="C84" s="1563">
        <f>IF('Part III A-Sources of Funds'!$M$33="", 0,-'Part III A-Sources of Funds'!$M$33)</f>
        <v>0</v>
      </c>
      <c r="D84" s="1563">
        <f>IF('Part III A-Sources of Funds'!$M$33="", 0,-'Part III A-Sources of Funds'!$M$33)</f>
        <v>0</v>
      </c>
      <c r="E84" s="1563">
        <f>IF('Part III A-Sources of Funds'!$M$33="", 0,-'Part III A-Sources of Funds'!$M$33)</f>
        <v>0</v>
      </c>
      <c r="F84" s="1563">
        <f>IF('Part III A-Sources of Funds'!$M$33="", 0,-'Part III A-Sources of Funds'!$M$33)</f>
        <v>0</v>
      </c>
      <c r="G84" s="1563">
        <f>IF('Part III A-Sources of Funds'!$M$33="", 0,-'Part III A-Sources of Funds'!$M$33)</f>
        <v>0</v>
      </c>
      <c r="H84" s="1563">
        <f>IF('Part III A-Sources of Funds'!$M$33="", 0,-'Part III A-Sources of Funds'!$M$33)</f>
        <v>0</v>
      </c>
      <c r="I84" s="1563">
        <f>IF('Part III A-Sources of Funds'!$M$33="", 0,-'Part III A-Sources of Funds'!$M$33)</f>
        <v>0</v>
      </c>
      <c r="J84" s="1563">
        <f>IF('Part III A-Sources of Funds'!$M$33="", 0,-'Part III A-Sources of Funds'!$M$33)</f>
        <v>0</v>
      </c>
      <c r="K84" s="1563">
        <f>IF('Part III A-Sources of Funds'!$M$33="", 0,-'Part III A-Sources of Funds'!$M$33)</f>
        <v>0</v>
      </c>
      <c r="M84" s="1455"/>
      <c r="N84" s="1456"/>
    </row>
    <row r="85" spans="1:14" ht="13.35" customHeight="1">
      <c r="A85" s="24" t="str">
        <f>$A55</f>
        <v>Mortgage C</v>
      </c>
      <c r="B85" s="1563">
        <f>IF('Part III A-Sources of Funds'!$M$34="", 0,-'Part III A-Sources of Funds'!$M$34)</f>
        <v>0</v>
      </c>
      <c r="C85" s="1563">
        <f>IF('Part III A-Sources of Funds'!$M$34="", 0,-'Part III A-Sources of Funds'!$M$34)</f>
        <v>0</v>
      </c>
      <c r="D85" s="1563">
        <f>IF('Part III A-Sources of Funds'!$M$34="", 0,-'Part III A-Sources of Funds'!$M$34)</f>
        <v>0</v>
      </c>
      <c r="E85" s="1563">
        <f>IF('Part III A-Sources of Funds'!$M$34="", 0,-'Part III A-Sources of Funds'!$M$34)</f>
        <v>0</v>
      </c>
      <c r="F85" s="1563">
        <f>IF('Part III A-Sources of Funds'!$M$34="", 0,-'Part III A-Sources of Funds'!$M$34)</f>
        <v>0</v>
      </c>
      <c r="G85" s="1563">
        <f>IF('Part III A-Sources of Funds'!$M$34="", 0,-'Part III A-Sources of Funds'!$M$34)</f>
        <v>0</v>
      </c>
      <c r="H85" s="1563">
        <f>IF('Part III A-Sources of Funds'!$M$34="", 0,-'Part III A-Sources of Funds'!$M$34)</f>
        <v>0</v>
      </c>
      <c r="I85" s="1563">
        <f>IF('Part III A-Sources of Funds'!$M$34="", 0,-'Part III A-Sources of Funds'!$M$34)</f>
        <v>0</v>
      </c>
      <c r="J85" s="1563">
        <f>IF('Part III A-Sources of Funds'!$M$34="", 0,-'Part III A-Sources of Funds'!$M$34)</f>
        <v>0</v>
      </c>
      <c r="K85" s="1563">
        <f>IF('Part III A-Sources of Funds'!$M$34="", 0,-'Part III A-Sources of Funds'!$M$34)</f>
        <v>0</v>
      </c>
      <c r="M85" s="1455"/>
      <c r="N85" s="1456"/>
    </row>
    <row r="86" spans="1:14" ht="13.35" customHeight="1">
      <c r="A86" s="24" t="str">
        <f>$A56</f>
        <v>D/S Other Source</v>
      </c>
      <c r="B86" s="1563">
        <f>IF('Part III A-Sources of Funds'!$M$35="", 0,-'Part III A-Sources of Funds'!$M$35)</f>
        <v>0</v>
      </c>
      <c r="C86" s="1563">
        <f>IF('Part III A-Sources of Funds'!$M$35="", 0,-'Part III A-Sources of Funds'!$M$35)</f>
        <v>0</v>
      </c>
      <c r="D86" s="1563">
        <f>IF('Part III A-Sources of Funds'!$M$35="", 0,-'Part III A-Sources of Funds'!$M$35)</f>
        <v>0</v>
      </c>
      <c r="E86" s="1563">
        <f>IF('Part III A-Sources of Funds'!$M$35="", 0,-'Part III A-Sources of Funds'!$M$35)</f>
        <v>0</v>
      </c>
      <c r="F86" s="1563">
        <f>IF('Part III A-Sources of Funds'!$M$35="", 0,-'Part III A-Sources of Funds'!$M$35)</f>
        <v>0</v>
      </c>
      <c r="G86" s="1563">
        <f>IF('Part III A-Sources of Funds'!$M$35="", 0,-'Part III A-Sources of Funds'!$M$35)</f>
        <v>0</v>
      </c>
      <c r="H86" s="1563">
        <f>IF('Part III A-Sources of Funds'!$M$35="", 0,-'Part III A-Sources of Funds'!$M$35)</f>
        <v>0</v>
      </c>
      <c r="I86" s="1563">
        <f>IF('Part III A-Sources of Funds'!$M$35="", 0,-'Part III A-Sources of Funds'!$M$35)</f>
        <v>0</v>
      </c>
      <c r="J86" s="1563">
        <f>IF('Part III A-Sources of Funds'!$M$35="", 0,-'Part III A-Sources of Funds'!$M$35)</f>
        <v>0</v>
      </c>
      <c r="K86" s="1563">
        <f>IF('Part III A-Sources of Funds'!$M$35="", 0,-'Part III A-Sources of Funds'!$M$35)</f>
        <v>0</v>
      </c>
      <c r="M86" s="1455"/>
      <c r="N86" s="1456"/>
    </row>
    <row r="87" spans="1:14" ht="13.35" customHeight="1">
      <c r="A87" s="24" t="s">
        <v>2937</v>
      </c>
      <c r="B87" s="1564"/>
      <c r="C87" s="1564"/>
      <c r="D87" s="1564"/>
      <c r="E87" s="1564"/>
      <c r="F87" s="1564"/>
      <c r="G87" s="1564"/>
      <c r="H87" s="1564"/>
      <c r="I87" s="1564"/>
      <c r="J87" s="1564"/>
      <c r="K87" s="1564"/>
      <c r="M87" s="1455"/>
      <c r="N87" s="1456"/>
    </row>
    <row r="88" spans="1:14" ht="13.35" customHeight="1">
      <c r="A88" s="24" t="s">
        <v>2428</v>
      </c>
      <c r="B88" s="1563">
        <f>+K58</f>
        <v>-7500</v>
      </c>
      <c r="C88" s="1563">
        <f t="shared" ref="C88:K88" si="37">+B88</f>
        <v>-7500</v>
      </c>
      <c r="D88" s="1563">
        <f t="shared" si="37"/>
        <v>-7500</v>
      </c>
      <c r="E88" s="1563">
        <f t="shared" si="37"/>
        <v>-7500</v>
      </c>
      <c r="F88" s="1563">
        <f t="shared" si="37"/>
        <v>-7500</v>
      </c>
      <c r="G88" s="1563">
        <f t="shared" si="37"/>
        <v>-7500</v>
      </c>
      <c r="H88" s="1563">
        <f t="shared" si="37"/>
        <v>-7500</v>
      </c>
      <c r="I88" s="1563">
        <f t="shared" si="37"/>
        <v>-7500</v>
      </c>
      <c r="J88" s="1563">
        <f t="shared" si="37"/>
        <v>-7500</v>
      </c>
      <c r="K88" s="1563">
        <f t="shared" si="37"/>
        <v>-7500</v>
      </c>
      <c r="M88" s="1455"/>
      <c r="N88" s="1456"/>
    </row>
    <row r="89" spans="1:14" ht="13.35" customHeight="1">
      <c r="A89" s="24" t="s">
        <v>2266</v>
      </c>
      <c r="B89" s="1565"/>
      <c r="C89" s="1565"/>
      <c r="D89" s="1565"/>
      <c r="E89" s="1565"/>
      <c r="F89" s="1565"/>
      <c r="G89" s="1565"/>
      <c r="H89" s="1565"/>
      <c r="I89" s="1565"/>
      <c r="J89" s="1565"/>
      <c r="K89" s="1563"/>
      <c r="M89" s="1455"/>
      <c r="N89" s="1456"/>
    </row>
    <row r="90" spans="1:14" ht="13.35" customHeight="1">
      <c r="A90" s="24" t="s">
        <v>2429</v>
      </c>
      <c r="B90" s="25">
        <f t="shared" ref="B90:K90" si="38">SUM(B82:B89)</f>
        <v>-44308.42238557426</v>
      </c>
      <c r="C90" s="25">
        <f t="shared" si="38"/>
        <v>-53972.944245300954</v>
      </c>
      <c r="D90" s="25">
        <f t="shared" si="38"/>
        <v>-64131.992390340078</v>
      </c>
      <c r="E90" s="25">
        <f t="shared" si="38"/>
        <v>-74804.978621841088</v>
      </c>
      <c r="F90" s="25">
        <f t="shared" si="38"/>
        <v>-86009.954215239704</v>
      </c>
      <c r="G90" s="25">
        <f t="shared" si="38"/>
        <v>-97769.630846892134</v>
      </c>
      <c r="H90" s="25">
        <f t="shared" si="38"/>
        <v>-110103.40218335477</v>
      </c>
      <c r="I90" s="25">
        <f t="shared" si="38"/>
        <v>-123032.36615388998</v>
      </c>
      <c r="J90" s="25">
        <f t="shared" si="38"/>
        <v>-136580.34792739875</v>
      </c>
      <c r="K90" s="23">
        <f t="shared" si="38"/>
        <v>-150770.92361564783</v>
      </c>
      <c r="M90" s="1455"/>
      <c r="N90" s="1456"/>
    </row>
    <row r="91" spans="1:14" ht="13.35" customHeight="1">
      <c r="A91" s="24" t="str">
        <f>$A61</f>
        <v>DCR Mortgage A</v>
      </c>
      <c r="B91" s="27">
        <f>IF(B83=0,"",-B82/B83)</f>
        <v>0.34135899419383292</v>
      </c>
      <c r="C91" s="27">
        <f t="shared" ref="C91:K91" si="39">IF(C83=0,"",-C82/C83)</f>
        <v>0.16842437798977666</v>
      </c>
      <c r="D91" s="27">
        <f t="shared" si="39"/>
        <v>-1.3359171932325015E-2</v>
      </c>
      <c r="E91" s="27">
        <f t="shared" si="39"/>
        <v>-0.20433900564631269</v>
      </c>
      <c r="F91" s="27">
        <f t="shared" si="39"/>
        <v>-0.40483812830803195</v>
      </c>
      <c r="G91" s="27">
        <f t="shared" si="39"/>
        <v>-0.61526293715999647</v>
      </c>
      <c r="H91" s="27">
        <f t="shared" si="39"/>
        <v>-0.83596045778002559</v>
      </c>
      <c r="I91" s="27">
        <f t="shared" si="39"/>
        <v>-1.0673082114105201</v>
      </c>
      <c r="J91" s="27">
        <f t="shared" si="39"/>
        <v>-1.3097325198602237</v>
      </c>
      <c r="K91" s="28">
        <f t="shared" si="39"/>
        <v>-1.5636552483697708</v>
      </c>
      <c r="M91" s="1455"/>
      <c r="N91" s="1456"/>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55"/>
      <c r="N92" s="1456"/>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55"/>
      <c r="N93" s="1456"/>
    </row>
    <row r="94" spans="1:14" ht="13.3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55"/>
      <c r="N94" s="1456"/>
    </row>
    <row r="95" spans="1:14" ht="13.35" customHeight="1">
      <c r="A95" s="24" t="s">
        <v>2947</v>
      </c>
      <c r="B95" s="378">
        <f>IF(OR(B80="Choose mgt fee",B80="Choose One!"),"",(B74+B75+B76+B77+B78) / -(B79+B80+B81))</f>
        <v>1.0178301904521094</v>
      </c>
      <c r="C95" s="378">
        <f t="shared" ref="C95:K95" si="43">IF(OR(C80="Choose mgt fee",C80="Choose One!"),"",(C74+C75+C76+C77+C78) / -(C79+C80+C81))</f>
        <v>1.0085461370666897</v>
      </c>
      <c r="D95" s="378">
        <f t="shared" si="43"/>
        <v>0.99934148993470218</v>
      </c>
      <c r="E95" s="378">
        <f t="shared" si="43"/>
        <v>0.99021525133315047</v>
      </c>
      <c r="F95" s="378">
        <f t="shared" si="43"/>
        <v>0.98116812956584709</v>
      </c>
      <c r="G95" s="378">
        <f t="shared" si="43"/>
        <v>0.97219750937240634</v>
      </c>
      <c r="H95" s="378">
        <f t="shared" si="43"/>
        <v>0.96330411034212693</v>
      </c>
      <c r="I95" s="378">
        <f t="shared" si="43"/>
        <v>0.95448774957061322</v>
      </c>
      <c r="J95" s="378">
        <f t="shared" si="43"/>
        <v>0.94574679273724527</v>
      </c>
      <c r="K95" s="379">
        <f t="shared" si="43"/>
        <v>0.93708044540392055</v>
      </c>
      <c r="M95" s="1455"/>
      <c r="N95" s="1456"/>
    </row>
    <row r="96" spans="1:14" ht="13.35" customHeight="1">
      <c r="A96" s="679" t="s">
        <v>379</v>
      </c>
      <c r="B96" s="1566">
        <f>IF('Part III A-Sources of Funds'!$H$32="","",-FV('Part III A-Sources of Funds'!$J$32/12,12,B83/12,K66))</f>
        <v>372382.41383134568</v>
      </c>
      <c r="C96" s="1566">
        <f>IF('Part III A-Sources of Funds'!$H$32="","",-FV('Part III A-Sources of Funds'!$J$32/12,12,C83/12,B96))</f>
        <v>341588.24323222361</v>
      </c>
      <c r="D96" s="1566">
        <f>IF('Part III A-Sources of Funds'!$H$32="","",-FV('Part III A-Sources of Funds'!$J$32/12,12,D83/12,C96))</f>
        <v>308567.95955059025</v>
      </c>
      <c r="E96" s="1566">
        <f>IF('Part III A-Sources of Funds'!$H$32="","",-FV('Part III A-Sources of Funds'!$J$32/12,12,E83/12,D96))</f>
        <v>273160.63689171581</v>
      </c>
      <c r="F96" s="1566">
        <f>IF('Part III A-Sources of Funds'!$H$32="","",-FV('Part III A-Sources of Funds'!$J$32/12,12,F83/12,E96))</f>
        <v>235193.71601492848</v>
      </c>
      <c r="G96" s="1566">
        <f>IF('Part III A-Sources of Funds'!$H$32="","",-FV('Part III A-Sources of Funds'!$J$32/12,12,G83/12,F96))</f>
        <v>194482.16335809589</v>
      </c>
      <c r="H96" s="1566">
        <f>IF('Part III A-Sources of Funds'!$H$32="","",-FV('Part III A-Sources of Funds'!$J$32/12,12,H83/12,G96))</f>
        <v>150827.56926791795</v>
      </c>
      <c r="I96" s="1566">
        <f>IF('Part III A-Sources of Funds'!$H$32="","",-FV('Part III A-Sources of Funds'!$J$32/12,12,I83/12,H96))</f>
        <v>104017.18104121491</v>
      </c>
      <c r="J96" s="1566">
        <f>IF('Part III A-Sources of Funds'!$H$32="","",-FV('Part III A-Sources of Funds'!$J$32/12,12,J83/12,I96))</f>
        <v>53822.866064691691</v>
      </c>
      <c r="K96" s="1566">
        <f>IF('Part III A-Sources of Funds'!$H$32="","",-FV('Part III A-Sources of Funds'!$J$32/12,12,K83/12,J96))</f>
        <v>-7.756170816719532E-9</v>
      </c>
      <c r="M96" s="1455"/>
      <c r="N96" s="1456"/>
    </row>
    <row r="97" spans="1:14" ht="13.35" customHeight="1">
      <c r="A97" s="679" t="s">
        <v>380</v>
      </c>
      <c r="B97" s="1563">
        <f>IF('Part III A-Sources of Funds'!$H$33="","",-FV('Part III A-Sources of Funds'!$J$33/12,12,B84/12,K67))</f>
        <v>384754.3197117307</v>
      </c>
      <c r="C97" s="1563">
        <f>IF('Part III A-Sources of Funds'!$H$33="","",-FV('Part III A-Sources of Funds'!$J$33/12,12,C84/12,B97))</f>
        <v>392520.33775078662</v>
      </c>
      <c r="D97" s="1563">
        <f>IF('Part III A-Sources of Funds'!$H$33="","",-FV('Part III A-Sources of Funds'!$J$33/12,12,D84/12,C97))</f>
        <v>400443.10786017182</v>
      </c>
      <c r="E97" s="1563">
        <f>IF('Part III A-Sources of Funds'!$H$33="","",-FV('Part III A-Sources of Funds'!$J$33/12,12,E84/12,D97))</f>
        <v>408525.7939794276</v>
      </c>
      <c r="F97" s="1563">
        <f>IF('Part III A-Sources of Funds'!$H$33="","",-FV('Part III A-Sources of Funds'!$J$33/12,12,F84/12,E97))</f>
        <v>416771.62391017639</v>
      </c>
      <c r="G97" s="1563">
        <f>IF('Part III A-Sources of Funds'!$H$33="","",-FV('Part III A-Sources of Funds'!$J$33/12,12,G84/12,F97))</f>
        <v>425183.89060513658</v>
      </c>
      <c r="H97" s="1563">
        <f>IF('Part III A-Sources of Funds'!$H$33="","",-FV('Part III A-Sources of Funds'!$J$33/12,12,H84/12,G97))</f>
        <v>433765.95348315552</v>
      </c>
      <c r="I97" s="1563">
        <f>IF('Part III A-Sources of Funds'!$H$33="","",-FV('Part III A-Sources of Funds'!$J$33/12,12,I84/12,H97))</f>
        <v>442521.23977078538</v>
      </c>
      <c r="J97" s="1563">
        <f>IF('Part III A-Sources of Funds'!$H$33="","",-FV('Part III A-Sources of Funds'!$J$33/12,12,J84/12,I97))</f>
        <v>451453.24587093812</v>
      </c>
      <c r="K97" s="1563">
        <f>IF('Part III A-Sources of Funds'!$H$33="","",-FV('Part III A-Sources of Funds'!$J$33/12,12,K84/12,J97))</f>
        <v>460565.53875916573</v>
      </c>
      <c r="M97" s="1455"/>
      <c r="N97" s="1456"/>
    </row>
    <row r="98" spans="1:14" ht="13.35" customHeight="1">
      <c r="A98" s="679" t="s">
        <v>381</v>
      </c>
      <c r="B98" s="1563" t="str">
        <f>IF('Part III A-Sources of Funds'!$H$34="","",-FV('Part III A-Sources of Funds'!$J$34/12,12,B85/12,K68))</f>
        <v/>
      </c>
      <c r="C98" s="1563" t="str">
        <f>IF('Part III A-Sources of Funds'!$H$34="","",-FV('Part III A-Sources of Funds'!$J$34/12,12,C85/12,B98))</f>
        <v/>
      </c>
      <c r="D98" s="1563" t="str">
        <f>IF('Part III A-Sources of Funds'!$H$34="","",-FV('Part III A-Sources of Funds'!$J$34/12,12,D85/12,C98))</f>
        <v/>
      </c>
      <c r="E98" s="1563" t="str">
        <f>IF('Part III A-Sources of Funds'!$H$34="","",-FV('Part III A-Sources of Funds'!$J$34/12,12,E85/12,D98))</f>
        <v/>
      </c>
      <c r="F98" s="1563" t="str">
        <f>IF('Part III A-Sources of Funds'!$H$34="","",-FV('Part III A-Sources of Funds'!$J$34/12,12,F85/12,E98))</f>
        <v/>
      </c>
      <c r="G98" s="1563" t="str">
        <f>IF('Part III A-Sources of Funds'!$H$34="","",-FV('Part III A-Sources of Funds'!$J$34/12,12,G85/12,F98))</f>
        <v/>
      </c>
      <c r="H98" s="1563" t="str">
        <f>IF('Part III A-Sources of Funds'!$H$34="","",-FV('Part III A-Sources of Funds'!$J$34/12,12,H85/12,G98))</f>
        <v/>
      </c>
      <c r="I98" s="1563" t="str">
        <f>IF('Part III A-Sources of Funds'!$H$34="","",-FV('Part III A-Sources of Funds'!$J$34/12,12,I85/12,H98))</f>
        <v/>
      </c>
      <c r="J98" s="1563" t="str">
        <f>IF('Part III A-Sources of Funds'!$H$34="","",-FV('Part III A-Sources of Funds'!$J$34/12,12,J85/12,I98))</f>
        <v/>
      </c>
      <c r="K98" s="1563" t="str">
        <f>IF('Part III A-Sources of Funds'!$H$34="","",-FV('Part III A-Sources of Funds'!$J$34/12,12,K85/12,J98))</f>
        <v/>
      </c>
      <c r="M98" s="1455"/>
      <c r="N98" s="1456"/>
    </row>
    <row r="99" spans="1:14" ht="13.35" customHeight="1">
      <c r="A99" s="24" t="s">
        <v>2803</v>
      </c>
      <c r="B99" s="1563" t="str">
        <f>IF('Part III A-Sources of Funds'!$H$35="","",-FV('Part III A-Sources of Funds'!$J$35/12,12,B86/12,K69))</f>
        <v/>
      </c>
      <c r="C99" s="1563" t="str">
        <f>IF('Part III A-Sources of Funds'!$H$35="","",-FV('Part III A-Sources of Funds'!$J$35/12,12,C86/12,B99))</f>
        <v/>
      </c>
      <c r="D99" s="1563" t="str">
        <f>IF('Part III A-Sources of Funds'!$H$35="","",-FV('Part III A-Sources of Funds'!$J$35/12,12,D86/12,C99))</f>
        <v/>
      </c>
      <c r="E99" s="1563" t="str">
        <f>IF('Part III A-Sources of Funds'!$H$35="","",-FV('Part III A-Sources of Funds'!$J$35/12,12,E86/12,D99))</f>
        <v/>
      </c>
      <c r="F99" s="1563" t="str">
        <f>IF('Part III A-Sources of Funds'!$H$35="","",-FV('Part III A-Sources of Funds'!$J$35/12,12,F86/12,E99))</f>
        <v/>
      </c>
      <c r="G99" s="1563" t="str">
        <f>IF('Part III A-Sources of Funds'!$H$35="","",-FV('Part III A-Sources of Funds'!$J$35/12,12,G86/12,F99))</f>
        <v/>
      </c>
      <c r="H99" s="1563" t="str">
        <f>IF('Part III A-Sources of Funds'!$H$35="","",-FV('Part III A-Sources of Funds'!$J$35/12,12,H86/12,G99))</f>
        <v/>
      </c>
      <c r="I99" s="1563" t="str">
        <f>IF('Part III A-Sources of Funds'!$H$35="","",-FV('Part III A-Sources of Funds'!$J$35/12,12,I86/12,H99))</f>
        <v/>
      </c>
      <c r="J99" s="1563" t="str">
        <f>IF('Part III A-Sources of Funds'!$H$35="","",-FV('Part III A-Sources of Funds'!$J$35/12,12,J86/12,I99))</f>
        <v/>
      </c>
      <c r="K99" s="1563" t="str">
        <f>IF('Part III A-Sources of Funds'!$H$35="","",-FV('Part III A-Sources of Funds'!$J$35/12,12,K86/12,J99))</f>
        <v/>
      </c>
      <c r="M99" s="1455"/>
      <c r="N99" s="1456"/>
    </row>
    <row r="100" spans="1:14" ht="13.35" customHeight="1">
      <c r="A100" s="679" t="s">
        <v>514</v>
      </c>
      <c r="B100" s="1563">
        <f>'Part III A-Sources of Funds'!$H$36</f>
        <v>1100000</v>
      </c>
      <c r="C100" s="1563">
        <f>B100</f>
        <v>1100000</v>
      </c>
      <c r="D100" s="1563">
        <f t="shared" ref="D100:K100" si="44">C100</f>
        <v>1100000</v>
      </c>
      <c r="E100" s="1563">
        <f t="shared" si="44"/>
        <v>1100000</v>
      </c>
      <c r="F100" s="1563">
        <f t="shared" si="44"/>
        <v>1100000</v>
      </c>
      <c r="G100" s="1563">
        <f t="shared" si="44"/>
        <v>1100000</v>
      </c>
      <c r="H100" s="1563">
        <f t="shared" si="44"/>
        <v>1100000</v>
      </c>
      <c r="I100" s="1563">
        <f t="shared" si="44"/>
        <v>1100000</v>
      </c>
      <c r="J100" s="1563">
        <f t="shared" si="44"/>
        <v>1100000</v>
      </c>
      <c r="K100" s="1563">
        <f t="shared" si="44"/>
        <v>1100000</v>
      </c>
      <c r="M100" s="1455"/>
      <c r="N100" s="1456"/>
    </row>
    <row r="101" spans="1:14" ht="13.35" customHeight="1">
      <c r="A101" s="29" t="s">
        <v>2299</v>
      </c>
      <c r="B101" s="1565">
        <f>IF('Part III A-Sources of Funds'!$H$37="","",-FV('Part III A-Sources of Funds'!$J$37/12,12,B89/12,K71))</f>
        <v>0</v>
      </c>
      <c r="C101" s="1565">
        <f>IF('Part III A-Sources of Funds'!$H$37="","",-FV('Part III A-Sources of Funds'!$J$37/12,12,C89/12,B101))</f>
        <v>0</v>
      </c>
      <c r="D101" s="1565">
        <f>IF('Part III A-Sources of Funds'!$H$37="","",-FV('Part III A-Sources of Funds'!$J$37/12,12,D89/12,C101))</f>
        <v>0</v>
      </c>
      <c r="E101" s="1565">
        <f>IF('Part III A-Sources of Funds'!$H$37="","",-FV('Part III A-Sources of Funds'!$J$37/12,12,E89/12,D101))</f>
        <v>0</v>
      </c>
      <c r="F101" s="1565">
        <f>IF('Part III A-Sources of Funds'!$H$37="","",-FV('Part III A-Sources of Funds'!$J$37/12,12,F89/12,E101))</f>
        <v>0</v>
      </c>
      <c r="G101" s="1565">
        <f>IF('Part III A-Sources of Funds'!$H$37="","",-FV('Part III A-Sources of Funds'!$J$37/12,12,G89/12,F101))</f>
        <v>0</v>
      </c>
      <c r="H101" s="1565">
        <f>IF('Part III A-Sources of Funds'!$H$37="","",-FV('Part III A-Sources of Funds'!$J$37/12,12,H89/12,G101))</f>
        <v>0</v>
      </c>
      <c r="I101" s="1565">
        <f>IF('Part III A-Sources of Funds'!$H$37="","",-FV('Part III A-Sources of Funds'!$J$37/12,12,I89/12,H101))</f>
        <v>0</v>
      </c>
      <c r="J101" s="1565">
        <f>IF('Part III A-Sources of Funds'!$H$37="","",-FV('Part III A-Sources of Funds'!$J$37/12,12,J89/12,I101))</f>
        <v>0</v>
      </c>
      <c r="K101" s="1565">
        <f>IF('Part III A-Sources of Funds'!$H$37="","",-FV('Part III A-Sources of Funds'!$J$37/12,12,K89/12,J101))</f>
        <v>0</v>
      </c>
      <c r="M101" s="1458"/>
      <c r="N101" s="1459"/>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3247</v>
      </c>
      <c r="B104" s="16"/>
      <c r="G104" s="16" t="s">
        <v>2518</v>
      </c>
    </row>
    <row r="105" spans="1:14" ht="12" customHeight="1">
      <c r="B105" s="35"/>
    </row>
    <row r="106" spans="1:14" ht="210" customHeight="1">
      <c r="A106" s="1355"/>
      <c r="B106" s="1567"/>
      <c r="C106" s="1567"/>
      <c r="D106" s="1567"/>
      <c r="E106" s="1567"/>
      <c r="F106" s="1568"/>
      <c r="G106" s="1358"/>
      <c r="H106" s="1567"/>
      <c r="I106" s="1567"/>
      <c r="J106" s="1567"/>
      <c r="K106" s="1568"/>
      <c r="M106" s="987" t="s">
        <v>121</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IV700"/>
  <sheetViews>
    <sheetView showGridLines="0" showZeros="0" zoomScale="150" zoomScaleSheetLayoutView="40" workbookViewId="0">
      <pane ySplit="2235" activePane="bottomLeft"/>
      <selection activeCell="P271" sqref="P271"/>
      <selection pane="bottomLeft"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4.1" customHeight="1">
      <c r="A1" s="993" t="str">
        <f>CONCATENATE("PART EIGHT - THRESHOLD CRITERIA","  -  ",'Part I-Project Information'!$O$4," ",'Part I-Project Information'!$F$22,", ",'Part I-Project Information'!F24,", ",'Part I-Project Information'!J25," County")</f>
        <v>PART EIGHT - THRESHOLD CRITERIA  -  2012-042 Adair Court, Atlanta, Fulton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1"/>
      <c r="C3" s="1151"/>
      <c r="D3" s="1151"/>
      <c r="E3" s="1151"/>
      <c r="F3" s="1151"/>
      <c r="G3" s="1151"/>
      <c r="H3" s="115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1"/>
      <c r="J3" s="1151"/>
      <c r="K3" s="1151"/>
      <c r="L3" s="1151"/>
      <c r="M3" s="1151"/>
      <c r="N3" s="1152"/>
      <c r="O3" s="1153" t="s">
        <v>2624</v>
      </c>
      <c r="P3" s="1154"/>
      <c r="Q3" s="299" t="s">
        <v>1364</v>
      </c>
    </row>
    <row r="4" spans="1:32" ht="3" customHeight="1">
      <c r="A4" s="848"/>
      <c r="B4" s="1145"/>
      <c r="C4" s="1145"/>
      <c r="D4" s="1145"/>
      <c r="E4" s="848"/>
      <c r="F4" s="848"/>
      <c r="G4" s="848"/>
      <c r="H4" s="848"/>
      <c r="I4" s="848"/>
      <c r="J4" s="848"/>
      <c r="K4" s="848"/>
      <c r="L4" s="848"/>
      <c r="M4" s="848"/>
      <c r="N4" s="848"/>
      <c r="P4" s="848"/>
      <c r="Q4" s="848"/>
    </row>
    <row r="5" spans="1:32" ht="11.1" hidden="1" customHeight="1">
      <c r="A5" s="848"/>
      <c r="B5" s="848"/>
      <c r="C5" s="848"/>
      <c r="D5" s="848"/>
      <c r="E5" s="848"/>
      <c r="F5" s="848"/>
      <c r="G5" s="848"/>
      <c r="H5" s="848"/>
      <c r="I5" s="848"/>
      <c r="J5" s="848"/>
      <c r="K5" s="848"/>
      <c r="L5" s="848"/>
      <c r="M5" s="848"/>
      <c r="N5" s="848"/>
      <c r="P5" s="848"/>
      <c r="Q5" s="848"/>
    </row>
    <row r="6" spans="1:32" ht="15" customHeight="1">
      <c r="A6" s="174" t="s">
        <v>3341</v>
      </c>
      <c r="P6" s="1146"/>
      <c r="Q6" s="1147"/>
    </row>
    <row r="7" spans="1:32" ht="12.6" customHeight="1">
      <c r="A7" s="175" t="s">
        <v>3706</v>
      </c>
      <c r="C7" s="176"/>
      <c r="D7" s="176"/>
    </row>
    <row r="8" spans="1:32" ht="24.6" customHeight="1">
      <c r="A8" s="1148" t="s">
        <v>2103</v>
      </c>
      <c r="B8" s="1149"/>
      <c r="C8" s="1149"/>
      <c r="D8" s="1149"/>
      <c r="E8" s="1149"/>
      <c r="F8" s="1149"/>
      <c r="G8" s="1149"/>
      <c r="H8" s="1149"/>
      <c r="I8" s="1149"/>
      <c r="J8" s="1149"/>
      <c r="K8" s="1149"/>
      <c r="L8" s="1149"/>
      <c r="M8" s="1149"/>
      <c r="N8" s="1149"/>
      <c r="O8" s="1149"/>
      <c r="P8" s="1149"/>
      <c r="Q8" s="1150"/>
      <c r="R8" s="1125" t="s">
        <v>1200</v>
      </c>
      <c r="S8" s="886"/>
    </row>
    <row r="9" spans="1:32" ht="24.6" customHeight="1">
      <c r="A9" s="1136" t="s">
        <v>3862</v>
      </c>
      <c r="B9" s="1137"/>
      <c r="C9" s="1137"/>
      <c r="D9" s="1137"/>
      <c r="E9" s="1137"/>
      <c r="F9" s="1137"/>
      <c r="G9" s="1137"/>
      <c r="H9" s="1137"/>
      <c r="I9" s="1137"/>
      <c r="J9" s="1137"/>
      <c r="K9" s="1137"/>
      <c r="L9" s="1137"/>
      <c r="M9" s="1137"/>
      <c r="N9" s="1137"/>
      <c r="O9" s="1137"/>
      <c r="P9" s="1137"/>
      <c r="Q9" s="1138"/>
      <c r="R9" s="1125"/>
      <c r="S9" s="886"/>
    </row>
    <row r="10" spans="1:32" ht="24.6" customHeight="1">
      <c r="A10" s="1136" t="s">
        <v>2099</v>
      </c>
      <c r="B10" s="1137"/>
      <c r="C10" s="1137"/>
      <c r="D10" s="1137"/>
      <c r="E10" s="1137"/>
      <c r="F10" s="1137"/>
      <c r="G10" s="1137"/>
      <c r="H10" s="1137"/>
      <c r="I10" s="1137"/>
      <c r="J10" s="1137"/>
      <c r="K10" s="1137"/>
      <c r="L10" s="1137"/>
      <c r="M10" s="1137"/>
      <c r="N10" s="1137"/>
      <c r="O10" s="1137"/>
      <c r="P10" s="1137"/>
      <c r="Q10" s="1138"/>
      <c r="R10" s="1125"/>
      <c r="S10" s="886"/>
    </row>
    <row r="11" spans="1:32" ht="24.6" customHeight="1">
      <c r="A11" s="1136" t="s">
        <v>2100</v>
      </c>
      <c r="B11" s="1137"/>
      <c r="C11" s="1137"/>
      <c r="D11" s="1137"/>
      <c r="E11" s="1137"/>
      <c r="F11" s="1137"/>
      <c r="G11" s="1137"/>
      <c r="H11" s="1137"/>
      <c r="I11" s="1137"/>
      <c r="J11" s="1137"/>
      <c r="K11" s="1137"/>
      <c r="L11" s="1137"/>
      <c r="M11" s="1137"/>
      <c r="N11" s="1137"/>
      <c r="O11" s="1137"/>
      <c r="P11" s="1137"/>
      <c r="Q11" s="1138"/>
      <c r="R11" s="1125"/>
      <c r="S11" s="886"/>
    </row>
    <row r="12" spans="1:32" ht="24.6" customHeight="1">
      <c r="A12" s="1136" t="s">
        <v>2101</v>
      </c>
      <c r="B12" s="1137"/>
      <c r="C12" s="1137"/>
      <c r="D12" s="1137"/>
      <c r="E12" s="1137"/>
      <c r="F12" s="1137"/>
      <c r="G12" s="1137"/>
      <c r="H12" s="1137"/>
      <c r="I12" s="1137"/>
      <c r="J12" s="1137"/>
      <c r="K12" s="1137"/>
      <c r="L12" s="1137"/>
      <c r="M12" s="1137"/>
      <c r="N12" s="1137"/>
      <c r="O12" s="1137"/>
      <c r="P12" s="1137"/>
      <c r="Q12" s="1138"/>
      <c r="R12" s="826"/>
      <c r="S12" s="826"/>
    </row>
    <row r="13" spans="1:32" ht="24.6" customHeight="1">
      <c r="A13" s="1136" t="s">
        <v>2102</v>
      </c>
      <c r="B13" s="1137"/>
      <c r="C13" s="1137"/>
      <c r="D13" s="1137"/>
      <c r="E13" s="1137"/>
      <c r="F13" s="1137"/>
      <c r="G13" s="1137"/>
      <c r="H13" s="1137"/>
      <c r="I13" s="1137"/>
      <c r="J13" s="1137"/>
      <c r="K13" s="1137"/>
      <c r="L13" s="1137"/>
      <c r="M13" s="1137"/>
      <c r="N13" s="1137"/>
      <c r="O13" s="1137"/>
      <c r="P13" s="1137"/>
      <c r="Q13" s="1138"/>
      <c r="R13" s="826"/>
      <c r="S13" s="826"/>
    </row>
    <row r="14" spans="1:32" ht="24.6" customHeight="1">
      <c r="A14" s="1136" t="s">
        <v>2104</v>
      </c>
      <c r="B14" s="1137"/>
      <c r="C14" s="1137"/>
      <c r="D14" s="1137"/>
      <c r="E14" s="1137"/>
      <c r="F14" s="1137"/>
      <c r="G14" s="1137"/>
      <c r="H14" s="1137"/>
      <c r="I14" s="1137"/>
      <c r="J14" s="1137"/>
      <c r="K14" s="1137"/>
      <c r="L14" s="1137"/>
      <c r="M14" s="1137"/>
      <c r="N14" s="1137"/>
      <c r="O14" s="1137"/>
      <c r="P14" s="1137"/>
      <c r="Q14" s="1138"/>
    </row>
    <row r="15" spans="1:32" ht="24.6" customHeight="1">
      <c r="A15" s="1136" t="s">
        <v>1187</v>
      </c>
      <c r="B15" s="1137"/>
      <c r="C15" s="1137"/>
      <c r="D15" s="1137"/>
      <c r="E15" s="1137"/>
      <c r="F15" s="1137"/>
      <c r="G15" s="1137"/>
      <c r="H15" s="1137"/>
      <c r="I15" s="1137"/>
      <c r="J15" s="1137"/>
      <c r="K15" s="1137"/>
      <c r="L15" s="1137"/>
      <c r="M15" s="1137"/>
      <c r="N15" s="1137"/>
      <c r="O15" s="1137"/>
      <c r="P15" s="1137"/>
      <c r="Q15" s="1138"/>
      <c r="R15" s="886" t="s">
        <v>1200</v>
      </c>
      <c r="S15" s="886"/>
    </row>
    <row r="16" spans="1:32" ht="24.6" customHeight="1">
      <c r="A16" s="1136" t="s">
        <v>1188</v>
      </c>
      <c r="B16" s="1137"/>
      <c r="C16" s="1137"/>
      <c r="D16" s="1137"/>
      <c r="E16" s="1137"/>
      <c r="F16" s="1137"/>
      <c r="G16" s="1137"/>
      <c r="H16" s="1137"/>
      <c r="I16" s="1137"/>
      <c r="J16" s="1137"/>
      <c r="K16" s="1137"/>
      <c r="L16" s="1137"/>
      <c r="M16" s="1137"/>
      <c r="N16" s="1137"/>
      <c r="O16" s="1137"/>
      <c r="P16" s="1137"/>
      <c r="Q16" s="1138"/>
      <c r="R16" s="886"/>
      <c r="S16" s="886"/>
    </row>
    <row r="17" spans="1:19" ht="24.6" customHeight="1">
      <c r="A17" s="1136" t="s">
        <v>1189</v>
      </c>
      <c r="B17" s="1137"/>
      <c r="C17" s="1137"/>
      <c r="D17" s="1137"/>
      <c r="E17" s="1137"/>
      <c r="F17" s="1137"/>
      <c r="G17" s="1137"/>
      <c r="H17" s="1137"/>
      <c r="I17" s="1137"/>
      <c r="J17" s="1137"/>
      <c r="K17" s="1137"/>
      <c r="L17" s="1137"/>
      <c r="M17" s="1137"/>
      <c r="N17" s="1137"/>
      <c r="O17" s="1137"/>
      <c r="P17" s="1137"/>
      <c r="Q17" s="1138"/>
      <c r="R17" s="886"/>
      <c r="S17" s="886"/>
    </row>
    <row r="18" spans="1:19" ht="24.6" customHeight="1">
      <c r="A18" s="1136" t="s">
        <v>1190</v>
      </c>
      <c r="B18" s="1137"/>
      <c r="C18" s="1137"/>
      <c r="D18" s="1137"/>
      <c r="E18" s="1137"/>
      <c r="F18" s="1137"/>
      <c r="G18" s="1137"/>
      <c r="H18" s="1137"/>
      <c r="I18" s="1137"/>
      <c r="J18" s="1137"/>
      <c r="K18" s="1137"/>
      <c r="L18" s="1137"/>
      <c r="M18" s="1137"/>
      <c r="N18" s="1137"/>
      <c r="O18" s="1137"/>
      <c r="P18" s="1137"/>
      <c r="Q18" s="1138"/>
      <c r="R18" s="886"/>
      <c r="S18" s="886"/>
    </row>
    <row r="19" spans="1:19" ht="24.6" customHeight="1">
      <c r="A19" s="1136" t="s">
        <v>1191</v>
      </c>
      <c r="B19" s="1137"/>
      <c r="C19" s="1137"/>
      <c r="D19" s="1137"/>
      <c r="E19" s="1137"/>
      <c r="F19" s="1137"/>
      <c r="G19" s="1137"/>
      <c r="H19" s="1137"/>
      <c r="I19" s="1137"/>
      <c r="J19" s="1137"/>
      <c r="K19" s="1137"/>
      <c r="L19" s="1137"/>
      <c r="M19" s="1137"/>
      <c r="N19" s="1137"/>
      <c r="O19" s="1137"/>
      <c r="P19" s="1137"/>
      <c r="Q19" s="1138"/>
      <c r="R19" s="826"/>
      <c r="S19" s="826"/>
    </row>
    <row r="20" spans="1:19" ht="24.6" customHeight="1">
      <c r="A20" s="1136" t="s">
        <v>1192</v>
      </c>
      <c r="B20" s="1137"/>
      <c r="C20" s="1137"/>
      <c r="D20" s="1137"/>
      <c r="E20" s="1137"/>
      <c r="F20" s="1137"/>
      <c r="G20" s="1137"/>
      <c r="H20" s="1137"/>
      <c r="I20" s="1137"/>
      <c r="J20" s="1137"/>
      <c r="K20" s="1137"/>
      <c r="L20" s="1137"/>
      <c r="M20" s="1137"/>
      <c r="N20" s="1137"/>
      <c r="O20" s="1137"/>
      <c r="P20" s="1137"/>
      <c r="Q20" s="1138"/>
      <c r="R20" s="826"/>
      <c r="S20" s="826"/>
    </row>
    <row r="21" spans="1:19" ht="24.6" customHeight="1">
      <c r="A21" s="1136" t="s">
        <v>1193</v>
      </c>
      <c r="B21" s="1137"/>
      <c r="C21" s="1137"/>
      <c r="D21" s="1137"/>
      <c r="E21" s="1137"/>
      <c r="F21" s="1137"/>
      <c r="G21" s="1137"/>
      <c r="H21" s="1137"/>
      <c r="I21" s="1137"/>
      <c r="J21" s="1137"/>
      <c r="K21" s="1137"/>
      <c r="L21" s="1137"/>
      <c r="M21" s="1137"/>
      <c r="N21" s="1137"/>
      <c r="O21" s="1137"/>
      <c r="P21" s="1137"/>
      <c r="Q21" s="1138"/>
    </row>
    <row r="22" spans="1:19" ht="24.6" customHeight="1">
      <c r="A22" s="1136" t="s">
        <v>1194</v>
      </c>
      <c r="B22" s="1137"/>
      <c r="C22" s="1137"/>
      <c r="D22" s="1137"/>
      <c r="E22" s="1137"/>
      <c r="F22" s="1137"/>
      <c r="G22" s="1137"/>
      <c r="H22" s="1137"/>
      <c r="I22" s="1137"/>
      <c r="J22" s="1137"/>
      <c r="K22" s="1137"/>
      <c r="L22" s="1137"/>
      <c r="M22" s="1137"/>
      <c r="N22" s="1137"/>
      <c r="O22" s="1137"/>
      <c r="P22" s="1137"/>
      <c r="Q22" s="1138"/>
      <c r="R22" s="886" t="s">
        <v>1200</v>
      </c>
      <c r="S22" s="886"/>
    </row>
    <row r="23" spans="1:19" ht="24.6" customHeight="1">
      <c r="A23" s="1136" t="s">
        <v>1195</v>
      </c>
      <c r="B23" s="1137"/>
      <c r="C23" s="1137"/>
      <c r="D23" s="1137"/>
      <c r="E23" s="1137"/>
      <c r="F23" s="1137"/>
      <c r="G23" s="1137"/>
      <c r="H23" s="1137"/>
      <c r="I23" s="1137"/>
      <c r="J23" s="1137"/>
      <c r="K23" s="1137"/>
      <c r="L23" s="1137"/>
      <c r="M23" s="1137"/>
      <c r="N23" s="1137"/>
      <c r="O23" s="1137"/>
      <c r="P23" s="1137"/>
      <c r="Q23" s="1138"/>
      <c r="R23" s="886"/>
      <c r="S23" s="886"/>
    </row>
    <row r="24" spans="1:19" ht="24.6" customHeight="1">
      <c r="A24" s="1136" t="s">
        <v>1196</v>
      </c>
      <c r="B24" s="1137"/>
      <c r="C24" s="1137"/>
      <c r="D24" s="1137"/>
      <c r="E24" s="1137"/>
      <c r="F24" s="1137"/>
      <c r="G24" s="1137"/>
      <c r="H24" s="1137"/>
      <c r="I24" s="1137"/>
      <c r="J24" s="1137"/>
      <c r="K24" s="1137"/>
      <c r="L24" s="1137"/>
      <c r="M24" s="1137"/>
      <c r="N24" s="1137"/>
      <c r="O24" s="1137"/>
      <c r="P24" s="1137"/>
      <c r="Q24" s="1138"/>
      <c r="R24" s="886"/>
      <c r="S24" s="886"/>
    </row>
    <row r="25" spans="1:19" ht="24.6" customHeight="1">
      <c r="A25" s="1136" t="s">
        <v>1197</v>
      </c>
      <c r="B25" s="1137"/>
      <c r="C25" s="1137"/>
      <c r="D25" s="1137"/>
      <c r="E25" s="1137"/>
      <c r="F25" s="1137"/>
      <c r="G25" s="1137"/>
      <c r="H25" s="1137"/>
      <c r="I25" s="1137"/>
      <c r="J25" s="1137"/>
      <c r="K25" s="1137"/>
      <c r="L25" s="1137"/>
      <c r="M25" s="1137"/>
      <c r="N25" s="1137"/>
      <c r="O25" s="1137"/>
      <c r="P25" s="1137"/>
      <c r="Q25" s="1138"/>
      <c r="R25" s="886"/>
      <c r="S25" s="886"/>
    </row>
    <row r="26" spans="1:19" ht="24.6" customHeight="1">
      <c r="A26" s="1136" t="s">
        <v>1198</v>
      </c>
      <c r="B26" s="1137"/>
      <c r="C26" s="1137"/>
      <c r="D26" s="1137"/>
      <c r="E26" s="1137"/>
      <c r="F26" s="1137"/>
      <c r="G26" s="1137"/>
      <c r="H26" s="1137"/>
      <c r="I26" s="1137"/>
      <c r="J26" s="1137"/>
      <c r="K26" s="1137"/>
      <c r="L26" s="1137"/>
      <c r="M26" s="1137"/>
      <c r="N26" s="1137"/>
      <c r="O26" s="1137"/>
      <c r="P26" s="1137"/>
      <c r="Q26" s="1138"/>
      <c r="R26" s="826"/>
      <c r="S26" s="826"/>
    </row>
    <row r="27" spans="1:19" ht="24.6" customHeight="1">
      <c r="A27" s="1139" t="s">
        <v>1199</v>
      </c>
      <c r="B27" s="1140"/>
      <c r="C27" s="1140"/>
      <c r="D27" s="1140"/>
      <c r="E27" s="1140"/>
      <c r="F27" s="1140"/>
      <c r="G27" s="1140"/>
      <c r="H27" s="1140"/>
      <c r="I27" s="1140"/>
      <c r="J27" s="1140"/>
      <c r="K27" s="1140"/>
      <c r="L27" s="1140"/>
      <c r="M27" s="1140"/>
      <c r="N27" s="1140"/>
      <c r="O27" s="1140"/>
      <c r="P27" s="1140"/>
      <c r="Q27" s="1141"/>
      <c r="R27" s="826"/>
      <c r="S27" s="826"/>
    </row>
    <row r="28" spans="1:19" ht="6" customHeight="1"/>
    <row r="29" spans="1:19" ht="14.1" customHeight="1">
      <c r="A29" s="177">
        <v>1</v>
      </c>
      <c r="B29" s="178" t="s">
        <v>294</v>
      </c>
      <c r="C29" s="179"/>
      <c r="D29" s="115"/>
      <c r="E29" s="115"/>
      <c r="F29" s="115"/>
      <c r="G29" s="115"/>
      <c r="I29" s="180"/>
      <c r="J29" s="180"/>
      <c r="K29" s="180"/>
      <c r="L29" s="848"/>
      <c r="M29" s="848"/>
      <c r="O29" s="181" t="s">
        <v>1392</v>
      </c>
      <c r="P29" s="1113"/>
      <c r="Q29" s="1118"/>
    </row>
    <row r="30" spans="1:19" ht="3" customHeight="1"/>
    <row r="31" spans="1:19" ht="12" customHeight="1">
      <c r="B31" s="192" t="s">
        <v>1150</v>
      </c>
      <c r="C31" s="62" t="s">
        <v>200</v>
      </c>
      <c r="E31" s="38"/>
      <c r="F31" s="38"/>
      <c r="G31" s="38"/>
      <c r="H31" s="38"/>
      <c r="I31" s="50"/>
      <c r="J31" s="40"/>
      <c r="K31" s="50"/>
      <c r="L31" s="40"/>
      <c r="M31" s="40"/>
      <c r="O31" s="79" t="s">
        <v>3196</v>
      </c>
      <c r="P31" s="1569" t="s">
        <v>63</v>
      </c>
      <c r="Q31" s="232"/>
    </row>
    <row r="32" spans="1:19" ht="12" customHeight="1">
      <c r="B32" s="55" t="s">
        <v>1153</v>
      </c>
      <c r="C32" s="62" t="s">
        <v>3027</v>
      </c>
      <c r="E32" s="38"/>
      <c r="F32" s="38"/>
      <c r="G32" s="38"/>
      <c r="H32" s="38"/>
      <c r="J32" s="1570" t="s">
        <v>3320</v>
      </c>
      <c r="K32" s="1571"/>
      <c r="L32" s="1571"/>
      <c r="M32" s="1571"/>
      <c r="N32" s="1572"/>
      <c r="O32" s="79"/>
      <c r="P32" s="79"/>
      <c r="Q32" s="79"/>
    </row>
    <row r="33" spans="1:31" ht="11.25" customHeight="1">
      <c r="B33" s="80" t="s">
        <v>1390</v>
      </c>
      <c r="C33" s="80"/>
      <c r="D33" s="80"/>
      <c r="E33" s="80"/>
      <c r="F33" s="80"/>
      <c r="G33" s="180"/>
      <c r="H33" s="180"/>
      <c r="I33" s="180"/>
      <c r="J33" s="180"/>
      <c r="K33" s="848"/>
      <c r="L33" s="848"/>
      <c r="M33" s="848"/>
      <c r="N33" s="848"/>
      <c r="O33" s="848"/>
      <c r="P33" s="60"/>
      <c r="S33" s="215"/>
      <c r="T33" s="215"/>
    </row>
    <row r="34" spans="1:31" ht="12" customHeight="1">
      <c r="A34" s="1573" t="s">
        <v>12</v>
      </c>
      <c r="B34" s="1574"/>
      <c r="C34" s="1574"/>
      <c r="D34" s="1574"/>
      <c r="E34" s="1574"/>
      <c r="F34" s="1574"/>
      <c r="G34" s="1574"/>
      <c r="H34" s="1574"/>
      <c r="I34" s="1574"/>
      <c r="J34" s="1574"/>
      <c r="K34" s="1574"/>
      <c r="L34" s="1574"/>
      <c r="M34" s="1574"/>
      <c r="N34" s="1574"/>
      <c r="O34" s="1574"/>
      <c r="P34" s="1574"/>
      <c r="Q34" s="1575"/>
      <c r="R34" s="737" t="s">
        <v>2219</v>
      </c>
      <c r="S34" s="738"/>
      <c r="T34" s="215"/>
      <c r="U34" s="186"/>
      <c r="V34" s="186"/>
      <c r="W34" s="186"/>
      <c r="X34" s="186"/>
      <c r="Y34" s="186"/>
      <c r="Z34" s="186"/>
      <c r="AA34" s="186"/>
      <c r="AB34" s="186"/>
      <c r="AC34" s="186"/>
      <c r="AD34" s="186"/>
      <c r="AE34" s="806"/>
    </row>
    <row r="35" spans="1:31" ht="11.25" customHeight="1">
      <c r="B35" s="187" t="s">
        <v>1391</v>
      </c>
      <c r="C35" s="188"/>
      <c r="D35" s="856"/>
      <c r="E35" s="856"/>
      <c r="F35" s="856"/>
      <c r="G35" s="856"/>
      <c r="H35" s="856"/>
      <c r="I35" s="856"/>
      <c r="J35" s="856"/>
      <c r="K35" s="856"/>
      <c r="L35" s="856"/>
      <c r="M35" s="856"/>
      <c r="N35" s="856"/>
      <c r="O35" s="856"/>
      <c r="P35" s="856"/>
    </row>
    <row r="36" spans="1:31" ht="12" customHeight="1">
      <c r="A36" s="1133"/>
      <c r="B36" s="1134"/>
      <c r="C36" s="1134"/>
      <c r="D36" s="1134"/>
      <c r="E36" s="1134"/>
      <c r="F36" s="1134"/>
      <c r="G36" s="1134"/>
      <c r="H36" s="1134"/>
      <c r="I36" s="1134"/>
      <c r="J36" s="1134"/>
      <c r="K36" s="1134"/>
      <c r="L36" s="1134"/>
      <c r="M36" s="1134"/>
      <c r="N36" s="1134"/>
      <c r="O36" s="1134"/>
      <c r="P36" s="1134"/>
      <c r="Q36" s="1135"/>
      <c r="R36" s="737" t="s">
        <v>2219</v>
      </c>
      <c r="S36" s="738"/>
    </row>
    <row r="37" spans="1:31" ht="12" customHeight="1">
      <c r="A37" s="1155"/>
      <c r="B37" s="1156"/>
      <c r="C37" s="1156"/>
      <c r="D37" s="1156"/>
      <c r="E37" s="1156"/>
      <c r="F37" s="1156"/>
      <c r="G37" s="1156"/>
      <c r="H37" s="1156"/>
      <c r="I37" s="1156"/>
      <c r="J37" s="1156"/>
      <c r="K37" s="1156"/>
      <c r="L37" s="1156"/>
      <c r="M37" s="1156"/>
      <c r="N37" s="1156"/>
      <c r="O37" s="1156"/>
      <c r="P37" s="1156"/>
      <c r="Q37" s="1157"/>
    </row>
    <row r="38" spans="1:31" ht="12" customHeight="1">
      <c r="A38" s="1155"/>
      <c r="B38" s="1156"/>
      <c r="C38" s="1156"/>
      <c r="D38" s="1156"/>
      <c r="E38" s="1156"/>
      <c r="F38" s="1156"/>
      <c r="G38" s="1156"/>
      <c r="H38" s="1156"/>
      <c r="I38" s="1156"/>
      <c r="J38" s="1156"/>
      <c r="K38" s="1156"/>
      <c r="L38" s="1156"/>
      <c r="M38" s="1156"/>
      <c r="N38" s="1156"/>
      <c r="O38" s="1156"/>
      <c r="P38" s="1156"/>
      <c r="Q38" s="1157"/>
    </row>
    <row r="39" spans="1:31" ht="12" customHeight="1">
      <c r="A39" s="1130"/>
      <c r="B39" s="1131"/>
      <c r="C39" s="1131"/>
      <c r="D39" s="1131"/>
      <c r="E39" s="1131"/>
      <c r="F39" s="1131"/>
      <c r="G39" s="1131"/>
      <c r="H39" s="1131"/>
      <c r="I39" s="1131"/>
      <c r="J39" s="1131"/>
      <c r="K39" s="1131"/>
      <c r="L39" s="1131"/>
      <c r="M39" s="1131"/>
      <c r="N39" s="1131"/>
      <c r="O39" s="1131"/>
      <c r="P39" s="1131"/>
      <c r="Q39" s="1132"/>
    </row>
    <row r="40" spans="1:31" ht="3" customHeight="1">
      <c r="B40" s="180"/>
      <c r="C40" s="856"/>
      <c r="D40" s="856"/>
      <c r="E40" s="856"/>
      <c r="F40" s="856"/>
      <c r="G40" s="856"/>
      <c r="H40" s="856"/>
      <c r="I40" s="856"/>
      <c r="J40" s="856"/>
      <c r="K40" s="856"/>
      <c r="L40" s="856"/>
      <c r="M40" s="856"/>
      <c r="N40" s="856"/>
      <c r="O40" s="856"/>
      <c r="P40" s="856"/>
      <c r="Q40" s="848"/>
    </row>
    <row r="41" spans="1:31" ht="14.1" customHeight="1">
      <c r="A41" s="857">
        <v>2</v>
      </c>
      <c r="B41" s="5" t="s">
        <v>2351</v>
      </c>
      <c r="C41" s="5"/>
      <c r="D41" s="5"/>
      <c r="E41" s="856"/>
      <c r="F41" s="856"/>
      <c r="G41" s="856"/>
      <c r="H41" s="856"/>
      <c r="K41" s="856"/>
      <c r="L41" s="856"/>
      <c r="M41" s="856"/>
      <c r="O41" s="181" t="s">
        <v>1392</v>
      </c>
      <c r="P41" s="1113"/>
      <c r="Q41" s="1118"/>
    </row>
    <row r="42" spans="1:31" ht="3" customHeight="1"/>
    <row r="43" spans="1:31" ht="11.45" customHeight="1">
      <c r="A43" s="189"/>
      <c r="C43" s="190" t="s">
        <v>3972</v>
      </c>
      <c r="D43" s="190"/>
      <c r="E43" s="190"/>
      <c r="F43" s="190"/>
      <c r="G43" s="190"/>
      <c r="H43" s="190"/>
      <c r="J43" s="1576" t="str">
        <f>'Part I-Project Information'!$H$65</f>
        <v>Elderly</v>
      </c>
      <c r="K43" s="1577"/>
      <c r="L43" s="1578"/>
      <c r="M43" s="856"/>
      <c r="N43" s="856"/>
      <c r="P43" s="1569" t="s">
        <v>63</v>
      </c>
      <c r="Q43" s="232"/>
    </row>
    <row r="44" spans="1:31" ht="11.25" customHeight="1">
      <c r="B44" s="127" t="s">
        <v>1390</v>
      </c>
      <c r="D44" s="127"/>
      <c r="E44" s="127"/>
      <c r="F44" s="127"/>
      <c r="G44" s="127"/>
      <c r="H44" s="48"/>
      <c r="I44" s="180"/>
      <c r="J44" s="180"/>
      <c r="K44" s="187" t="s">
        <v>1391</v>
      </c>
      <c r="L44" s="848"/>
      <c r="M44" s="848"/>
      <c r="N44" s="848"/>
      <c r="O44" s="848"/>
      <c r="P44" s="848"/>
      <c r="Q44" s="60"/>
    </row>
    <row r="45" spans="1:31" ht="11.45" customHeight="1">
      <c r="A45" s="1573"/>
      <c r="B45" s="1574"/>
      <c r="C45" s="1574"/>
      <c r="D45" s="1574"/>
      <c r="E45" s="1574"/>
      <c r="F45" s="1574"/>
      <c r="G45" s="1574"/>
      <c r="H45" s="1574"/>
      <c r="I45" s="1574"/>
      <c r="J45" s="1575"/>
      <c r="K45" s="1109"/>
      <c r="L45" s="1110"/>
      <c r="M45" s="1110"/>
      <c r="N45" s="1110"/>
      <c r="O45" s="1110"/>
      <c r="P45" s="1110"/>
      <c r="Q45" s="1111"/>
      <c r="U45" s="186"/>
      <c r="V45" s="186"/>
      <c r="W45" s="186"/>
      <c r="X45" s="186"/>
      <c r="Y45" s="186"/>
      <c r="Z45" s="186"/>
      <c r="AA45" s="186"/>
      <c r="AB45" s="186"/>
      <c r="AC45" s="186"/>
      <c r="AD45" s="186"/>
      <c r="AE45" s="806"/>
    </row>
    <row r="46" spans="1:31" ht="3" customHeight="1">
      <c r="A46" s="848"/>
      <c r="B46" s="180"/>
      <c r="C46" s="856"/>
      <c r="D46" s="856"/>
      <c r="E46" s="856"/>
      <c r="F46" s="856"/>
      <c r="G46" s="856"/>
      <c r="H46" s="856"/>
      <c r="I46" s="856"/>
      <c r="J46" s="856"/>
      <c r="K46" s="856"/>
      <c r="L46" s="856"/>
      <c r="M46" s="856"/>
      <c r="N46" s="856"/>
      <c r="O46" s="856"/>
      <c r="P46" s="856"/>
      <c r="Q46" s="848"/>
    </row>
    <row r="47" spans="1:31" ht="14.1" customHeight="1">
      <c r="A47" s="857">
        <v>3</v>
      </c>
      <c r="B47" s="857" t="s">
        <v>295</v>
      </c>
      <c r="C47" s="154"/>
      <c r="D47" s="856"/>
      <c r="E47" s="856"/>
      <c r="F47" s="856"/>
      <c r="G47" s="856"/>
      <c r="H47" s="856"/>
      <c r="I47" s="856"/>
      <c r="J47" s="856"/>
      <c r="K47" s="856"/>
      <c r="L47" s="856"/>
      <c r="M47" s="856"/>
      <c r="O47" s="181" t="s">
        <v>1392</v>
      </c>
      <c r="P47" s="1113"/>
      <c r="Q47" s="1118"/>
    </row>
    <row r="48" spans="1:31" ht="3" customHeight="1"/>
    <row r="49" spans="1:31" ht="12.6" customHeight="1">
      <c r="B49" s="192" t="s">
        <v>1150</v>
      </c>
      <c r="C49" s="1142" t="s">
        <v>3727</v>
      </c>
      <c r="D49" s="1142"/>
      <c r="E49" s="1142"/>
      <c r="F49" s="1142"/>
      <c r="G49" s="1142"/>
      <c r="H49" s="1142"/>
      <c r="I49" s="1142"/>
      <c r="J49" s="1142"/>
      <c r="K49" s="1142"/>
      <c r="L49" s="1142"/>
      <c r="M49" s="1142"/>
      <c r="O49" s="193"/>
      <c r="P49" s="1569" t="s">
        <v>25</v>
      </c>
      <c r="Q49" s="232"/>
    </row>
    <row r="50" spans="1:31" ht="12" customHeight="1">
      <c r="B50" s="55" t="s">
        <v>1153</v>
      </c>
      <c r="C50" s="38" t="s">
        <v>192</v>
      </c>
      <c r="D50" s="38"/>
      <c r="E50" s="38"/>
      <c r="F50" s="38"/>
      <c r="G50" s="38"/>
      <c r="H50" s="38"/>
      <c r="I50" s="38"/>
      <c r="J50" s="38"/>
      <c r="K50" s="38"/>
      <c r="L50" s="38"/>
      <c r="M50" s="38"/>
      <c r="O50" s="38"/>
      <c r="P50" s="38"/>
      <c r="Q50" s="38"/>
    </row>
    <row r="51" spans="1:31" ht="11.1" customHeight="1">
      <c r="A51" s="194"/>
      <c r="B51" s="50"/>
      <c r="C51" s="79" t="s">
        <v>1498</v>
      </c>
      <c r="D51" s="38" t="s">
        <v>3251</v>
      </c>
      <c r="E51" s="853"/>
      <c r="F51" s="853"/>
      <c r="G51" s="853"/>
      <c r="H51" s="40"/>
      <c r="I51" s="50"/>
      <c r="J51" s="50"/>
      <c r="K51" s="50"/>
      <c r="L51" s="40"/>
      <c r="M51" s="40"/>
      <c r="O51" s="79" t="s">
        <v>1498</v>
      </c>
      <c r="P51" s="1569" t="s">
        <v>63</v>
      </c>
      <c r="Q51" s="232"/>
    </row>
    <row r="52" spans="1:31" ht="11.1" customHeight="1">
      <c r="A52" s="194"/>
      <c r="B52" s="50"/>
      <c r="C52" s="79" t="s">
        <v>1499</v>
      </c>
      <c r="D52" s="38" t="s">
        <v>1439</v>
      </c>
      <c r="E52" s="853"/>
      <c r="F52" s="853"/>
      <c r="G52" s="853"/>
      <c r="H52" s="40"/>
      <c r="I52" s="50"/>
      <c r="J52" s="50"/>
      <c r="O52" s="79" t="s">
        <v>1499</v>
      </c>
      <c r="P52" s="1569" t="s">
        <v>63</v>
      </c>
      <c r="Q52" s="232"/>
    </row>
    <row r="53" spans="1:31" ht="11.1" customHeight="1">
      <c r="A53" s="194"/>
      <c r="B53" s="50"/>
      <c r="C53" s="79" t="s">
        <v>1500</v>
      </c>
      <c r="D53" s="38" t="s">
        <v>3728</v>
      </c>
      <c r="E53" s="853"/>
      <c r="J53" s="79"/>
      <c r="K53" s="79" t="s">
        <v>1500</v>
      </c>
      <c r="L53" s="1579"/>
      <c r="M53" s="1580"/>
      <c r="N53" s="1580"/>
      <c r="O53" s="1580"/>
      <c r="P53" s="1581"/>
      <c r="Q53" s="232"/>
    </row>
    <row r="54" spans="1:31" ht="11.25" customHeight="1">
      <c r="B54" s="127" t="s">
        <v>1390</v>
      </c>
      <c r="D54" s="127"/>
      <c r="E54" s="127"/>
      <c r="F54" s="127"/>
      <c r="G54" s="127"/>
      <c r="H54" s="48"/>
      <c r="I54" s="180"/>
      <c r="J54" s="180"/>
      <c r="K54" s="180"/>
      <c r="L54" s="848"/>
      <c r="M54" s="848"/>
      <c r="N54" s="848"/>
      <c r="O54" s="848"/>
      <c r="P54" s="848"/>
      <c r="Q54" s="60"/>
    </row>
    <row r="55" spans="1:31" ht="12" customHeight="1">
      <c r="A55" s="1573"/>
      <c r="B55" s="1574"/>
      <c r="C55" s="1574"/>
      <c r="D55" s="1574"/>
      <c r="E55" s="1574"/>
      <c r="F55" s="1574"/>
      <c r="G55" s="1574"/>
      <c r="H55" s="1574"/>
      <c r="I55" s="1574"/>
      <c r="J55" s="1574"/>
      <c r="K55" s="1574"/>
      <c r="L55" s="1574"/>
      <c r="M55" s="1574"/>
      <c r="N55" s="1574"/>
      <c r="O55" s="1574"/>
      <c r="P55" s="1574"/>
      <c r="Q55" s="1575"/>
      <c r="U55" s="186"/>
      <c r="V55" s="186"/>
      <c r="W55" s="186"/>
      <c r="X55" s="186"/>
      <c r="Y55" s="186"/>
      <c r="Z55" s="186"/>
      <c r="AA55" s="186"/>
      <c r="AB55" s="186"/>
      <c r="AC55" s="186"/>
      <c r="AD55" s="186"/>
      <c r="AE55" s="806"/>
    </row>
    <row r="56" spans="1:31" ht="11.25" customHeight="1">
      <c r="B56" s="187" t="s">
        <v>1391</v>
      </c>
      <c r="C56" s="188"/>
      <c r="D56" s="856"/>
      <c r="E56" s="856"/>
      <c r="F56" s="856"/>
      <c r="G56" s="856"/>
      <c r="H56" s="856"/>
      <c r="I56" s="856"/>
      <c r="J56" s="856"/>
      <c r="K56" s="856"/>
      <c r="L56" s="856"/>
      <c r="M56" s="856"/>
      <c r="N56" s="856"/>
      <c r="O56" s="856"/>
      <c r="P56" s="856"/>
      <c r="Q56" s="856"/>
    </row>
    <row r="57" spans="1:31" ht="12" customHeight="1">
      <c r="A57" s="1109"/>
      <c r="B57" s="1110"/>
      <c r="C57" s="1110"/>
      <c r="D57" s="1110"/>
      <c r="E57" s="1110"/>
      <c r="F57" s="1110"/>
      <c r="G57" s="1110"/>
      <c r="H57" s="1110"/>
      <c r="I57" s="1110"/>
      <c r="J57" s="1110"/>
      <c r="K57" s="1110"/>
      <c r="L57" s="1110"/>
      <c r="M57" s="1110"/>
      <c r="N57" s="1110"/>
      <c r="O57" s="1110"/>
      <c r="P57" s="1110"/>
      <c r="Q57" s="1111"/>
    </row>
    <row r="58" spans="1:31" ht="5.0999999999999996" customHeight="1">
      <c r="A58" s="848"/>
      <c r="B58" s="180"/>
      <c r="C58" s="856"/>
      <c r="D58" s="856"/>
      <c r="E58" s="856"/>
      <c r="F58" s="856"/>
      <c r="G58" s="856"/>
      <c r="H58" s="856"/>
      <c r="I58" s="856"/>
      <c r="J58" s="856"/>
      <c r="K58" s="856"/>
      <c r="L58" s="856"/>
      <c r="M58" s="856"/>
      <c r="N58" s="856"/>
      <c r="O58" s="856"/>
      <c r="P58" s="856"/>
      <c r="Q58" s="848"/>
    </row>
    <row r="59" spans="1:31" ht="14.1" customHeight="1">
      <c r="A59" s="857">
        <v>4</v>
      </c>
      <c r="B59" s="857" t="s">
        <v>296</v>
      </c>
      <c r="C59" s="857"/>
      <c r="D59" s="856"/>
      <c r="E59" s="856"/>
      <c r="F59" s="856"/>
      <c r="G59" s="856"/>
      <c r="H59" s="856"/>
      <c r="I59" s="856"/>
      <c r="J59" s="856"/>
      <c r="K59" s="856"/>
      <c r="O59" s="181" t="s">
        <v>1392</v>
      </c>
      <c r="P59" s="1113"/>
      <c r="Q59" s="1118"/>
    </row>
    <row r="60" spans="1:31" ht="3" customHeight="1"/>
    <row r="61" spans="1:31" ht="12" customHeight="1">
      <c r="B61" s="55" t="s">
        <v>1150</v>
      </c>
      <c r="C61" s="195" t="s">
        <v>639</v>
      </c>
      <c r="D61" s="183"/>
      <c r="E61" s="183"/>
      <c r="F61" s="183"/>
      <c r="G61" s="183"/>
      <c r="H61" s="183"/>
      <c r="I61" s="50"/>
      <c r="J61" s="50"/>
      <c r="K61" s="50"/>
      <c r="L61" s="804" t="s">
        <v>1150</v>
      </c>
      <c r="M61" s="1579" t="s">
        <v>26</v>
      </c>
      <c r="N61" s="1580"/>
      <c r="O61" s="1580"/>
      <c r="P61" s="1582"/>
      <c r="Q61" s="232"/>
    </row>
    <row r="62" spans="1:31" ht="12" customHeight="1">
      <c r="B62" s="55" t="s">
        <v>1153</v>
      </c>
      <c r="C62" s="62" t="s">
        <v>1206</v>
      </c>
      <c r="D62" s="183"/>
      <c r="E62" s="183"/>
      <c r="F62" s="183"/>
      <c r="L62" s="804" t="s">
        <v>1153</v>
      </c>
      <c r="M62" s="1579" t="s">
        <v>4021</v>
      </c>
      <c r="N62" s="1580"/>
      <c r="O62" s="1580"/>
      <c r="P62" s="1582"/>
      <c r="Q62" s="232"/>
    </row>
    <row r="63" spans="1:31" ht="12" customHeight="1">
      <c r="B63" s="55" t="s">
        <v>3012</v>
      </c>
      <c r="C63" s="62" t="s">
        <v>640</v>
      </c>
      <c r="D63" s="183"/>
      <c r="E63" s="183"/>
      <c r="F63" s="183"/>
      <c r="L63" s="804" t="s">
        <v>3012</v>
      </c>
      <c r="M63" s="1579" t="s">
        <v>4022</v>
      </c>
      <c r="N63" s="1580"/>
      <c r="O63" s="1580"/>
      <c r="P63" s="1582"/>
      <c r="Q63" s="352"/>
    </row>
    <row r="64" spans="1:31" ht="12" customHeight="1">
      <c r="B64" s="55" t="s">
        <v>1220</v>
      </c>
      <c r="C64" s="62" t="s">
        <v>641</v>
      </c>
      <c r="D64" s="183"/>
      <c r="E64" s="183"/>
      <c r="F64" s="183"/>
      <c r="L64" s="804" t="s">
        <v>1220</v>
      </c>
      <c r="M64" s="1579">
        <v>14.7</v>
      </c>
      <c r="N64" s="1580"/>
      <c r="O64" s="1580"/>
      <c r="P64" s="1582"/>
      <c r="Q64" s="232"/>
    </row>
    <row r="65" spans="1:31" ht="22.35" customHeight="1">
      <c r="B65" s="192" t="s">
        <v>1496</v>
      </c>
      <c r="C65" s="1117" t="s">
        <v>234</v>
      </c>
      <c r="D65" s="1117"/>
      <c r="E65" s="1117"/>
      <c r="F65" s="1117"/>
      <c r="G65" s="1117"/>
      <c r="H65" s="1117"/>
      <c r="I65" s="1117"/>
      <c r="J65" s="1117"/>
      <c r="K65" s="1117"/>
      <c r="L65" s="1117"/>
      <c r="M65" s="853"/>
      <c r="O65" s="804" t="s">
        <v>1496</v>
      </c>
      <c r="P65" s="1569" t="s">
        <v>63</v>
      </c>
      <c r="Q65" s="232"/>
    </row>
    <row r="66" spans="1:31" ht="12" customHeight="1">
      <c r="B66" s="55"/>
      <c r="C66" s="62"/>
      <c r="D66" s="822" t="s">
        <v>637</v>
      </c>
      <c r="E66" s="38" t="s">
        <v>3134</v>
      </c>
      <c r="F66" s="38"/>
      <c r="H66" s="62"/>
      <c r="I66" s="822" t="s">
        <v>637</v>
      </c>
      <c r="J66" s="38" t="s">
        <v>3134</v>
      </c>
      <c r="K66" s="38"/>
      <c r="M66" s="62"/>
      <c r="N66" s="822" t="s">
        <v>637</v>
      </c>
      <c r="O66" s="38" t="s">
        <v>3134</v>
      </c>
      <c r="P66" s="38"/>
      <c r="Q66" s="804"/>
    </row>
    <row r="67" spans="1:31" ht="12" customHeight="1">
      <c r="B67" s="55"/>
      <c r="C67" s="62">
        <v>1</v>
      </c>
      <c r="D67" s="1583" t="s">
        <v>27</v>
      </c>
      <c r="E67" s="1584" t="s">
        <v>28</v>
      </c>
      <c r="F67" s="1584"/>
      <c r="G67" s="1584"/>
      <c r="H67" s="62">
        <v>3</v>
      </c>
      <c r="I67" s="1583" t="s">
        <v>4023</v>
      </c>
      <c r="J67" s="1584" t="s">
        <v>4024</v>
      </c>
      <c r="K67" s="1584"/>
      <c r="L67" s="1584"/>
      <c r="M67" s="62">
        <v>5</v>
      </c>
      <c r="N67" s="1583"/>
      <c r="O67" s="1584"/>
      <c r="P67" s="1584"/>
      <c r="Q67" s="1584"/>
    </row>
    <row r="68" spans="1:31" ht="12" customHeight="1">
      <c r="B68" s="55"/>
      <c r="C68" s="62">
        <v>2</v>
      </c>
      <c r="D68" s="1583" t="s">
        <v>29</v>
      </c>
      <c r="E68" s="1584" t="s">
        <v>30</v>
      </c>
      <c r="F68" s="1584"/>
      <c r="G68" s="1584"/>
      <c r="H68" s="62">
        <v>4</v>
      </c>
      <c r="I68" s="1583" t="s">
        <v>3968</v>
      </c>
      <c r="J68" s="1584" t="s">
        <v>3969</v>
      </c>
      <c r="K68" s="1584"/>
      <c r="L68" s="1584"/>
      <c r="M68" s="62">
        <v>6</v>
      </c>
      <c r="N68" s="1583"/>
      <c r="O68" s="1584"/>
      <c r="P68" s="1584"/>
      <c r="Q68" s="1584"/>
    </row>
    <row r="69" spans="1:31" ht="12" customHeight="1">
      <c r="B69" s="55" t="s">
        <v>1497</v>
      </c>
      <c r="C69" s="62" t="s">
        <v>3953</v>
      </c>
      <c r="D69" s="183"/>
      <c r="E69" s="183"/>
      <c r="F69" s="183"/>
      <c r="G69" s="183"/>
      <c r="H69" s="183"/>
      <c r="I69" s="50"/>
      <c r="J69" s="50"/>
      <c r="K69" s="183"/>
      <c r="L69" s="853"/>
      <c r="M69" s="853"/>
      <c r="O69" s="804" t="s">
        <v>1497</v>
      </c>
      <c r="P69" s="1585" t="s">
        <v>63</v>
      </c>
      <c r="Q69" s="352"/>
    </row>
    <row r="70" spans="1:31" ht="11.25" customHeight="1">
      <c r="B70" s="191" t="s">
        <v>1390</v>
      </c>
      <c r="D70" s="191"/>
      <c r="E70" s="191"/>
      <c r="F70" s="191"/>
      <c r="G70" s="191"/>
      <c r="H70" s="48"/>
      <c r="I70" s="180"/>
      <c r="J70" s="180"/>
      <c r="K70" s="180"/>
      <c r="L70" s="848"/>
      <c r="M70" s="848"/>
      <c r="N70" s="848"/>
      <c r="O70" s="848"/>
      <c r="P70" s="848"/>
      <c r="Q70" s="60"/>
    </row>
    <row r="71" spans="1:31" ht="23.1" customHeight="1">
      <c r="A71" s="1573"/>
      <c r="B71" s="1574"/>
      <c r="C71" s="1574"/>
      <c r="D71" s="1574"/>
      <c r="E71" s="1574"/>
      <c r="F71" s="1574"/>
      <c r="G71" s="1574"/>
      <c r="H71" s="1574"/>
      <c r="I71" s="1574"/>
      <c r="J71" s="1574"/>
      <c r="K71" s="1574"/>
      <c r="L71" s="1574"/>
      <c r="M71" s="1574"/>
      <c r="N71" s="1574"/>
      <c r="O71" s="1574"/>
      <c r="P71" s="1574"/>
      <c r="Q71" s="1575"/>
      <c r="U71" s="186"/>
      <c r="V71" s="186"/>
      <c r="W71" s="186"/>
      <c r="X71" s="186"/>
      <c r="Y71" s="186"/>
      <c r="Z71" s="186"/>
      <c r="AA71" s="186"/>
      <c r="AB71" s="186"/>
      <c r="AC71" s="186"/>
      <c r="AD71" s="186"/>
      <c r="AE71" s="806"/>
    </row>
    <row r="72" spans="1:31" ht="11.25" customHeight="1">
      <c r="B72" s="187" t="s">
        <v>1391</v>
      </c>
      <c r="C72" s="188"/>
      <c r="D72" s="856"/>
      <c r="E72" s="856"/>
      <c r="F72" s="856"/>
      <c r="G72" s="856"/>
      <c r="H72" s="856"/>
      <c r="I72" s="856"/>
      <c r="J72" s="856"/>
      <c r="K72" s="856"/>
      <c r="L72" s="856"/>
      <c r="M72" s="856"/>
      <c r="N72" s="856"/>
      <c r="O72" s="856"/>
      <c r="P72" s="856"/>
      <c r="Q72" s="856"/>
    </row>
    <row r="73" spans="1:31" ht="23.1" customHeight="1">
      <c r="A73" s="1109"/>
      <c r="B73" s="1110"/>
      <c r="C73" s="1110"/>
      <c r="D73" s="1110"/>
      <c r="E73" s="1110"/>
      <c r="F73" s="1110"/>
      <c r="G73" s="1110"/>
      <c r="H73" s="1110"/>
      <c r="I73" s="1110"/>
      <c r="J73" s="1110"/>
      <c r="K73" s="1110"/>
      <c r="L73" s="1110"/>
      <c r="M73" s="1110"/>
      <c r="N73" s="1110"/>
      <c r="O73" s="1110"/>
      <c r="P73" s="1110"/>
      <c r="Q73" s="1111"/>
    </row>
    <row r="74" spans="1:31" ht="14.1" customHeight="1">
      <c r="A74" s="857">
        <v>5</v>
      </c>
      <c r="B74" s="857" t="s">
        <v>297</v>
      </c>
      <c r="C74" s="857"/>
      <c r="D74" s="856"/>
      <c r="E74" s="856"/>
      <c r="F74" s="856"/>
      <c r="G74" s="856"/>
      <c r="H74" s="856"/>
      <c r="I74" s="856"/>
      <c r="J74" s="856"/>
      <c r="K74" s="856"/>
      <c r="L74" s="856"/>
      <c r="M74" s="856"/>
      <c r="O74" s="181" t="s">
        <v>1392</v>
      </c>
      <c r="P74" s="1113"/>
      <c r="Q74" s="1118"/>
    </row>
    <row r="75" spans="1:31" ht="3" customHeight="1"/>
    <row r="76" spans="1:31" ht="12" customHeight="1">
      <c r="B76" s="55" t="s">
        <v>1150</v>
      </c>
      <c r="C76" s="62" t="s">
        <v>3448</v>
      </c>
      <c r="D76" s="62"/>
      <c r="E76" s="62"/>
      <c r="F76" s="62"/>
      <c r="G76" s="62"/>
      <c r="H76" s="62"/>
      <c r="I76" s="62"/>
      <c r="J76" s="62"/>
      <c r="K76" s="62"/>
      <c r="L76" s="62"/>
      <c r="M76" s="62"/>
      <c r="O76" s="804" t="s">
        <v>1150</v>
      </c>
      <c r="P76" s="1569" t="s">
        <v>61</v>
      </c>
      <c r="Q76" s="232"/>
    </row>
    <row r="77" spans="1:31" ht="12" customHeight="1">
      <c r="B77" s="55" t="s">
        <v>1153</v>
      </c>
      <c r="C77" s="62" t="s">
        <v>2135</v>
      </c>
      <c r="D77" s="62"/>
      <c r="E77" s="62"/>
      <c r="F77" s="62"/>
      <c r="G77" s="62"/>
      <c r="H77" s="62"/>
      <c r="I77" s="62"/>
      <c r="J77" s="62"/>
      <c r="K77" s="62"/>
      <c r="L77" s="38"/>
      <c r="M77" s="38"/>
      <c r="O77" s="804" t="s">
        <v>1153</v>
      </c>
      <c r="P77" s="1569" t="s">
        <v>63</v>
      </c>
      <c r="Q77" s="232"/>
    </row>
    <row r="78" spans="1:31" ht="12" customHeight="1">
      <c r="A78" s="182"/>
      <c r="B78" s="44"/>
      <c r="D78" s="47" t="s">
        <v>3219</v>
      </c>
      <c r="E78" s="50"/>
      <c r="F78" s="50"/>
      <c r="G78" s="50"/>
      <c r="H78" s="50"/>
      <c r="I78" s="50"/>
      <c r="K78" s="47" t="s">
        <v>3220</v>
      </c>
      <c r="M78" s="1586" t="s">
        <v>13</v>
      </c>
      <c r="N78" s="1587"/>
      <c r="O78" s="1587"/>
      <c r="P78" s="1588"/>
      <c r="Q78" s="232"/>
    </row>
    <row r="79" spans="1:31" ht="23.1" customHeight="1">
      <c r="A79" s="194"/>
      <c r="B79" s="180"/>
      <c r="C79" s="201" t="s">
        <v>1498</v>
      </c>
      <c r="D79" s="1096" t="s">
        <v>3487</v>
      </c>
      <c r="E79" s="1589"/>
      <c r="F79" s="1589"/>
      <c r="G79" s="1589"/>
      <c r="H79" s="1589"/>
      <c r="I79" s="1589"/>
      <c r="J79" s="1589"/>
      <c r="K79" s="1589"/>
      <c r="L79" s="1589"/>
      <c r="M79" s="1589"/>
      <c r="N79" s="1589"/>
      <c r="O79" s="201" t="s">
        <v>1498</v>
      </c>
      <c r="P79" s="1569" t="s">
        <v>61</v>
      </c>
      <c r="Q79" s="232"/>
    </row>
    <row r="80" spans="1:31" ht="12" customHeight="1">
      <c r="A80" s="194"/>
      <c r="B80" s="180"/>
      <c r="C80" s="79" t="s">
        <v>1499</v>
      </c>
      <c r="D80" s="62" t="s">
        <v>3946</v>
      </c>
      <c r="E80" s="62"/>
      <c r="F80" s="62"/>
      <c r="G80" s="62"/>
      <c r="H80" s="62"/>
      <c r="I80" s="62"/>
      <c r="J80" s="62"/>
      <c r="K80" s="62"/>
      <c r="L80" s="62"/>
      <c r="M80" s="62"/>
      <c r="O80" s="79" t="s">
        <v>1499</v>
      </c>
      <c r="P80" s="1569" t="s">
        <v>61</v>
      </c>
      <c r="Q80" s="232"/>
    </row>
    <row r="81" spans="1:32" s="182" customFormat="1" ht="24.75" customHeight="1">
      <c r="A81" s="194"/>
      <c r="B81" s="712"/>
      <c r="C81" s="201" t="s">
        <v>1500</v>
      </c>
      <c r="D81" s="1117" t="s">
        <v>163</v>
      </c>
      <c r="E81" s="1117"/>
      <c r="F81" s="1117"/>
      <c r="G81" s="1117"/>
      <c r="H81" s="1117"/>
      <c r="I81" s="1117"/>
      <c r="J81" s="1117"/>
      <c r="K81" s="1117"/>
      <c r="L81" s="1117"/>
      <c r="M81" s="1117"/>
      <c r="N81" s="1117"/>
      <c r="O81" s="201" t="s">
        <v>1500</v>
      </c>
      <c r="P81" s="1590" t="s">
        <v>61</v>
      </c>
      <c r="Q81" s="354"/>
      <c r="AE81" s="807"/>
      <c r="AF81" s="807"/>
    </row>
    <row r="82" spans="1:32" ht="12" customHeight="1">
      <c r="B82" s="55" t="s">
        <v>3012</v>
      </c>
      <c r="C82" s="62" t="s">
        <v>3872</v>
      </c>
      <c r="D82" s="62"/>
      <c r="E82" s="62"/>
      <c r="F82" s="62"/>
      <c r="G82" s="62"/>
      <c r="H82" s="62"/>
      <c r="I82" s="62"/>
      <c r="J82" s="62"/>
      <c r="K82" s="62"/>
      <c r="L82" s="62"/>
      <c r="M82" s="62"/>
      <c r="O82" s="804" t="s">
        <v>3012</v>
      </c>
      <c r="P82" s="1569" t="s">
        <v>61</v>
      </c>
      <c r="Q82" s="232"/>
    </row>
    <row r="83" spans="1:32" ht="12" customHeight="1">
      <c r="B83" s="55" t="s">
        <v>1220</v>
      </c>
      <c r="C83" s="62" t="s">
        <v>2027</v>
      </c>
      <c r="D83" s="62"/>
      <c r="E83" s="62"/>
      <c r="G83" s="62"/>
      <c r="I83" s="62"/>
      <c r="K83" s="62"/>
      <c r="L83" s="38"/>
      <c r="M83" s="38"/>
      <c r="N83" s="38"/>
      <c r="O83" s="38"/>
      <c r="P83" s="38"/>
      <c r="Q83" s="38"/>
    </row>
    <row r="84" spans="1:32" ht="12" customHeight="1">
      <c r="B84" s="55"/>
      <c r="C84" s="79" t="s">
        <v>1498</v>
      </c>
      <c r="D84" s="62" t="s">
        <v>2028</v>
      </c>
      <c r="E84" s="62"/>
      <c r="F84" s="62"/>
      <c r="G84" s="62"/>
      <c r="H84" s="62"/>
      <c r="I84" s="62"/>
      <c r="J84" s="62"/>
      <c r="K84" s="62"/>
      <c r="L84" s="38"/>
      <c r="M84" s="38"/>
      <c r="O84" s="79" t="s">
        <v>1498</v>
      </c>
      <c r="P84" s="1569" t="s">
        <v>61</v>
      </c>
      <c r="Q84" s="232"/>
    </row>
    <row r="85" spans="1:32" ht="12" customHeight="1">
      <c r="B85" s="55"/>
      <c r="C85" s="79" t="s">
        <v>1499</v>
      </c>
      <c r="D85" s="62" t="s">
        <v>2029</v>
      </c>
      <c r="E85" s="62"/>
      <c r="F85" s="62"/>
      <c r="G85" s="62"/>
      <c r="H85" s="62"/>
      <c r="I85" s="62"/>
      <c r="J85" s="62"/>
      <c r="K85" s="62"/>
      <c r="L85" s="38"/>
      <c r="M85" s="38"/>
      <c r="O85" s="79" t="s">
        <v>1499</v>
      </c>
      <c r="P85" s="1569" t="s">
        <v>61</v>
      </c>
      <c r="Q85" s="232"/>
    </row>
    <row r="86" spans="1:32" ht="12" customHeight="1">
      <c r="B86" s="55"/>
      <c r="C86" s="79" t="s">
        <v>1500</v>
      </c>
      <c r="D86" s="62" t="s">
        <v>2030</v>
      </c>
      <c r="E86" s="62"/>
      <c r="F86" s="62"/>
      <c r="G86" s="62"/>
      <c r="H86" s="62"/>
      <c r="I86" s="62"/>
      <c r="J86" s="62"/>
      <c r="K86" s="62"/>
      <c r="L86" s="38"/>
      <c r="M86" s="38"/>
      <c r="O86" s="79" t="s">
        <v>1500</v>
      </c>
      <c r="P86" s="1569" t="s">
        <v>61</v>
      </c>
      <c r="Q86" s="232"/>
    </row>
    <row r="87" spans="1:32" ht="11.25" customHeight="1">
      <c r="B87" s="191" t="s">
        <v>1390</v>
      </c>
      <c r="D87" s="191"/>
      <c r="E87" s="191"/>
      <c r="F87" s="191"/>
      <c r="G87" s="191"/>
      <c r="H87" s="48"/>
      <c r="I87" s="180"/>
      <c r="J87" s="180"/>
      <c r="K87" s="180"/>
      <c r="L87" s="848"/>
      <c r="M87" s="848"/>
      <c r="N87" s="848"/>
      <c r="O87" s="848"/>
      <c r="P87" s="848"/>
      <c r="Q87" s="60"/>
    </row>
    <row r="88" spans="1:32" ht="13.35" customHeight="1">
      <c r="A88" s="1573" t="s">
        <v>14</v>
      </c>
      <c r="B88" s="1574"/>
      <c r="C88" s="1574"/>
      <c r="D88" s="1574"/>
      <c r="E88" s="1574"/>
      <c r="F88" s="1574"/>
      <c r="G88" s="1574"/>
      <c r="H88" s="1574"/>
      <c r="I88" s="1574"/>
      <c r="J88" s="1574"/>
      <c r="K88" s="1574"/>
      <c r="L88" s="1574"/>
      <c r="M88" s="1574"/>
      <c r="N88" s="1574"/>
      <c r="O88" s="1574"/>
      <c r="P88" s="1574"/>
      <c r="Q88" s="1575"/>
      <c r="U88" s="186"/>
      <c r="V88" s="186"/>
      <c r="W88" s="186"/>
      <c r="X88" s="186"/>
      <c r="Y88" s="186"/>
      <c r="Z88" s="186"/>
      <c r="AA88" s="186"/>
      <c r="AB88" s="186"/>
      <c r="AC88" s="186"/>
      <c r="AD88" s="186"/>
      <c r="AE88" s="806"/>
    </row>
    <row r="89" spans="1:32" ht="11.25" customHeight="1">
      <c r="B89" s="187" t="s">
        <v>1391</v>
      </c>
      <c r="C89" s="188"/>
      <c r="D89" s="856"/>
      <c r="E89" s="856"/>
      <c r="F89" s="856"/>
      <c r="G89" s="856"/>
      <c r="H89" s="856"/>
      <c r="I89" s="856"/>
      <c r="J89" s="856"/>
      <c r="K89" s="856"/>
      <c r="L89" s="856"/>
      <c r="M89" s="856"/>
      <c r="N89" s="856"/>
      <c r="O89" s="856"/>
      <c r="P89" s="856"/>
      <c r="Q89" s="856"/>
    </row>
    <row r="90" spans="1:32" ht="13.35" customHeight="1">
      <c r="A90" s="1109"/>
      <c r="B90" s="1110"/>
      <c r="C90" s="1110"/>
      <c r="D90" s="1110"/>
      <c r="E90" s="1110"/>
      <c r="F90" s="1110"/>
      <c r="G90" s="1110"/>
      <c r="H90" s="1110"/>
      <c r="I90" s="1110"/>
      <c r="J90" s="1110"/>
      <c r="K90" s="1110"/>
      <c r="L90" s="1110"/>
      <c r="M90" s="1110"/>
      <c r="N90" s="1110"/>
      <c r="O90" s="1110"/>
      <c r="P90" s="1110"/>
      <c r="Q90" s="1111"/>
    </row>
    <row r="91" spans="1:32" ht="5.0999999999999996" customHeight="1">
      <c r="A91" s="848"/>
      <c r="B91" s="180"/>
      <c r="C91" s="856"/>
      <c r="D91" s="856"/>
      <c r="E91" s="856"/>
      <c r="F91" s="856"/>
      <c r="G91" s="856"/>
      <c r="H91" s="856"/>
      <c r="I91" s="856"/>
      <c r="J91" s="856"/>
      <c r="K91" s="856"/>
      <c r="L91" s="856"/>
      <c r="M91" s="856"/>
      <c r="N91" s="856"/>
      <c r="O91" s="856"/>
      <c r="P91" s="856"/>
      <c r="Q91" s="848"/>
    </row>
    <row r="92" spans="1:32" ht="14.1" customHeight="1">
      <c r="A92" s="857">
        <v>6</v>
      </c>
      <c r="B92" s="857" t="s">
        <v>298</v>
      </c>
      <c r="C92" s="48"/>
      <c r="D92" s="856"/>
      <c r="E92" s="856"/>
      <c r="F92" s="856"/>
      <c r="G92" s="856"/>
      <c r="H92" s="856"/>
      <c r="I92" s="856"/>
      <c r="J92" s="856"/>
      <c r="K92" s="856"/>
      <c r="L92" s="856"/>
      <c r="M92" s="856"/>
      <c r="O92" s="181" t="s">
        <v>1392</v>
      </c>
      <c r="P92" s="1113"/>
      <c r="Q92" s="1118"/>
    </row>
    <row r="93" spans="1:32" ht="6.6" customHeight="1"/>
    <row r="94" spans="1:32" ht="12" customHeight="1">
      <c r="B94" s="55" t="s">
        <v>1150</v>
      </c>
      <c r="C94" s="62" t="s">
        <v>157</v>
      </c>
      <c r="D94" s="183"/>
      <c r="E94" s="183"/>
      <c r="F94" s="183"/>
      <c r="G94" s="183"/>
      <c r="H94" s="183"/>
      <c r="I94" s="50"/>
      <c r="J94" s="50"/>
      <c r="K94" s="50"/>
      <c r="L94" s="804" t="s">
        <v>1150</v>
      </c>
      <c r="M94" s="1579" t="s">
        <v>31</v>
      </c>
      <c r="N94" s="1580"/>
      <c r="O94" s="1580"/>
      <c r="P94" s="1581"/>
      <c r="Q94" s="232"/>
    </row>
    <row r="95" spans="1:32" ht="12" customHeight="1">
      <c r="B95" s="55" t="s">
        <v>1153</v>
      </c>
      <c r="C95" s="62" t="s">
        <v>1940</v>
      </c>
      <c r="D95" s="183"/>
      <c r="E95" s="183"/>
      <c r="F95" s="183"/>
      <c r="G95" s="183"/>
      <c r="H95" s="183"/>
      <c r="I95" s="50"/>
      <c r="J95" s="50"/>
      <c r="K95" s="183"/>
      <c r="L95" s="183"/>
      <c r="M95" s="853"/>
      <c r="O95" s="804" t="s">
        <v>1153</v>
      </c>
      <c r="P95" s="1569" t="s">
        <v>63</v>
      </c>
      <c r="Q95" s="352"/>
    </row>
    <row r="96" spans="1:32" ht="12" customHeight="1">
      <c r="B96" s="55" t="s">
        <v>3012</v>
      </c>
      <c r="C96" s="62" t="s">
        <v>3884</v>
      </c>
      <c r="D96" s="183"/>
      <c r="E96" s="183"/>
      <c r="F96" s="183"/>
      <c r="G96" s="183"/>
      <c r="H96" s="183"/>
      <c r="I96" s="50"/>
      <c r="J96" s="50"/>
      <c r="K96" s="183"/>
      <c r="L96" s="853"/>
      <c r="M96" s="853"/>
      <c r="O96" s="804" t="s">
        <v>3012</v>
      </c>
      <c r="P96" s="1569" t="s">
        <v>63</v>
      </c>
      <c r="Q96" s="232"/>
    </row>
    <row r="97" spans="2:17" ht="12" customHeight="1">
      <c r="B97" s="55"/>
      <c r="C97" s="78" t="s">
        <v>1498</v>
      </c>
      <c r="D97" s="62" t="s">
        <v>158</v>
      </c>
      <c r="E97" s="183"/>
      <c r="F97" s="183"/>
      <c r="G97" s="183"/>
      <c r="H97" s="183"/>
      <c r="I97" s="50"/>
      <c r="J97" s="50"/>
      <c r="K97" s="183"/>
      <c r="L97" s="79" t="s">
        <v>1498</v>
      </c>
      <c r="M97" s="1579" t="s">
        <v>15</v>
      </c>
      <c r="N97" s="1580"/>
      <c r="O97" s="1580"/>
      <c r="P97" s="1581"/>
      <c r="Q97" s="352"/>
    </row>
    <row r="98" spans="2:17" ht="12" customHeight="1">
      <c r="B98" s="189"/>
      <c r="C98" s="79" t="s">
        <v>1499</v>
      </c>
      <c r="D98" s="44" t="s">
        <v>507</v>
      </c>
      <c r="E98" s="50"/>
      <c r="F98" s="50"/>
      <c r="G98" s="50"/>
      <c r="H98" s="62"/>
      <c r="I98" s="50"/>
      <c r="J98" s="50"/>
      <c r="K98" s="183"/>
      <c r="L98" s="853"/>
      <c r="M98" s="853"/>
      <c r="O98" s="804" t="s">
        <v>1499</v>
      </c>
      <c r="P98" s="1585">
        <v>0.68</v>
      </c>
      <c r="Q98" s="352"/>
    </row>
    <row r="99" spans="2:17" ht="12" customHeight="1">
      <c r="B99" s="189"/>
      <c r="C99" s="804" t="s">
        <v>1500</v>
      </c>
      <c r="D99" s="62" t="s">
        <v>2074</v>
      </c>
      <c r="E99" s="50"/>
      <c r="F99" s="50"/>
      <c r="G99" s="50"/>
      <c r="H99" s="62"/>
      <c r="I99" s="50"/>
      <c r="J99" s="50"/>
      <c r="K99" s="183"/>
      <c r="L99" s="853"/>
      <c r="M99" s="853"/>
      <c r="N99" s="853"/>
      <c r="O99" s="853"/>
    </row>
    <row r="100" spans="2:17" ht="11.45" customHeight="1">
      <c r="B100" s="848"/>
      <c r="C100" s="79"/>
      <c r="D100" s="1591" t="s">
        <v>16</v>
      </c>
      <c r="E100" s="1592"/>
      <c r="F100" s="1592"/>
      <c r="G100" s="1592"/>
      <c r="H100" s="1592"/>
      <c r="I100" s="1592"/>
      <c r="J100" s="1592"/>
      <c r="K100" s="1592"/>
      <c r="L100" s="1592"/>
      <c r="M100" s="1592"/>
      <c r="N100" s="1592"/>
      <c r="O100" s="1593"/>
      <c r="P100" s="856"/>
      <c r="Q100" s="848"/>
    </row>
    <row r="101" spans="2:17" ht="12" customHeight="1">
      <c r="B101" s="55" t="s">
        <v>1220</v>
      </c>
      <c r="C101" s="62" t="s">
        <v>2228</v>
      </c>
      <c r="D101" s="183"/>
      <c r="E101" s="183"/>
      <c r="F101" s="183"/>
      <c r="G101" s="183"/>
      <c r="H101" s="183"/>
      <c r="I101" s="50"/>
      <c r="J101" s="50"/>
      <c r="K101" s="183"/>
      <c r="L101" s="853"/>
      <c r="M101" s="853"/>
      <c r="N101" s="853"/>
      <c r="O101" s="804" t="s">
        <v>1220</v>
      </c>
    </row>
    <row r="102" spans="2:17" ht="12" customHeight="1">
      <c r="B102" s="55"/>
      <c r="C102" s="79" t="s">
        <v>1498</v>
      </c>
      <c r="D102" s="62" t="s">
        <v>3882</v>
      </c>
      <c r="E102" s="183"/>
      <c r="F102" s="183"/>
      <c r="G102" s="183"/>
      <c r="H102" s="183"/>
      <c r="I102" s="50"/>
      <c r="J102" s="50"/>
      <c r="K102" s="183"/>
      <c r="L102" s="853"/>
      <c r="M102" s="853"/>
      <c r="O102" s="79" t="s">
        <v>1498</v>
      </c>
      <c r="P102" s="1569" t="s">
        <v>63</v>
      </c>
      <c r="Q102" s="232"/>
    </row>
    <row r="103" spans="2:17" ht="12" customHeight="1">
      <c r="B103" s="55"/>
      <c r="C103" s="79" t="s">
        <v>1499</v>
      </c>
      <c r="D103" s="62" t="s">
        <v>2229</v>
      </c>
      <c r="E103" s="183"/>
      <c r="F103" s="183"/>
      <c r="G103" s="183"/>
      <c r="H103" s="50"/>
      <c r="I103" s="50"/>
      <c r="J103" s="50"/>
      <c r="K103" s="183"/>
      <c r="L103" s="853"/>
      <c r="M103" s="853"/>
      <c r="O103" s="79" t="s">
        <v>1499</v>
      </c>
      <c r="P103" s="1585" t="s">
        <v>61</v>
      </c>
      <c r="Q103" s="352"/>
    </row>
    <row r="104" spans="2:17" ht="12" customHeight="1">
      <c r="B104" s="55"/>
      <c r="C104" s="79"/>
      <c r="D104" s="62" t="s">
        <v>317</v>
      </c>
      <c r="E104" s="729" t="s">
        <v>719</v>
      </c>
      <c r="F104" s="62" t="s">
        <v>318</v>
      </c>
      <c r="G104" s="50"/>
      <c r="H104" s="62"/>
      <c r="I104" s="50"/>
      <c r="J104" s="50"/>
      <c r="K104" s="183"/>
      <c r="L104" s="853"/>
      <c r="M104" s="853"/>
      <c r="O104" s="729" t="s">
        <v>719</v>
      </c>
      <c r="P104" s="1594"/>
      <c r="Q104" s="448"/>
    </row>
    <row r="105" spans="2:17" ht="12" customHeight="1">
      <c r="B105" s="55"/>
      <c r="C105" s="79"/>
      <c r="E105" s="729" t="s">
        <v>720</v>
      </c>
      <c r="F105" s="62" t="s">
        <v>319</v>
      </c>
      <c r="G105" s="50"/>
      <c r="H105" s="62"/>
      <c r="I105" s="50"/>
      <c r="J105" s="50"/>
      <c r="K105" s="183"/>
      <c r="L105" s="853"/>
      <c r="M105" s="853"/>
      <c r="O105" s="729" t="s">
        <v>720</v>
      </c>
      <c r="P105" s="1585"/>
      <c r="Q105" s="352"/>
    </row>
    <row r="106" spans="2:17" ht="12" customHeight="1">
      <c r="B106" s="55"/>
      <c r="C106" s="79"/>
      <c r="E106" s="729" t="s">
        <v>721</v>
      </c>
      <c r="F106" s="62" t="s">
        <v>320</v>
      </c>
      <c r="G106" s="50"/>
      <c r="H106" s="62"/>
      <c r="I106" s="50"/>
      <c r="J106" s="50"/>
      <c r="K106" s="183"/>
      <c r="L106" s="853"/>
      <c r="M106" s="853"/>
      <c r="O106" s="729" t="s">
        <v>721</v>
      </c>
      <c r="P106" s="1585"/>
      <c r="Q106" s="352"/>
    </row>
    <row r="107" spans="2:17" ht="12" customHeight="1">
      <c r="B107" s="55"/>
      <c r="C107" s="79" t="s">
        <v>1500</v>
      </c>
      <c r="D107" s="62" t="s">
        <v>2230</v>
      </c>
      <c r="E107" s="183"/>
      <c r="F107" s="183"/>
      <c r="G107" s="183"/>
      <c r="H107" s="62"/>
      <c r="I107" s="50"/>
      <c r="J107" s="50"/>
      <c r="K107" s="183"/>
      <c r="L107" s="853"/>
      <c r="M107" s="853"/>
      <c r="O107" s="79" t="s">
        <v>1500</v>
      </c>
      <c r="P107" s="1569" t="s">
        <v>61</v>
      </c>
      <c r="Q107" s="232"/>
    </row>
    <row r="108" spans="2:17" ht="12" customHeight="1">
      <c r="B108" s="55"/>
      <c r="C108" s="79"/>
      <c r="D108" s="62" t="s">
        <v>317</v>
      </c>
      <c r="E108" s="729" t="s">
        <v>719</v>
      </c>
      <c r="F108" s="62" t="s">
        <v>321</v>
      </c>
      <c r="G108" s="50"/>
      <c r="H108" s="62"/>
      <c r="I108" s="50"/>
      <c r="J108" s="50"/>
      <c r="K108" s="183"/>
      <c r="L108" s="853"/>
      <c r="O108" s="729" t="s">
        <v>719</v>
      </c>
      <c r="P108" s="1594"/>
      <c r="Q108" s="353"/>
    </row>
    <row r="109" spans="2:17" ht="12" customHeight="1">
      <c r="B109" s="55"/>
      <c r="C109" s="79"/>
      <c r="E109" s="729" t="s">
        <v>720</v>
      </c>
      <c r="F109" s="62" t="s">
        <v>322</v>
      </c>
      <c r="G109" s="50"/>
      <c r="H109" s="62"/>
      <c r="I109" s="50"/>
      <c r="J109" s="50"/>
      <c r="K109" s="183"/>
      <c r="L109" s="853"/>
      <c r="O109" s="729" t="s">
        <v>720</v>
      </c>
      <c r="P109" s="1585"/>
      <c r="Q109" s="352"/>
    </row>
    <row r="110" spans="2:17" ht="12" customHeight="1">
      <c r="B110" s="55"/>
      <c r="C110" s="79"/>
      <c r="E110" s="729" t="s">
        <v>721</v>
      </c>
      <c r="F110" s="62" t="s">
        <v>320</v>
      </c>
      <c r="G110" s="50"/>
      <c r="H110" s="62"/>
      <c r="I110" s="50"/>
      <c r="J110" s="50"/>
      <c r="K110" s="183"/>
      <c r="L110" s="853"/>
      <c r="O110" s="729" t="s">
        <v>721</v>
      </c>
      <c r="P110" s="1585"/>
      <c r="Q110" s="352"/>
    </row>
    <row r="111" spans="2:17" ht="12" customHeight="1">
      <c r="B111" s="44"/>
      <c r="C111" s="79" t="s">
        <v>617</v>
      </c>
      <c r="D111" s="62" t="s">
        <v>323</v>
      </c>
      <c r="E111" s="183"/>
      <c r="F111" s="183"/>
      <c r="G111" s="183"/>
      <c r="H111" s="183"/>
      <c r="I111" s="50"/>
      <c r="J111" s="50"/>
      <c r="K111" s="183"/>
      <c r="L111" s="853"/>
      <c r="M111" s="853"/>
      <c r="O111" s="79" t="s">
        <v>617</v>
      </c>
      <c r="P111" s="1569" t="s">
        <v>61</v>
      </c>
      <c r="Q111" s="232"/>
    </row>
    <row r="112" spans="2:17" ht="12" customHeight="1">
      <c r="B112" s="55" t="s">
        <v>1496</v>
      </c>
      <c r="C112" s="196" t="s">
        <v>579</v>
      </c>
      <c r="D112" s="183"/>
      <c r="E112" s="183"/>
      <c r="F112" s="183"/>
      <c r="G112" s="183"/>
      <c r="H112" s="183"/>
      <c r="I112" s="50"/>
      <c r="J112" s="50"/>
      <c r="K112" s="183"/>
      <c r="L112" s="853"/>
      <c r="M112" s="853"/>
      <c r="N112" s="853"/>
      <c r="O112" s="853"/>
      <c r="P112" s="853"/>
      <c r="Q112" s="853"/>
    </row>
    <row r="113" spans="1:31" ht="12" customHeight="1">
      <c r="B113" s="55"/>
      <c r="C113" s="79" t="s">
        <v>1498</v>
      </c>
      <c r="D113" s="62" t="s">
        <v>580</v>
      </c>
      <c r="E113" s="183"/>
      <c r="F113" s="1569" t="s">
        <v>61</v>
      </c>
      <c r="G113" s="232"/>
      <c r="H113" s="79" t="s">
        <v>617</v>
      </c>
      <c r="I113" s="62" t="s">
        <v>1955</v>
      </c>
      <c r="J113" s="1569" t="s">
        <v>61</v>
      </c>
      <c r="K113" s="232"/>
      <c r="L113" s="804" t="s">
        <v>3971</v>
      </c>
      <c r="M113" s="62" t="s">
        <v>1956</v>
      </c>
      <c r="O113" s="1569" t="s">
        <v>61</v>
      </c>
      <c r="P113" s="232"/>
    </row>
    <row r="114" spans="1:31" ht="12" customHeight="1">
      <c r="B114" s="44"/>
      <c r="C114" s="79" t="s">
        <v>1499</v>
      </c>
      <c r="D114" s="62" t="s">
        <v>481</v>
      </c>
      <c r="E114" s="183"/>
      <c r="F114" s="1569" t="s">
        <v>61</v>
      </c>
      <c r="G114" s="232"/>
      <c r="H114" s="79" t="s">
        <v>1952</v>
      </c>
      <c r="I114" s="62" t="s">
        <v>325</v>
      </c>
      <c r="J114" s="1595" t="s">
        <v>61</v>
      </c>
      <c r="K114" s="664"/>
      <c r="L114" s="804" t="s">
        <v>3397</v>
      </c>
      <c r="M114" s="65" t="s">
        <v>326</v>
      </c>
      <c r="O114" s="1595" t="s">
        <v>61</v>
      </c>
      <c r="P114" s="664"/>
    </row>
    <row r="115" spans="1:31" ht="12" customHeight="1">
      <c r="B115" s="44"/>
      <c r="C115" s="79" t="s">
        <v>1500</v>
      </c>
      <c r="D115" s="62" t="s">
        <v>324</v>
      </c>
      <c r="E115" s="183"/>
      <c r="F115" s="1569" t="s">
        <v>61</v>
      </c>
      <c r="G115" s="232"/>
      <c r="H115" s="79" t="s">
        <v>1953</v>
      </c>
      <c r="I115" s="62" t="s">
        <v>1954</v>
      </c>
      <c r="J115" s="1595" t="s">
        <v>61</v>
      </c>
      <c r="K115" s="664"/>
      <c r="L115" s="804" t="s">
        <v>3398</v>
      </c>
      <c r="M115" s="65" t="s">
        <v>327</v>
      </c>
      <c r="O115" s="1595" t="s">
        <v>61</v>
      </c>
      <c r="P115" s="664"/>
    </row>
    <row r="116" spans="1:31" ht="12" customHeight="1">
      <c r="B116" s="44"/>
      <c r="C116" s="804" t="s">
        <v>3399</v>
      </c>
      <c r="D116" s="62" t="s">
        <v>328</v>
      </c>
      <c r="E116" s="183"/>
      <c r="F116" s="183"/>
      <c r="G116" s="183"/>
      <c r="H116" s="183"/>
      <c r="J116" s="1579"/>
      <c r="K116" s="1580"/>
      <c r="L116" s="1580"/>
      <c r="M116" s="1580"/>
      <c r="N116" s="1580"/>
      <c r="O116" s="1580"/>
      <c r="P116" s="1581"/>
      <c r="Q116" s="232"/>
    </row>
    <row r="117" spans="1:31" ht="12" customHeight="1">
      <c r="B117" s="55" t="s">
        <v>1497</v>
      </c>
      <c r="C117" s="62" t="s">
        <v>2264</v>
      </c>
      <c r="D117" s="183"/>
      <c r="E117" s="183"/>
      <c r="F117" s="183"/>
      <c r="G117" s="183"/>
      <c r="H117" s="183"/>
      <c r="I117" s="50"/>
      <c r="J117" s="50"/>
      <c r="K117" s="183"/>
      <c r="L117" s="183"/>
      <c r="M117" s="853"/>
      <c r="O117" s="804" t="s">
        <v>1497</v>
      </c>
      <c r="P117" s="1569" t="s">
        <v>2572</v>
      </c>
      <c r="Q117" s="232"/>
    </row>
    <row r="118" spans="1:31" ht="12" customHeight="1">
      <c r="A118" s="194"/>
      <c r="B118" s="50"/>
      <c r="C118" s="79" t="s">
        <v>1498</v>
      </c>
      <c r="D118" s="62" t="s">
        <v>3028</v>
      </c>
      <c r="E118" s="183"/>
      <c r="F118" s="183"/>
      <c r="G118" s="183"/>
      <c r="H118" s="183"/>
      <c r="O118" s="79" t="s">
        <v>1498</v>
      </c>
      <c r="P118" s="1569" t="s">
        <v>61</v>
      </c>
      <c r="Q118" s="232"/>
    </row>
    <row r="119" spans="1:31" ht="12" customHeight="1">
      <c r="A119" s="194"/>
      <c r="B119" s="180"/>
      <c r="C119" s="79" t="s">
        <v>1499</v>
      </c>
      <c r="D119" s="62" t="s">
        <v>3445</v>
      </c>
      <c r="E119" s="62"/>
      <c r="F119" s="62"/>
      <c r="G119" s="62"/>
      <c r="H119" s="62"/>
      <c r="I119" s="50"/>
      <c r="J119" s="50"/>
      <c r="K119" s="62"/>
      <c r="L119" s="62"/>
      <c r="M119" s="62"/>
      <c r="O119" s="79" t="s">
        <v>1499</v>
      </c>
      <c r="P119" s="1569" t="s">
        <v>63</v>
      </c>
      <c r="Q119" s="232"/>
    </row>
    <row r="120" spans="1:31" ht="12" customHeight="1">
      <c r="A120" s="194"/>
      <c r="B120" s="180"/>
      <c r="C120" s="79" t="s">
        <v>1500</v>
      </c>
      <c r="D120" s="62" t="s">
        <v>3109</v>
      </c>
      <c r="E120" s="62"/>
      <c r="F120" s="62"/>
      <c r="G120" s="62"/>
      <c r="H120" s="62"/>
      <c r="I120" s="50"/>
      <c r="J120" s="50"/>
      <c r="K120" s="62"/>
      <c r="L120" s="62"/>
      <c r="M120" s="62"/>
      <c r="O120" s="79" t="s">
        <v>1500</v>
      </c>
      <c r="P120" s="1569" t="s">
        <v>63</v>
      </c>
      <c r="Q120" s="232"/>
    </row>
    <row r="121" spans="1:31" ht="12" customHeight="1">
      <c r="B121" s="55" t="s">
        <v>1241</v>
      </c>
      <c r="C121" s="62" t="s">
        <v>1515</v>
      </c>
      <c r="D121" s="183"/>
      <c r="E121" s="183"/>
      <c r="F121" s="183"/>
      <c r="G121" s="183"/>
      <c r="H121" s="183"/>
      <c r="I121" s="50"/>
      <c r="J121" s="50"/>
      <c r="K121" s="183"/>
      <c r="L121" s="183"/>
      <c r="M121" s="853"/>
      <c r="O121" s="804" t="s">
        <v>1241</v>
      </c>
      <c r="P121" s="1569" t="s">
        <v>2572</v>
      </c>
      <c r="Q121" s="232"/>
    </row>
    <row r="122" spans="1:31" ht="5.0999999999999996" customHeight="1"/>
    <row r="123" spans="1:31" ht="11.25" customHeight="1">
      <c r="B123" s="191" t="s">
        <v>1390</v>
      </c>
      <c r="D123" s="191"/>
      <c r="E123" s="191"/>
      <c r="F123" s="191"/>
      <c r="G123" s="191"/>
      <c r="H123" s="48"/>
      <c r="I123" s="180"/>
      <c r="J123" s="180"/>
      <c r="K123" s="180"/>
      <c r="L123" s="848"/>
      <c r="M123" s="848"/>
      <c r="N123" s="848"/>
      <c r="O123" s="848"/>
      <c r="P123" s="848"/>
      <c r="Q123" s="60"/>
    </row>
    <row r="124" spans="1:31" ht="12" customHeight="1">
      <c r="A124" s="1573"/>
      <c r="B124" s="1574"/>
      <c r="C124" s="1574"/>
      <c r="D124" s="1574"/>
      <c r="E124" s="1574"/>
      <c r="F124" s="1574"/>
      <c r="G124" s="1574"/>
      <c r="H124" s="1574"/>
      <c r="I124" s="1574"/>
      <c r="J124" s="1574"/>
      <c r="K124" s="1574"/>
      <c r="L124" s="1574"/>
      <c r="M124" s="1574"/>
      <c r="N124" s="1574"/>
      <c r="O124" s="1574"/>
      <c r="P124" s="1574"/>
      <c r="Q124" s="1575"/>
      <c r="R124" s="737" t="s">
        <v>2219</v>
      </c>
      <c r="S124" s="738"/>
      <c r="U124" s="186"/>
      <c r="V124" s="186"/>
      <c r="W124" s="186"/>
      <c r="X124" s="186"/>
      <c r="Y124" s="186"/>
      <c r="Z124" s="186"/>
      <c r="AA124" s="186"/>
      <c r="AB124" s="186"/>
      <c r="AC124" s="186"/>
      <c r="AD124" s="186"/>
      <c r="AE124" s="806"/>
    </row>
    <row r="125" spans="1:31" ht="11.25" customHeight="1">
      <c r="B125" s="187" t="s">
        <v>1391</v>
      </c>
      <c r="C125" s="188"/>
      <c r="D125" s="856"/>
      <c r="E125" s="856"/>
      <c r="F125" s="856"/>
      <c r="G125" s="856"/>
      <c r="H125" s="856"/>
      <c r="I125" s="856"/>
      <c r="J125" s="856"/>
      <c r="K125" s="856"/>
      <c r="L125" s="856"/>
      <c r="M125" s="856"/>
      <c r="N125" s="856"/>
      <c r="O125" s="856"/>
      <c r="P125" s="856"/>
      <c r="Q125" s="856"/>
    </row>
    <row r="126" spans="1:31" ht="12" customHeight="1">
      <c r="A126" s="1109"/>
      <c r="B126" s="1110"/>
      <c r="C126" s="1110"/>
      <c r="D126" s="1110"/>
      <c r="E126" s="1110"/>
      <c r="F126" s="1110"/>
      <c r="G126" s="1110"/>
      <c r="H126" s="1110"/>
      <c r="I126" s="1110"/>
      <c r="J126" s="1110"/>
      <c r="K126" s="1110"/>
      <c r="L126" s="1110"/>
      <c r="M126" s="1110"/>
      <c r="N126" s="1110"/>
      <c r="O126" s="1110"/>
      <c r="P126" s="1110"/>
      <c r="Q126" s="1111"/>
      <c r="R126" s="737" t="s">
        <v>2219</v>
      </c>
      <c r="S126" s="738"/>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4.1" customHeight="1">
      <c r="A128" s="857">
        <v>7</v>
      </c>
      <c r="B128" s="857" t="s">
        <v>299</v>
      </c>
      <c r="C128" s="857"/>
      <c r="D128" s="856"/>
      <c r="E128" s="856"/>
      <c r="F128" s="856"/>
      <c r="G128" s="856"/>
      <c r="H128" s="856"/>
      <c r="I128" s="856"/>
      <c r="J128" s="856"/>
      <c r="K128" s="856"/>
      <c r="O128" s="181" t="s">
        <v>1392</v>
      </c>
      <c r="P128" s="1113"/>
      <c r="Q128" s="1118"/>
    </row>
    <row r="129" spans="1:31" ht="11.1" customHeight="1">
      <c r="B129" s="55" t="s">
        <v>1150</v>
      </c>
      <c r="C129" s="62" t="s">
        <v>329</v>
      </c>
      <c r="D129" s="62"/>
      <c r="E129" s="62"/>
      <c r="F129" s="62"/>
      <c r="G129" s="62"/>
      <c r="H129" s="62"/>
      <c r="N129" s="62"/>
      <c r="O129" s="804" t="s">
        <v>1150</v>
      </c>
      <c r="P129" s="1569" t="s">
        <v>63</v>
      </c>
      <c r="Q129" s="232"/>
    </row>
    <row r="130" spans="1:31" ht="12" customHeight="1">
      <c r="A130" s="189"/>
      <c r="B130" s="55" t="s">
        <v>1153</v>
      </c>
      <c r="C130" s="190" t="s">
        <v>3883</v>
      </c>
      <c r="D130" s="190"/>
      <c r="E130" s="190"/>
      <c r="F130" s="190"/>
      <c r="G130" s="190"/>
      <c r="H130" s="190"/>
      <c r="M130" s="804" t="s">
        <v>1153</v>
      </c>
      <c r="N130" s="1596" t="s">
        <v>32</v>
      </c>
      <c r="O130" s="1597"/>
      <c r="P130" s="1126"/>
      <c r="Q130" s="1127"/>
    </row>
    <row r="131" spans="1:31" ht="12" customHeight="1">
      <c r="A131" s="189"/>
      <c r="B131" s="55" t="s">
        <v>3012</v>
      </c>
      <c r="C131" s="190" t="s">
        <v>3110</v>
      </c>
      <c r="D131" s="190"/>
      <c r="E131" s="190"/>
      <c r="F131" s="190"/>
      <c r="G131" s="190"/>
      <c r="H131" s="190"/>
      <c r="J131" s="804" t="s">
        <v>3012</v>
      </c>
      <c r="K131" s="1579" t="s">
        <v>82</v>
      </c>
      <c r="L131" s="1580"/>
      <c r="M131" s="1580"/>
      <c r="N131" s="1580"/>
      <c r="O131" s="1580"/>
      <c r="P131" s="1581"/>
      <c r="Q131" s="232"/>
    </row>
    <row r="132" spans="1:31" ht="12" customHeight="1">
      <c r="B132" s="191" t="s">
        <v>1390</v>
      </c>
      <c r="D132" s="191"/>
      <c r="E132" s="191"/>
      <c r="F132" s="191"/>
      <c r="G132" s="191"/>
      <c r="H132" s="48"/>
      <c r="I132" s="180"/>
      <c r="J132" s="180"/>
      <c r="K132" s="180"/>
      <c r="L132" s="848"/>
      <c r="M132" s="848"/>
      <c r="N132" s="848"/>
      <c r="O132" s="848"/>
      <c r="P132" s="848"/>
      <c r="Q132" s="60"/>
    </row>
    <row r="133" spans="1:31" ht="11.45" customHeight="1">
      <c r="A133" s="1573"/>
      <c r="B133" s="1574"/>
      <c r="C133" s="1574"/>
      <c r="D133" s="1574"/>
      <c r="E133" s="1574"/>
      <c r="F133" s="1574"/>
      <c r="G133" s="1574"/>
      <c r="H133" s="1574"/>
      <c r="I133" s="1574"/>
      <c r="J133" s="1574"/>
      <c r="K133" s="1574"/>
      <c r="L133" s="1574"/>
      <c r="M133" s="1574"/>
      <c r="N133" s="1574"/>
      <c r="O133" s="1574"/>
      <c r="P133" s="1574"/>
      <c r="Q133" s="1575"/>
      <c r="U133" s="186"/>
      <c r="V133" s="186"/>
      <c r="W133" s="186"/>
      <c r="X133" s="186"/>
      <c r="Y133" s="186"/>
      <c r="Z133" s="186"/>
      <c r="AA133" s="186"/>
      <c r="AB133" s="186"/>
      <c r="AC133" s="186"/>
      <c r="AD133" s="186"/>
      <c r="AE133" s="806"/>
    </row>
    <row r="134" spans="1:31" ht="12" customHeight="1">
      <c r="B134" s="187" t="s">
        <v>1391</v>
      </c>
      <c r="C134" s="188"/>
      <c r="D134" s="856"/>
      <c r="E134" s="856"/>
      <c r="F134" s="856"/>
      <c r="G134" s="856"/>
      <c r="H134" s="856"/>
      <c r="I134" s="856"/>
      <c r="J134" s="856"/>
      <c r="K134" s="856"/>
      <c r="L134" s="856"/>
      <c r="M134" s="856"/>
      <c r="N134" s="856"/>
      <c r="O134" s="856"/>
      <c r="P134" s="856"/>
      <c r="Q134" s="856"/>
    </row>
    <row r="135" spans="1:31" ht="11.45" customHeight="1">
      <c r="A135" s="1109"/>
      <c r="B135" s="1110"/>
      <c r="C135" s="1110"/>
      <c r="D135" s="1110"/>
      <c r="E135" s="1110"/>
      <c r="F135" s="1110"/>
      <c r="G135" s="1110"/>
      <c r="H135" s="1110"/>
      <c r="I135" s="1110"/>
      <c r="J135" s="1110"/>
      <c r="K135" s="1110"/>
      <c r="L135" s="1110"/>
      <c r="M135" s="1110"/>
      <c r="N135" s="1110"/>
      <c r="O135" s="1110"/>
      <c r="P135" s="1110"/>
      <c r="Q135" s="1111"/>
    </row>
    <row r="136" spans="1:31" ht="3" customHeight="1">
      <c r="A136" s="848"/>
      <c r="B136" s="180"/>
      <c r="C136" s="856"/>
      <c r="D136" s="856"/>
      <c r="E136" s="856"/>
      <c r="F136" s="856"/>
      <c r="G136" s="856"/>
      <c r="H136" s="856"/>
      <c r="I136" s="856"/>
      <c r="J136" s="856"/>
      <c r="K136" s="856"/>
      <c r="L136" s="856"/>
      <c r="M136" s="856"/>
      <c r="Q136" s="848"/>
    </row>
    <row r="137" spans="1:31" ht="14.1" customHeight="1">
      <c r="A137" s="857">
        <v>8</v>
      </c>
      <c r="B137" s="857" t="s">
        <v>300</v>
      </c>
      <c r="C137" s="857"/>
      <c r="D137" s="856"/>
      <c r="E137" s="856"/>
      <c r="F137" s="856"/>
      <c r="G137" s="856"/>
      <c r="H137" s="856"/>
      <c r="I137" s="856"/>
      <c r="J137" s="856"/>
      <c r="K137" s="856"/>
      <c r="L137" s="856"/>
      <c r="M137" s="856"/>
      <c r="O137" s="181" t="s">
        <v>1392</v>
      </c>
      <c r="P137" s="1113"/>
      <c r="Q137" s="1118"/>
    </row>
    <row r="138" spans="1:31" ht="12" customHeight="1">
      <c r="B138" s="192" t="s">
        <v>1150</v>
      </c>
      <c r="C138" s="190" t="s">
        <v>3951</v>
      </c>
      <c r="D138" s="190"/>
      <c r="E138" s="190"/>
      <c r="F138" s="190"/>
      <c r="G138" s="190"/>
      <c r="H138" s="190"/>
      <c r="I138" s="190"/>
      <c r="J138" s="190"/>
      <c r="K138" s="190"/>
      <c r="L138" s="197"/>
      <c r="M138" s="197"/>
      <c r="N138" s="197"/>
      <c r="O138" s="219" t="s">
        <v>1150</v>
      </c>
      <c r="P138" s="1569" t="s">
        <v>63</v>
      </c>
      <c r="Q138" s="232"/>
    </row>
    <row r="139" spans="1:31" ht="22.35" customHeight="1">
      <c r="B139" s="192" t="s">
        <v>1153</v>
      </c>
      <c r="C139" s="1117" t="s">
        <v>594</v>
      </c>
      <c r="D139" s="1117"/>
      <c r="E139" s="1117"/>
      <c r="F139" s="1117"/>
      <c r="G139" s="1117"/>
      <c r="H139" s="1117"/>
      <c r="I139" s="1117"/>
      <c r="J139" s="1117"/>
      <c r="K139" s="1117"/>
      <c r="L139" s="1117"/>
      <c r="M139" s="1117"/>
      <c r="N139" s="1117"/>
      <c r="O139" s="219" t="s">
        <v>1153</v>
      </c>
      <c r="P139" s="1569"/>
      <c r="Q139" s="232"/>
    </row>
    <row r="140" spans="1:31" ht="21.75" customHeight="1">
      <c r="B140" s="192" t="s">
        <v>3012</v>
      </c>
      <c r="C140" s="1117" t="s">
        <v>281</v>
      </c>
      <c r="D140" s="1117"/>
      <c r="E140" s="1117"/>
      <c r="F140" s="1117"/>
      <c r="G140" s="1117"/>
      <c r="H140" s="1117"/>
      <c r="I140" s="1117"/>
      <c r="J140" s="1117"/>
      <c r="K140" s="1117"/>
      <c r="L140" s="1117"/>
      <c r="M140" s="1117"/>
      <c r="N140" s="1117"/>
      <c r="O140" s="219" t="s">
        <v>3012</v>
      </c>
      <c r="P140" s="1569"/>
      <c r="Q140" s="232"/>
    </row>
    <row r="141" spans="1:31" ht="12" customHeight="1">
      <c r="B141" s="191" t="s">
        <v>1390</v>
      </c>
      <c r="D141" s="191"/>
      <c r="E141" s="191"/>
      <c r="F141" s="191"/>
      <c r="G141" s="191"/>
      <c r="H141" s="48"/>
      <c r="I141" s="180"/>
      <c r="J141" s="180"/>
      <c r="K141" s="180"/>
      <c r="L141" s="848"/>
      <c r="M141" s="848"/>
      <c r="N141" s="848"/>
      <c r="O141" s="848"/>
      <c r="P141" s="848"/>
      <c r="Q141" s="60"/>
    </row>
    <row r="142" spans="1:31" ht="11.45" customHeight="1">
      <c r="A142" s="1573"/>
      <c r="B142" s="1574"/>
      <c r="C142" s="1574"/>
      <c r="D142" s="1574"/>
      <c r="E142" s="1574"/>
      <c r="F142" s="1574"/>
      <c r="G142" s="1574"/>
      <c r="H142" s="1574"/>
      <c r="I142" s="1574"/>
      <c r="J142" s="1574"/>
      <c r="K142" s="1574"/>
      <c r="L142" s="1574"/>
      <c r="M142" s="1574"/>
      <c r="N142" s="1574"/>
      <c r="O142" s="1574"/>
      <c r="P142" s="1574"/>
      <c r="Q142" s="1575"/>
      <c r="U142" s="186"/>
      <c r="V142" s="186"/>
      <c r="W142" s="186"/>
      <c r="X142" s="186"/>
      <c r="Y142" s="186"/>
      <c r="Z142" s="186"/>
      <c r="AA142" s="186"/>
      <c r="AB142" s="186"/>
      <c r="AC142" s="186"/>
      <c r="AD142" s="186"/>
      <c r="AE142" s="806"/>
    </row>
    <row r="143" spans="1:31" ht="12" customHeight="1">
      <c r="B143" s="187" t="s">
        <v>1391</v>
      </c>
      <c r="C143" s="188"/>
      <c r="D143" s="856"/>
      <c r="E143" s="856"/>
      <c r="F143" s="856"/>
      <c r="G143" s="856"/>
      <c r="H143" s="856"/>
      <c r="I143" s="856"/>
      <c r="J143" s="856"/>
      <c r="K143" s="856"/>
      <c r="L143" s="856"/>
      <c r="M143" s="856"/>
      <c r="N143" s="856"/>
      <c r="O143" s="856"/>
      <c r="P143" s="856"/>
      <c r="Q143" s="856"/>
    </row>
    <row r="144" spans="1:31" ht="11.45" customHeight="1">
      <c r="A144" s="1109"/>
      <c r="B144" s="1110"/>
      <c r="C144" s="1110"/>
      <c r="D144" s="1110"/>
      <c r="E144" s="1110"/>
      <c r="F144" s="1110"/>
      <c r="G144" s="1110"/>
      <c r="H144" s="1110"/>
      <c r="I144" s="1110"/>
      <c r="J144" s="1110"/>
      <c r="K144" s="1110"/>
      <c r="L144" s="1110"/>
      <c r="M144" s="1110"/>
      <c r="N144" s="1110"/>
      <c r="O144" s="1110"/>
      <c r="P144" s="1110"/>
      <c r="Q144" s="1111"/>
    </row>
    <row r="145" spans="1:32" ht="3" customHeight="1">
      <c r="B145" s="180"/>
      <c r="C145" s="856"/>
      <c r="D145" s="856"/>
      <c r="E145" s="856"/>
      <c r="F145" s="856"/>
      <c r="G145" s="856"/>
      <c r="H145" s="856"/>
      <c r="I145" s="856"/>
      <c r="J145" s="856"/>
      <c r="K145" s="856"/>
      <c r="L145" s="856"/>
      <c r="M145" s="856"/>
      <c r="N145" s="856"/>
      <c r="O145" s="856"/>
      <c r="P145" s="856"/>
      <c r="Q145" s="848"/>
    </row>
    <row r="146" spans="1:32" ht="14.1" customHeight="1">
      <c r="A146" s="832">
        <v>9</v>
      </c>
      <c r="B146" s="1119" t="s">
        <v>301</v>
      </c>
      <c r="C146" s="1119"/>
      <c r="D146" s="1119"/>
      <c r="O146" s="181" t="s">
        <v>1392</v>
      </c>
      <c r="P146" s="1113"/>
      <c r="Q146" s="1118"/>
    </row>
    <row r="147" spans="1:32" ht="12" customHeight="1">
      <c r="B147" s="192" t="s">
        <v>1150</v>
      </c>
      <c r="C147" s="197" t="s">
        <v>3411</v>
      </c>
      <c r="D147" s="197"/>
      <c r="E147" s="197"/>
      <c r="F147" s="197"/>
      <c r="G147" s="197"/>
      <c r="H147" s="197"/>
      <c r="I147" s="197"/>
      <c r="J147" s="197"/>
      <c r="K147" s="197"/>
      <c r="L147" s="197"/>
      <c r="M147" s="197"/>
      <c r="O147" s="219" t="s">
        <v>1150</v>
      </c>
      <c r="P147" s="1569" t="s">
        <v>63</v>
      </c>
      <c r="Q147" s="232"/>
    </row>
    <row r="148" spans="1:32" ht="12" customHeight="1">
      <c r="B148" s="192" t="s">
        <v>1153</v>
      </c>
      <c r="C148" s="197" t="s">
        <v>282</v>
      </c>
      <c r="D148" s="197"/>
      <c r="E148" s="197"/>
      <c r="F148" s="197"/>
      <c r="G148" s="197"/>
      <c r="H148" s="197"/>
      <c r="I148" s="197"/>
      <c r="J148" s="197"/>
      <c r="K148" s="197"/>
      <c r="L148" s="197"/>
      <c r="M148" s="197"/>
      <c r="O148" s="219" t="s">
        <v>1153</v>
      </c>
      <c r="P148" s="1569" t="s">
        <v>63</v>
      </c>
      <c r="Q148" s="232"/>
    </row>
    <row r="149" spans="1:32" ht="12" customHeight="1">
      <c r="B149" s="192" t="s">
        <v>3012</v>
      </c>
      <c r="C149" s="197" t="s">
        <v>283</v>
      </c>
      <c r="D149" s="197"/>
      <c r="E149" s="197"/>
      <c r="F149" s="197"/>
      <c r="G149" s="197"/>
      <c r="H149" s="197"/>
      <c r="I149" s="197"/>
      <c r="J149" s="197"/>
      <c r="K149" s="197"/>
      <c r="L149" s="197"/>
      <c r="M149" s="197"/>
      <c r="O149" s="219" t="s">
        <v>3012</v>
      </c>
      <c r="P149" s="1569" t="s">
        <v>63</v>
      </c>
      <c r="Q149" s="232"/>
    </row>
    <row r="150" spans="1:32" ht="12" customHeight="1">
      <c r="B150" s="192"/>
      <c r="C150" s="197" t="s">
        <v>317</v>
      </c>
      <c r="D150" s="197"/>
      <c r="E150" s="729" t="s">
        <v>1498</v>
      </c>
      <c r="F150" s="197" t="s">
        <v>284</v>
      </c>
      <c r="G150" s="197"/>
      <c r="H150" s="197"/>
      <c r="I150" s="197"/>
      <c r="J150" s="197"/>
      <c r="K150" s="197"/>
      <c r="L150" s="197"/>
      <c r="M150" s="197"/>
      <c r="O150" s="729" t="s">
        <v>1498</v>
      </c>
      <c r="P150" s="1569" t="s">
        <v>63</v>
      </c>
      <c r="Q150" s="232"/>
    </row>
    <row r="151" spans="1:32" ht="12" customHeight="1">
      <c r="B151" s="192"/>
      <c r="C151" s="197"/>
      <c r="D151" s="197"/>
      <c r="E151" s="729" t="s">
        <v>1499</v>
      </c>
      <c r="F151" s="197" t="s">
        <v>335</v>
      </c>
      <c r="G151" s="197"/>
      <c r="H151" s="197"/>
      <c r="I151" s="197"/>
      <c r="J151" s="197"/>
      <c r="K151" s="197"/>
      <c r="L151" s="197"/>
      <c r="M151" s="197"/>
      <c r="O151" s="729" t="s">
        <v>1499</v>
      </c>
      <c r="P151" s="1569" t="s">
        <v>63</v>
      </c>
      <c r="Q151" s="232"/>
    </row>
    <row r="152" spans="1:32" s="182" customFormat="1" ht="21.75" customHeight="1">
      <c r="B152" s="192"/>
      <c r="C152" s="197"/>
      <c r="D152" s="197"/>
      <c r="E152" s="219" t="s">
        <v>1500</v>
      </c>
      <c r="F152" s="1117" t="s">
        <v>286</v>
      </c>
      <c r="G152" s="1117"/>
      <c r="H152" s="1117"/>
      <c r="I152" s="1117"/>
      <c r="J152" s="1117"/>
      <c r="K152" s="1117"/>
      <c r="L152" s="1117"/>
      <c r="M152" s="1117"/>
      <c r="N152" s="1117"/>
      <c r="O152" s="219" t="s">
        <v>1500</v>
      </c>
      <c r="P152" s="1590" t="s">
        <v>63</v>
      </c>
      <c r="Q152" s="354"/>
      <c r="AE152" s="807"/>
      <c r="AF152" s="807"/>
    </row>
    <row r="153" spans="1:32" ht="12" customHeight="1">
      <c r="B153" s="192"/>
      <c r="C153" s="197"/>
      <c r="D153" s="197"/>
      <c r="E153" s="729" t="s">
        <v>617</v>
      </c>
      <c r="F153" s="197" t="s">
        <v>287</v>
      </c>
      <c r="G153" s="197"/>
      <c r="H153" s="197"/>
      <c r="I153" s="197"/>
      <c r="J153" s="197"/>
      <c r="K153" s="197"/>
      <c r="L153" s="197"/>
      <c r="M153" s="197"/>
      <c r="O153" s="729" t="s">
        <v>617</v>
      </c>
      <c r="P153" s="1569" t="s">
        <v>63</v>
      </c>
      <c r="Q153" s="232"/>
    </row>
    <row r="154" spans="1:32" s="182" customFormat="1" ht="21.75" customHeight="1">
      <c r="B154" s="192"/>
      <c r="C154" s="197"/>
      <c r="D154" s="197"/>
      <c r="E154" s="219" t="s">
        <v>1952</v>
      </c>
      <c r="F154" s="1117" t="s">
        <v>288</v>
      </c>
      <c r="G154" s="1117"/>
      <c r="H154" s="1117"/>
      <c r="I154" s="1117"/>
      <c r="J154" s="1117"/>
      <c r="K154" s="1117"/>
      <c r="L154" s="1117"/>
      <c r="M154" s="1117"/>
      <c r="N154" s="1117"/>
      <c r="O154" s="219" t="s">
        <v>1952</v>
      </c>
      <c r="P154" s="1590" t="s">
        <v>61</v>
      </c>
      <c r="Q154" s="354"/>
      <c r="AE154" s="807"/>
      <c r="AF154" s="807"/>
    </row>
    <row r="155" spans="1:32" ht="21.75" customHeight="1">
      <c r="B155" s="192" t="s">
        <v>1220</v>
      </c>
      <c r="C155" s="1117" t="s">
        <v>248</v>
      </c>
      <c r="D155" s="1117"/>
      <c r="E155" s="1117"/>
      <c r="F155" s="1117"/>
      <c r="G155" s="1117"/>
      <c r="H155" s="1117"/>
      <c r="I155" s="1117"/>
      <c r="J155" s="1117"/>
      <c r="K155" s="1117"/>
      <c r="L155" s="1117"/>
      <c r="M155" s="1117"/>
      <c r="N155" s="1117"/>
      <c r="O155" s="219" t="s">
        <v>1220</v>
      </c>
      <c r="P155" s="1569" t="s">
        <v>63</v>
      </c>
      <c r="Q155" s="232"/>
    </row>
    <row r="156" spans="1:32" ht="12" customHeight="1">
      <c r="B156" s="192" t="s">
        <v>1496</v>
      </c>
      <c r="C156" s="197" t="s">
        <v>769</v>
      </c>
      <c r="D156" s="197"/>
      <c r="E156" s="197"/>
      <c r="F156" s="197"/>
      <c r="G156" s="197"/>
      <c r="H156" s="197"/>
      <c r="I156" s="197"/>
      <c r="J156" s="197"/>
      <c r="K156" s="197"/>
      <c r="L156" s="197"/>
      <c r="M156" s="197"/>
      <c r="O156" s="219" t="s">
        <v>1496</v>
      </c>
      <c r="P156" s="1569" t="s">
        <v>63</v>
      </c>
      <c r="Q156" s="232"/>
    </row>
    <row r="157" spans="1:32" ht="12" customHeight="1">
      <c r="B157" s="191" t="s">
        <v>1390</v>
      </c>
      <c r="D157" s="191"/>
      <c r="E157" s="191"/>
      <c r="F157" s="191"/>
      <c r="G157" s="191"/>
      <c r="H157" s="48"/>
      <c r="I157" s="180"/>
      <c r="J157" s="180"/>
      <c r="K157" s="180"/>
      <c r="L157" s="848"/>
      <c r="M157" s="848"/>
      <c r="N157" s="848"/>
      <c r="O157" s="848"/>
      <c r="P157" s="848"/>
      <c r="Q157" s="60"/>
    </row>
    <row r="158" spans="1:32" ht="11.45" customHeight="1">
      <c r="A158" s="1573"/>
      <c r="B158" s="1574"/>
      <c r="C158" s="1574"/>
      <c r="D158" s="1574"/>
      <c r="E158" s="1574"/>
      <c r="F158" s="1574"/>
      <c r="G158" s="1574"/>
      <c r="H158" s="1574"/>
      <c r="I158" s="1574"/>
      <c r="J158" s="1574"/>
      <c r="K158" s="1574"/>
      <c r="L158" s="1574"/>
      <c r="M158" s="1574"/>
      <c r="N158" s="1574"/>
      <c r="O158" s="1574"/>
      <c r="P158" s="1574"/>
      <c r="Q158" s="1575"/>
      <c r="U158" s="186"/>
      <c r="V158" s="186"/>
      <c r="W158" s="186"/>
      <c r="X158" s="186"/>
      <c r="Y158" s="186"/>
      <c r="Z158" s="186"/>
      <c r="AA158" s="186"/>
      <c r="AB158" s="186"/>
      <c r="AC158" s="186"/>
      <c r="AD158" s="186"/>
      <c r="AE158" s="806"/>
    </row>
    <row r="159" spans="1:32" ht="12" customHeight="1">
      <c r="B159" s="187" t="s">
        <v>1391</v>
      </c>
      <c r="C159" s="188"/>
      <c r="D159" s="856"/>
      <c r="E159" s="856"/>
      <c r="F159" s="856"/>
      <c r="G159" s="856"/>
      <c r="H159" s="856"/>
      <c r="I159" s="856"/>
      <c r="J159" s="856"/>
      <c r="K159" s="856"/>
      <c r="L159" s="856"/>
      <c r="M159" s="856"/>
      <c r="N159" s="856"/>
      <c r="O159" s="856"/>
      <c r="P159" s="856"/>
      <c r="Q159" s="856"/>
    </row>
    <row r="160" spans="1:32" ht="11.45" customHeight="1">
      <c r="A160" s="1109"/>
      <c r="B160" s="1110"/>
      <c r="C160" s="1110"/>
      <c r="D160" s="1110"/>
      <c r="E160" s="1110"/>
      <c r="F160" s="1110"/>
      <c r="G160" s="1110"/>
      <c r="H160" s="1110"/>
      <c r="I160" s="1110"/>
      <c r="J160" s="1110"/>
      <c r="K160" s="1110"/>
      <c r="L160" s="1110"/>
      <c r="M160" s="1110"/>
      <c r="N160" s="1110"/>
      <c r="O160" s="1110"/>
      <c r="P160" s="1110"/>
      <c r="Q160" s="1111"/>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4.1" customHeight="1">
      <c r="A162" s="857">
        <v>10</v>
      </c>
      <c r="B162" s="857" t="s">
        <v>302</v>
      </c>
      <c r="C162" s="857"/>
      <c r="D162" s="856"/>
      <c r="E162" s="198"/>
      <c r="F162" s="198"/>
      <c r="G162" s="856"/>
      <c r="J162" s="1144"/>
      <c r="K162" s="1144"/>
      <c r="L162" s="1144"/>
      <c r="M162" s="1144"/>
      <c r="N162" s="1144"/>
      <c r="O162" s="181" t="s">
        <v>1392</v>
      </c>
      <c r="P162" s="1113"/>
      <c r="Q162" s="1118"/>
    </row>
    <row r="163" spans="1:31" ht="12" customHeight="1">
      <c r="A163" s="189"/>
      <c r="B163" s="55" t="s">
        <v>1150</v>
      </c>
      <c r="C163" s="1117" t="s">
        <v>3952</v>
      </c>
      <c r="D163" s="1117"/>
      <c r="E163" s="1117"/>
      <c r="F163" s="1117"/>
      <c r="G163" s="1117"/>
      <c r="H163" s="79" t="s">
        <v>1498</v>
      </c>
      <c r="I163" s="62" t="s">
        <v>3885</v>
      </c>
      <c r="J163" s="1579" t="s">
        <v>17</v>
      </c>
      <c r="K163" s="1580"/>
      <c r="L163" s="1580"/>
      <c r="M163" s="1580"/>
      <c r="N163" s="1581"/>
      <c r="O163" s="79" t="s">
        <v>1498</v>
      </c>
      <c r="P163" s="1569" t="s">
        <v>63</v>
      </c>
      <c r="Q163" s="232"/>
    </row>
    <row r="164" spans="1:31" ht="12" customHeight="1">
      <c r="A164" s="189"/>
      <c r="B164" s="180"/>
      <c r="C164" s="143"/>
      <c r="D164" s="143"/>
      <c r="E164" s="143"/>
      <c r="F164" s="143"/>
      <c r="H164" s="79" t="s">
        <v>1499</v>
      </c>
      <c r="I164" s="62" t="s">
        <v>1871</v>
      </c>
      <c r="J164" s="1579" t="s">
        <v>33</v>
      </c>
      <c r="K164" s="1580"/>
      <c r="L164" s="1580"/>
      <c r="M164" s="1580"/>
      <c r="N164" s="1581"/>
      <c r="O164" s="79" t="s">
        <v>1499</v>
      </c>
      <c r="P164" s="1569" t="s">
        <v>63</v>
      </c>
      <c r="Q164" s="232"/>
    </row>
    <row r="165" spans="1:31" ht="12" customHeight="1">
      <c r="B165" s="191" t="s">
        <v>1390</v>
      </c>
      <c r="D165" s="191"/>
      <c r="E165" s="191"/>
      <c r="F165" s="191"/>
      <c r="G165" s="191"/>
      <c r="J165" s="180"/>
      <c r="K165" s="180"/>
      <c r="L165" s="848"/>
      <c r="M165" s="848"/>
      <c r="N165" s="848"/>
      <c r="O165" s="848"/>
      <c r="P165" s="848"/>
      <c r="Q165" s="60"/>
    </row>
    <row r="166" spans="1:31" ht="11.45" customHeight="1">
      <c r="A166" s="1573"/>
      <c r="B166" s="1574"/>
      <c r="C166" s="1574"/>
      <c r="D166" s="1574"/>
      <c r="E166" s="1574"/>
      <c r="F166" s="1574"/>
      <c r="G166" s="1574"/>
      <c r="H166" s="1574"/>
      <c r="I166" s="1574"/>
      <c r="J166" s="1574"/>
      <c r="K166" s="1574"/>
      <c r="L166" s="1574"/>
      <c r="M166" s="1574"/>
      <c r="N166" s="1574"/>
      <c r="O166" s="1574"/>
      <c r="P166" s="1574"/>
      <c r="Q166" s="1575"/>
      <c r="U166" s="186"/>
      <c r="V166" s="186"/>
      <c r="W166" s="186"/>
      <c r="X166" s="186"/>
      <c r="Y166" s="186"/>
      <c r="Z166" s="186"/>
      <c r="AA166" s="186"/>
      <c r="AB166" s="186"/>
      <c r="AC166" s="186"/>
      <c r="AD166" s="186"/>
      <c r="AE166" s="806"/>
    </row>
    <row r="167" spans="1:31" ht="12" customHeight="1">
      <c r="B167" s="187" t="s">
        <v>1391</v>
      </c>
      <c r="C167" s="188"/>
      <c r="D167" s="856"/>
      <c r="E167" s="856"/>
      <c r="F167" s="856"/>
      <c r="G167" s="856"/>
      <c r="H167" s="856"/>
      <c r="I167" s="856"/>
      <c r="J167" s="856"/>
      <c r="K167" s="856"/>
      <c r="L167" s="856"/>
      <c r="M167" s="856"/>
      <c r="N167" s="856"/>
      <c r="O167" s="856"/>
      <c r="P167" s="856"/>
      <c r="Q167" s="856"/>
    </row>
    <row r="168" spans="1:31" ht="11.45" customHeight="1">
      <c r="A168" s="1109"/>
      <c r="B168" s="1110"/>
      <c r="C168" s="1110"/>
      <c r="D168" s="1110"/>
      <c r="E168" s="1110"/>
      <c r="F168" s="1110"/>
      <c r="G168" s="1110"/>
      <c r="H168" s="1110"/>
      <c r="I168" s="1110"/>
      <c r="J168" s="1110"/>
      <c r="K168" s="1110"/>
      <c r="L168" s="1110"/>
      <c r="M168" s="1110"/>
      <c r="N168" s="1110"/>
      <c r="O168" s="1110"/>
      <c r="P168" s="1110"/>
      <c r="Q168" s="1111"/>
    </row>
    <row r="169" spans="1:31" ht="4.3499999999999996" customHeight="1">
      <c r="B169" s="180"/>
      <c r="C169" s="856"/>
      <c r="D169" s="856"/>
      <c r="E169" s="856"/>
      <c r="F169" s="856"/>
      <c r="G169" s="856"/>
      <c r="H169" s="856"/>
      <c r="I169" s="856"/>
      <c r="J169" s="856"/>
      <c r="K169" s="856"/>
      <c r="L169" s="856"/>
      <c r="M169" s="856"/>
      <c r="Q169" s="60"/>
    </row>
    <row r="170" spans="1:31" ht="14.1" customHeight="1">
      <c r="A170" s="857">
        <v>11</v>
      </c>
      <c r="B170" s="5" t="s">
        <v>303</v>
      </c>
      <c r="C170" s="5"/>
      <c r="D170" s="115"/>
      <c r="E170" s="115"/>
      <c r="F170" s="115"/>
      <c r="G170" s="856"/>
      <c r="H170" s="856"/>
      <c r="I170" s="856"/>
      <c r="J170" s="856"/>
      <c r="K170" s="856"/>
      <c r="L170" s="856"/>
      <c r="M170" s="856"/>
      <c r="O170" s="181" t="s">
        <v>1392</v>
      </c>
      <c r="P170" s="1113"/>
      <c r="Q170" s="1118"/>
    </row>
    <row r="171" spans="1:31" ht="4.3499999999999996" customHeight="1"/>
    <row r="172" spans="1:31" ht="11.45" customHeight="1">
      <c r="B172" s="192" t="s">
        <v>1150</v>
      </c>
      <c r="C172" s="636" t="s">
        <v>1498</v>
      </c>
      <c r="D172" s="635" t="s">
        <v>3400</v>
      </c>
      <c r="E172" s="635"/>
      <c r="F172" s="635"/>
      <c r="G172" s="635"/>
      <c r="H172" s="635"/>
      <c r="I172" s="635"/>
      <c r="J172" s="635"/>
      <c r="K172" s="635"/>
      <c r="L172" s="635"/>
      <c r="M172" s="635"/>
      <c r="N172" s="635"/>
      <c r="O172" s="219" t="s">
        <v>1997</v>
      </c>
      <c r="P172" s="1569" t="s">
        <v>61</v>
      </c>
      <c r="Q172" s="232"/>
    </row>
    <row r="173" spans="1:31" ht="11.45" customHeight="1">
      <c r="B173" s="192"/>
      <c r="C173" s="636" t="s">
        <v>1499</v>
      </c>
      <c r="D173" s="635" t="s">
        <v>1974</v>
      </c>
      <c r="E173" s="635"/>
      <c r="F173" s="635"/>
      <c r="G173" s="635"/>
      <c r="H173" s="635"/>
      <c r="I173" s="635"/>
      <c r="J173" s="635"/>
      <c r="K173" s="635"/>
      <c r="L173" s="635"/>
      <c r="M173" s="635"/>
      <c r="N173" s="635"/>
      <c r="O173" s="219" t="s">
        <v>1499</v>
      </c>
      <c r="P173" s="1569"/>
      <c r="Q173" s="232"/>
    </row>
    <row r="174" spans="1:31" ht="11.45" customHeight="1">
      <c r="A174" s="189"/>
      <c r="B174" s="192" t="s">
        <v>1153</v>
      </c>
      <c r="C174" s="1117" t="s">
        <v>1374</v>
      </c>
      <c r="D174" s="1117"/>
      <c r="E174" s="1117"/>
      <c r="F174" s="1117"/>
      <c r="G174" s="1117"/>
      <c r="H174" s="79" t="s">
        <v>1498</v>
      </c>
      <c r="I174" s="62" t="s">
        <v>3232</v>
      </c>
      <c r="J174" s="1579" t="s">
        <v>34</v>
      </c>
      <c r="K174" s="1580"/>
      <c r="L174" s="1580"/>
      <c r="M174" s="1580"/>
      <c r="N174" s="1581"/>
      <c r="O174" s="79" t="s">
        <v>2048</v>
      </c>
      <c r="P174" s="1569" t="s">
        <v>63</v>
      </c>
      <c r="Q174" s="232"/>
    </row>
    <row r="175" spans="1:31" ht="11.45" customHeight="1">
      <c r="A175" s="189"/>
      <c r="B175" s="859"/>
      <c r="C175" s="1117"/>
      <c r="D175" s="1117"/>
      <c r="E175" s="1117"/>
      <c r="F175" s="1117"/>
      <c r="G175" s="1117"/>
      <c r="H175" s="79" t="s">
        <v>1499</v>
      </c>
      <c r="I175" s="62" t="s">
        <v>3989</v>
      </c>
      <c r="J175" s="1579" t="s">
        <v>34</v>
      </c>
      <c r="K175" s="1580"/>
      <c r="L175" s="1580"/>
      <c r="M175" s="1580"/>
      <c r="N175" s="1581"/>
      <c r="O175" s="79" t="s">
        <v>1499</v>
      </c>
      <c r="P175" s="1569" t="s">
        <v>63</v>
      </c>
      <c r="Q175" s="232"/>
    </row>
    <row r="176" spans="1:31" ht="11.25" customHeight="1">
      <c r="B176" s="191" t="s">
        <v>1390</v>
      </c>
      <c r="D176" s="191"/>
      <c r="E176" s="191"/>
      <c r="F176" s="191"/>
      <c r="G176" s="191"/>
      <c r="H176" s="48"/>
      <c r="I176" s="180"/>
      <c r="J176" s="180"/>
      <c r="K176" s="180"/>
      <c r="L176" s="848"/>
      <c r="M176" s="848"/>
      <c r="N176" s="848"/>
      <c r="O176" s="848"/>
      <c r="P176" s="848"/>
      <c r="Q176" s="60"/>
    </row>
    <row r="177" spans="1:32" ht="11.45" customHeight="1">
      <c r="A177" s="1573"/>
      <c r="B177" s="1574"/>
      <c r="C177" s="1574"/>
      <c r="D177" s="1574"/>
      <c r="E177" s="1574"/>
      <c r="F177" s="1574"/>
      <c r="G177" s="1574"/>
      <c r="H177" s="1574"/>
      <c r="I177" s="1574"/>
      <c r="J177" s="1574"/>
      <c r="K177" s="1574"/>
      <c r="L177" s="1574"/>
      <c r="M177" s="1574"/>
      <c r="N177" s="1574"/>
      <c r="O177" s="1574"/>
      <c r="P177" s="1574"/>
      <c r="Q177" s="1575"/>
      <c r="U177" s="186"/>
      <c r="V177" s="186"/>
      <c r="W177" s="186"/>
      <c r="X177" s="186"/>
      <c r="Y177" s="186"/>
      <c r="Z177" s="186"/>
      <c r="AA177" s="186"/>
      <c r="AB177" s="186"/>
      <c r="AC177" s="186"/>
      <c r="AD177" s="186"/>
      <c r="AE177" s="806"/>
    </row>
    <row r="178" spans="1:32" ht="11.25" customHeight="1">
      <c r="B178" s="187" t="s">
        <v>1391</v>
      </c>
      <c r="C178" s="188"/>
      <c r="D178" s="856"/>
      <c r="E178" s="856"/>
      <c r="F178" s="856"/>
      <c r="G178" s="856"/>
      <c r="H178" s="856"/>
      <c r="I178" s="856"/>
      <c r="J178" s="856"/>
      <c r="K178" s="856"/>
      <c r="L178" s="856"/>
      <c r="M178" s="856"/>
      <c r="N178" s="856"/>
      <c r="O178" s="856"/>
      <c r="P178" s="856"/>
      <c r="Q178" s="856"/>
    </row>
    <row r="179" spans="1:32" ht="11.45" customHeight="1">
      <c r="A179" s="1109"/>
      <c r="B179" s="1110"/>
      <c r="C179" s="1110"/>
      <c r="D179" s="1110"/>
      <c r="E179" s="1110"/>
      <c r="F179" s="1110"/>
      <c r="G179" s="1110"/>
      <c r="H179" s="1110"/>
      <c r="I179" s="1110"/>
      <c r="J179" s="1110"/>
      <c r="K179" s="1110"/>
      <c r="L179" s="1110"/>
      <c r="M179" s="1110"/>
      <c r="N179" s="1110"/>
      <c r="O179" s="1110"/>
      <c r="P179" s="1110"/>
      <c r="Q179" s="1111"/>
    </row>
    <row r="180" spans="1:32" ht="3" customHeight="1">
      <c r="A180" s="848"/>
      <c r="B180" s="180"/>
      <c r="C180" s="856"/>
      <c r="D180" s="856"/>
      <c r="E180" s="856"/>
      <c r="F180" s="856"/>
      <c r="G180" s="856"/>
      <c r="H180" s="856"/>
      <c r="I180" s="856"/>
      <c r="J180" s="856"/>
      <c r="K180" s="856"/>
      <c r="L180" s="856"/>
      <c r="M180" s="856"/>
      <c r="Q180" s="848"/>
    </row>
    <row r="181" spans="1:32" ht="14.1" customHeight="1">
      <c r="A181" s="857">
        <v>12</v>
      </c>
      <c r="B181" s="5" t="s">
        <v>304</v>
      </c>
      <c r="C181" s="5"/>
      <c r="D181" s="115"/>
      <c r="E181" s="115"/>
      <c r="F181" s="115"/>
      <c r="G181" s="115"/>
      <c r="H181" s="856"/>
      <c r="I181" s="856"/>
      <c r="J181" s="856"/>
      <c r="K181" s="856"/>
      <c r="L181" s="856"/>
      <c r="M181" s="856"/>
      <c r="O181" s="181" t="s">
        <v>1392</v>
      </c>
      <c r="P181" s="1113"/>
      <c r="Q181" s="1118"/>
    </row>
    <row r="182" spans="1:32" ht="11.1" customHeight="1">
      <c r="B182" s="195" t="s">
        <v>3874</v>
      </c>
    </row>
    <row r="183" spans="1:32" ht="11.45" customHeight="1">
      <c r="B183" s="55" t="s">
        <v>1150</v>
      </c>
      <c r="C183" s="62" t="s">
        <v>3775</v>
      </c>
      <c r="D183" s="50"/>
      <c r="E183" s="62"/>
      <c r="F183" s="62"/>
      <c r="G183" s="62"/>
      <c r="H183" s="62"/>
      <c r="I183" s="50"/>
      <c r="J183" s="50"/>
      <c r="K183" s="50"/>
      <c r="L183" s="197"/>
      <c r="M183" s="197"/>
      <c r="O183" s="219" t="s">
        <v>1150</v>
      </c>
      <c r="P183" s="1569" t="s">
        <v>63</v>
      </c>
      <c r="Q183" s="232"/>
    </row>
    <row r="184" spans="1:32" ht="11.45" customHeight="1">
      <c r="B184" s="55" t="s">
        <v>1153</v>
      </c>
      <c r="C184" s="62" t="s">
        <v>3875</v>
      </c>
      <c r="D184" s="62"/>
      <c r="E184" s="62"/>
      <c r="F184" s="62"/>
      <c r="G184" s="62"/>
      <c r="H184" s="62"/>
      <c r="I184" s="50"/>
      <c r="J184" s="50"/>
      <c r="K184" s="50"/>
      <c r="L184" s="190"/>
      <c r="M184" s="190"/>
      <c r="O184" s="219" t="s">
        <v>1153</v>
      </c>
      <c r="P184" s="1569" t="s">
        <v>63</v>
      </c>
      <c r="Q184" s="232"/>
    </row>
    <row r="185" spans="1:32" s="199" customFormat="1" ht="11.45" customHeight="1">
      <c r="B185" s="55" t="s">
        <v>3012</v>
      </c>
      <c r="C185" s="62" t="s">
        <v>3876</v>
      </c>
      <c r="D185" s="62"/>
      <c r="E185" s="62"/>
      <c r="F185" s="62"/>
      <c r="G185" s="62"/>
      <c r="H185" s="62"/>
      <c r="I185" s="126"/>
      <c r="J185" s="126"/>
      <c r="K185" s="126"/>
      <c r="L185" s="197"/>
      <c r="M185" s="197"/>
      <c r="N185" s="43"/>
      <c r="O185" s="219" t="s">
        <v>3012</v>
      </c>
      <c r="P185" s="1569" t="s">
        <v>63</v>
      </c>
      <c r="Q185" s="232"/>
      <c r="AE185" s="808"/>
      <c r="AF185" s="808"/>
    </row>
    <row r="186" spans="1:32" s="199" customFormat="1" ht="11.45" customHeight="1">
      <c r="B186" s="55" t="s">
        <v>1220</v>
      </c>
      <c r="C186" s="62" t="s">
        <v>3877</v>
      </c>
      <c r="D186" s="62"/>
      <c r="E186" s="62"/>
      <c r="F186" s="62"/>
      <c r="G186" s="62"/>
      <c r="H186" s="62"/>
      <c r="I186" s="126"/>
      <c r="J186" s="126"/>
      <c r="K186" s="126"/>
      <c r="L186" s="126"/>
      <c r="M186" s="126"/>
      <c r="O186" s="804" t="s">
        <v>1220</v>
      </c>
      <c r="P186" s="1569" t="s">
        <v>61</v>
      </c>
      <c r="Q186" s="232"/>
      <c r="AE186" s="808"/>
      <c r="AF186" s="808"/>
    </row>
    <row r="187" spans="1:32" ht="11.25" customHeight="1">
      <c r="B187" s="191" t="s">
        <v>1390</v>
      </c>
      <c r="D187" s="191"/>
      <c r="E187" s="191"/>
      <c r="F187" s="191"/>
      <c r="G187" s="191"/>
      <c r="H187" s="48"/>
      <c r="I187" s="180"/>
      <c r="J187" s="180"/>
      <c r="K187" s="180"/>
      <c r="L187" s="848"/>
      <c r="M187" s="848"/>
      <c r="N187" s="848"/>
      <c r="O187" s="848"/>
      <c r="P187" s="848"/>
      <c r="Q187" s="60"/>
    </row>
    <row r="188" spans="1:32" ht="13.35" customHeight="1">
      <c r="A188" s="1573"/>
      <c r="B188" s="1574"/>
      <c r="C188" s="1574"/>
      <c r="D188" s="1574"/>
      <c r="E188" s="1574"/>
      <c r="F188" s="1574"/>
      <c r="G188" s="1574"/>
      <c r="H188" s="1574"/>
      <c r="I188" s="1574"/>
      <c r="J188" s="1574"/>
      <c r="K188" s="1574"/>
      <c r="L188" s="1574"/>
      <c r="M188" s="1574"/>
      <c r="N188" s="1574"/>
      <c r="O188" s="1574"/>
      <c r="P188" s="1574"/>
      <c r="Q188" s="1575"/>
      <c r="R188" s="738" t="s">
        <v>2219</v>
      </c>
      <c r="S188" s="738"/>
      <c r="U188" s="186"/>
      <c r="V188" s="186"/>
      <c r="W188" s="186"/>
      <c r="X188" s="186"/>
      <c r="Y188" s="186"/>
      <c r="Z188" s="186"/>
      <c r="AA188" s="186"/>
      <c r="AB188" s="186"/>
      <c r="AC188" s="186"/>
      <c r="AD188" s="186"/>
      <c r="AE188" s="806"/>
    </row>
    <row r="189" spans="1:32" s="31" customFormat="1" ht="3" customHeight="1">
      <c r="C189" s="160"/>
      <c r="D189" s="160"/>
      <c r="R189" s="738"/>
      <c r="S189" s="738"/>
      <c r="AE189" s="160"/>
      <c r="AF189" s="160"/>
    </row>
    <row r="190" spans="1:32" ht="11.25" customHeight="1">
      <c r="B190" s="187" t="s">
        <v>1391</v>
      </c>
      <c r="C190" s="188"/>
      <c r="D190" s="856"/>
      <c r="E190" s="856"/>
      <c r="F190" s="856"/>
      <c r="G190" s="856"/>
      <c r="H190" s="856"/>
      <c r="I190" s="856"/>
      <c r="J190" s="856"/>
      <c r="K190" s="856"/>
      <c r="L190" s="856"/>
      <c r="M190" s="856"/>
      <c r="N190" s="856"/>
      <c r="O190" s="856"/>
      <c r="P190" s="856"/>
      <c r="Q190" s="856"/>
    </row>
    <row r="191" spans="1:32" ht="13.35" customHeight="1">
      <c r="A191" s="1109"/>
      <c r="B191" s="1110"/>
      <c r="C191" s="1110"/>
      <c r="D191" s="1110"/>
      <c r="E191" s="1110"/>
      <c r="F191" s="1110"/>
      <c r="G191" s="1110"/>
      <c r="H191" s="1110"/>
      <c r="I191" s="1110"/>
      <c r="J191" s="1110"/>
      <c r="K191" s="1110"/>
      <c r="L191" s="1110"/>
      <c r="M191" s="1110"/>
      <c r="N191" s="1110"/>
      <c r="O191" s="1110"/>
      <c r="P191" s="1110"/>
      <c r="Q191" s="1111"/>
    </row>
    <row r="192" spans="1:32" ht="3" customHeight="1">
      <c r="A192" s="848"/>
      <c r="B192" s="180"/>
      <c r="C192" s="856"/>
      <c r="D192" s="856"/>
      <c r="E192" s="856"/>
      <c r="F192" s="856"/>
      <c r="G192" s="856"/>
      <c r="H192" s="856"/>
      <c r="I192" s="856"/>
      <c r="J192" s="856"/>
      <c r="K192" s="856"/>
      <c r="L192" s="856"/>
      <c r="M192" s="856"/>
      <c r="Q192" s="848"/>
    </row>
    <row r="193" spans="1:32" ht="14.1" customHeight="1">
      <c r="A193" s="857">
        <v>13</v>
      </c>
      <c r="B193" s="857" t="s">
        <v>258</v>
      </c>
      <c r="C193" s="154"/>
      <c r="D193" s="856"/>
      <c r="E193" s="856"/>
      <c r="F193" s="856"/>
      <c r="G193" s="856"/>
      <c r="H193" s="856"/>
      <c r="I193" s="856"/>
      <c r="J193" s="856"/>
      <c r="K193" s="856"/>
      <c r="L193" s="856"/>
      <c r="M193" s="856"/>
      <c r="O193" s="181" t="s">
        <v>1392</v>
      </c>
      <c r="P193" s="1113"/>
      <c r="Q193" s="1118"/>
    </row>
    <row r="194" spans="1:32" s="31" customFormat="1" ht="11.45" customHeight="1">
      <c r="B194" s="195" t="s">
        <v>2353</v>
      </c>
      <c r="N194" s="166"/>
      <c r="P194" s="1569" t="s">
        <v>61</v>
      </c>
      <c r="Q194" s="232"/>
      <c r="AE194" s="160"/>
      <c r="AF194" s="160"/>
    </row>
    <row r="195" spans="1:32" ht="12" customHeight="1">
      <c r="B195" s="55" t="s">
        <v>1150</v>
      </c>
      <c r="C195" s="115" t="s">
        <v>2214</v>
      </c>
      <c r="D195" s="50"/>
      <c r="E195" s="50"/>
      <c r="F195" s="50"/>
      <c r="G195" s="50"/>
      <c r="H195" s="50"/>
      <c r="I195" s="50"/>
      <c r="J195" s="50"/>
      <c r="K195" s="50"/>
      <c r="L195" s="50"/>
      <c r="M195" s="50"/>
    </row>
    <row r="196" spans="1:32" ht="11.45" customHeight="1">
      <c r="B196" s="55"/>
      <c r="C196" s="79" t="s">
        <v>1498</v>
      </c>
      <c r="D196" s="62" t="s">
        <v>1225</v>
      </c>
      <c r="E196" s="62"/>
      <c r="F196" s="62"/>
      <c r="G196" s="62"/>
      <c r="H196" s="62"/>
      <c r="I196" s="50"/>
      <c r="J196" s="50"/>
      <c r="K196" s="50"/>
      <c r="L196" s="79" t="s">
        <v>1997</v>
      </c>
      <c r="M196" s="1579" t="s">
        <v>35</v>
      </c>
      <c r="N196" s="1580"/>
      <c r="O196" s="1581"/>
      <c r="P196" s="1569" t="s">
        <v>25</v>
      </c>
      <c r="Q196" s="232"/>
    </row>
    <row r="197" spans="1:32" ht="11.45" customHeight="1">
      <c r="B197" s="55"/>
      <c r="C197" s="79" t="s">
        <v>1499</v>
      </c>
      <c r="D197" s="38" t="s">
        <v>3878</v>
      </c>
      <c r="E197" s="38"/>
      <c r="F197" s="38"/>
      <c r="G197" s="38"/>
      <c r="H197" s="38"/>
      <c r="I197" s="50"/>
      <c r="J197" s="50"/>
      <c r="K197" s="50"/>
      <c r="L197" s="79" t="s">
        <v>1998</v>
      </c>
      <c r="M197" s="1579" t="s">
        <v>36</v>
      </c>
      <c r="N197" s="1580"/>
      <c r="O197" s="1581"/>
      <c r="P197" s="1569" t="s">
        <v>25</v>
      </c>
      <c r="Q197" s="232"/>
    </row>
    <row r="198" spans="1:32" ht="11.45" customHeight="1">
      <c r="B198" s="55"/>
      <c r="C198" s="79" t="s">
        <v>1500</v>
      </c>
      <c r="D198" s="38" t="s">
        <v>3332</v>
      </c>
      <c r="E198" s="38"/>
      <c r="F198" s="38"/>
      <c r="G198" s="38"/>
      <c r="H198" s="38"/>
      <c r="I198" s="50"/>
      <c r="J198" s="50"/>
      <c r="K198" s="50"/>
      <c r="L198" s="79" t="s">
        <v>1999</v>
      </c>
      <c r="M198" s="1598" t="s">
        <v>37</v>
      </c>
      <c r="N198" s="1599"/>
      <c r="O198" s="1600"/>
      <c r="P198" s="1569" t="s">
        <v>25</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1153</v>
      </c>
      <c r="C200" s="296" t="s">
        <v>596</v>
      </c>
      <c r="D200" s="62"/>
      <c r="E200" s="62"/>
      <c r="F200" s="62"/>
      <c r="G200" s="62"/>
      <c r="H200" s="62"/>
      <c r="I200" s="62"/>
      <c r="J200" s="62"/>
      <c r="K200" s="50"/>
      <c r="L200" s="50"/>
      <c r="M200" s="50"/>
      <c r="N200" s="50"/>
      <c r="O200" s="804" t="s">
        <v>1153</v>
      </c>
      <c r="P200" s="1569" t="s">
        <v>25</v>
      </c>
      <c r="Q200" s="232"/>
    </row>
    <row r="201" spans="1:32" ht="11.1" customHeight="1">
      <c r="B201" s="55"/>
      <c r="C201" s="62" t="s">
        <v>595</v>
      </c>
      <c r="D201" s="62"/>
      <c r="E201" s="62"/>
      <c r="F201" s="62"/>
      <c r="G201" s="62"/>
      <c r="H201" s="62"/>
      <c r="I201" s="62"/>
      <c r="J201" s="62"/>
      <c r="K201" s="50"/>
      <c r="L201" s="50"/>
      <c r="M201" s="50"/>
      <c r="N201" s="50"/>
      <c r="O201" s="50"/>
      <c r="P201" s="1158" t="s">
        <v>3956</v>
      </c>
      <c r="Q201" s="1158"/>
    </row>
    <row r="202" spans="1:32" ht="11.1" customHeight="1">
      <c r="B202" s="55"/>
      <c r="D202" s="62" t="s">
        <v>3955</v>
      </c>
      <c r="E202" s="62"/>
      <c r="F202" s="62"/>
      <c r="G202" s="62"/>
      <c r="I202" s="444" t="s">
        <v>2951</v>
      </c>
      <c r="J202" s="445" t="s">
        <v>2952</v>
      </c>
      <c r="L202" s="62" t="s">
        <v>3955</v>
      </c>
      <c r="M202" s="50"/>
      <c r="N202" s="50"/>
      <c r="O202" s="444"/>
      <c r="P202" s="446" t="s">
        <v>2951</v>
      </c>
      <c r="Q202" s="445" t="s">
        <v>2952</v>
      </c>
    </row>
    <row r="203" spans="1:32" s="51" customFormat="1" ht="11.45" customHeight="1">
      <c r="A203" s="126"/>
      <c r="B203" s="61"/>
      <c r="C203" s="79" t="s">
        <v>1498</v>
      </c>
      <c r="D203" s="1601" t="s">
        <v>38</v>
      </c>
      <c r="E203" s="1602"/>
      <c r="F203" s="1602"/>
      <c r="G203" s="1602"/>
      <c r="H203" s="1603"/>
      <c r="I203" s="447"/>
      <c r="J203" s="292"/>
      <c r="K203" s="79" t="s">
        <v>1500</v>
      </c>
      <c r="L203" s="1601" t="s">
        <v>40</v>
      </c>
      <c r="M203" s="1602"/>
      <c r="N203" s="1602"/>
      <c r="O203" s="1603"/>
      <c r="P203" s="355"/>
      <c r="Q203" s="292"/>
      <c r="AE203" s="64"/>
      <c r="AF203" s="64"/>
    </row>
    <row r="204" spans="1:32" s="51" customFormat="1" ht="11.45" customHeight="1">
      <c r="A204" s="126"/>
      <c r="B204" s="61"/>
      <c r="C204" s="79" t="s">
        <v>1499</v>
      </c>
      <c r="D204" s="1604" t="s">
        <v>39</v>
      </c>
      <c r="E204" s="1605"/>
      <c r="F204" s="1605"/>
      <c r="G204" s="1605"/>
      <c r="H204" s="1606"/>
      <c r="I204" s="653"/>
      <c r="J204" s="293"/>
      <c r="K204" s="79" t="s">
        <v>617</v>
      </c>
      <c r="L204" s="1604"/>
      <c r="M204" s="1605"/>
      <c r="N204" s="1605"/>
      <c r="O204" s="1606"/>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3012</v>
      </c>
      <c r="C206" s="296" t="s">
        <v>2215</v>
      </c>
      <c r="D206" s="62"/>
      <c r="E206" s="62"/>
      <c r="F206" s="62"/>
      <c r="G206" s="62"/>
      <c r="H206" s="62"/>
      <c r="I206" s="62"/>
      <c r="J206" s="62"/>
      <c r="K206" s="50"/>
      <c r="L206" s="62"/>
      <c r="M206" s="62"/>
      <c r="O206" s="804" t="s">
        <v>3012</v>
      </c>
      <c r="P206" s="1569" t="s">
        <v>25</v>
      </c>
      <c r="Q206" s="232"/>
    </row>
    <row r="207" spans="1:32" ht="11.45" customHeight="1">
      <c r="B207" s="55"/>
      <c r="C207" s="79" t="s">
        <v>1498</v>
      </c>
      <c r="D207" s="62" t="s">
        <v>3886</v>
      </c>
      <c r="E207" s="62"/>
      <c r="F207" s="62"/>
      <c r="G207" s="62"/>
      <c r="H207" s="62"/>
      <c r="I207" s="50"/>
      <c r="J207" s="40"/>
      <c r="K207" s="50"/>
      <c r="L207" s="40"/>
      <c r="M207" s="40"/>
      <c r="O207" s="79" t="s">
        <v>1498</v>
      </c>
      <c r="P207" s="1569" t="s">
        <v>63</v>
      </c>
      <c r="Q207" s="232"/>
    </row>
    <row r="208" spans="1:32" ht="11.45" customHeight="1">
      <c r="C208" s="79" t="s">
        <v>1499</v>
      </c>
      <c r="D208" s="38" t="s">
        <v>1531</v>
      </c>
      <c r="E208" s="38"/>
      <c r="F208" s="38"/>
      <c r="G208" s="38"/>
      <c r="H208" s="38"/>
      <c r="I208" s="50"/>
      <c r="J208" s="40"/>
      <c r="K208" s="50"/>
      <c r="L208" s="40"/>
      <c r="M208" s="40"/>
      <c r="O208" s="79" t="s">
        <v>1499</v>
      </c>
      <c r="P208" s="1569" t="s">
        <v>63</v>
      </c>
      <c r="Q208" s="232"/>
    </row>
    <row r="209" spans="1:31" ht="11.45" customHeight="1">
      <c r="C209" s="79" t="s">
        <v>1500</v>
      </c>
      <c r="D209" s="38" t="s">
        <v>2022</v>
      </c>
      <c r="E209" s="38"/>
      <c r="F209" s="38"/>
      <c r="G209" s="38"/>
      <c r="H209" s="38"/>
      <c r="I209" s="50"/>
      <c r="J209" s="40"/>
      <c r="K209" s="50"/>
      <c r="L209" s="40"/>
      <c r="M209" s="40"/>
      <c r="O209" s="79" t="s">
        <v>1500</v>
      </c>
      <c r="P209" s="1569" t="s">
        <v>63</v>
      </c>
      <c r="Q209" s="232"/>
    </row>
    <row r="210" spans="1:31" ht="11.45" customHeight="1">
      <c r="B210" s="55"/>
      <c r="C210" s="79" t="s">
        <v>617</v>
      </c>
      <c r="D210" s="38" t="s">
        <v>3887</v>
      </c>
      <c r="E210" s="38"/>
      <c r="F210" s="38"/>
      <c r="G210" s="38"/>
      <c r="H210" s="38"/>
      <c r="I210" s="50"/>
      <c r="J210" s="40"/>
      <c r="K210" s="50"/>
      <c r="L210" s="40"/>
      <c r="M210" s="40"/>
      <c r="O210" s="79" t="s">
        <v>617</v>
      </c>
      <c r="P210" s="1569" t="s">
        <v>63</v>
      </c>
      <c r="Q210" s="232"/>
    </row>
    <row r="211" spans="1:31" ht="11.45" customHeight="1">
      <c r="B211" s="55"/>
      <c r="C211" s="79" t="s">
        <v>1952</v>
      </c>
      <c r="D211" s="62" t="s">
        <v>2791</v>
      </c>
      <c r="E211" s="62"/>
      <c r="F211" s="62"/>
      <c r="G211" s="62"/>
      <c r="H211" s="62"/>
      <c r="I211" s="50"/>
      <c r="J211" s="40"/>
      <c r="K211" s="50"/>
      <c r="L211" s="40"/>
      <c r="M211" s="40"/>
      <c r="O211" s="79" t="s">
        <v>2792</v>
      </c>
      <c r="P211" s="1569" t="s">
        <v>61</v>
      </c>
      <c r="Q211" s="232"/>
    </row>
    <row r="212" spans="1:31" ht="11.45" customHeight="1">
      <c r="B212" s="55"/>
      <c r="C212" s="79"/>
      <c r="D212" s="62" t="s">
        <v>2000</v>
      </c>
      <c r="E212" s="62"/>
      <c r="F212" s="62"/>
      <c r="G212" s="62"/>
      <c r="H212" s="62"/>
      <c r="I212" s="50"/>
      <c r="J212" s="40"/>
      <c r="K212" s="50"/>
      <c r="L212" s="40"/>
      <c r="M212" s="40"/>
      <c r="O212" s="79" t="s">
        <v>2793</v>
      </c>
      <c r="P212" s="1569" t="s">
        <v>63</v>
      </c>
      <c r="Q212" s="232"/>
    </row>
    <row r="213" spans="1:31" ht="3" customHeight="1">
      <c r="B213" s="55"/>
      <c r="C213" s="79"/>
      <c r="D213" s="62"/>
      <c r="E213" s="62"/>
      <c r="F213" s="62"/>
      <c r="G213" s="62"/>
      <c r="H213" s="62"/>
      <c r="I213" s="50"/>
      <c r="J213" s="40"/>
      <c r="K213" s="50"/>
      <c r="L213" s="40"/>
      <c r="M213" s="40"/>
    </row>
    <row r="214" spans="1:31" ht="12" customHeight="1">
      <c r="B214" s="55" t="s">
        <v>1220</v>
      </c>
      <c r="C214" s="296" t="s">
        <v>235</v>
      </c>
      <c r="D214" s="62"/>
      <c r="E214" s="62"/>
      <c r="F214" s="62"/>
      <c r="G214" s="62"/>
      <c r="H214" s="62"/>
      <c r="I214" s="62"/>
      <c r="J214" s="62"/>
      <c r="K214" s="50"/>
      <c r="L214" s="62"/>
      <c r="M214" s="62"/>
      <c r="O214" s="804" t="s">
        <v>1220</v>
      </c>
      <c r="P214" s="1569" t="s">
        <v>25</v>
      </c>
      <c r="Q214" s="232"/>
    </row>
    <row r="215" spans="1:31" ht="11.45" customHeight="1">
      <c r="B215" s="55"/>
      <c r="C215" s="79" t="s">
        <v>1498</v>
      </c>
      <c r="D215" s="47" t="s">
        <v>2220</v>
      </c>
      <c r="E215" s="50"/>
      <c r="F215" s="50"/>
      <c r="G215" s="47"/>
      <c r="H215" s="38"/>
      <c r="I215" s="50"/>
      <c r="J215" s="38"/>
      <c r="K215" s="50"/>
      <c r="L215" s="38"/>
      <c r="M215" s="38"/>
      <c r="O215" s="79" t="s">
        <v>1498</v>
      </c>
      <c r="P215" s="1569" t="s">
        <v>63</v>
      </c>
      <c r="Q215" s="232"/>
    </row>
    <row r="216" spans="1:31" ht="11.45" customHeight="1">
      <c r="B216" s="55"/>
      <c r="C216" s="79" t="s">
        <v>1499</v>
      </c>
      <c r="D216" s="47" t="s">
        <v>3879</v>
      </c>
      <c r="E216" s="50"/>
      <c r="F216" s="50"/>
      <c r="G216" s="38"/>
      <c r="H216" s="38"/>
      <c r="I216" s="50"/>
      <c r="J216" s="38"/>
      <c r="K216" s="50"/>
      <c r="L216" s="38"/>
      <c r="M216" s="38"/>
      <c r="O216" s="79" t="s">
        <v>1499</v>
      </c>
      <c r="P216" s="1569" t="s">
        <v>63</v>
      </c>
      <c r="Q216" s="232"/>
    </row>
    <row r="217" spans="1:31" ht="11.45" customHeight="1">
      <c r="B217" s="55"/>
      <c r="C217" s="79" t="s">
        <v>1500</v>
      </c>
      <c r="D217" s="38" t="s">
        <v>1643</v>
      </c>
      <c r="E217" s="50"/>
      <c r="F217" s="50"/>
      <c r="G217" s="38"/>
      <c r="H217" s="38"/>
      <c r="I217" s="50"/>
      <c r="J217" s="38"/>
      <c r="K217" s="50"/>
      <c r="L217" s="38"/>
      <c r="M217" s="38"/>
      <c r="O217" s="79" t="s">
        <v>626</v>
      </c>
      <c r="P217" s="1569" t="s">
        <v>63</v>
      </c>
      <c r="Q217" s="232"/>
    </row>
    <row r="218" spans="1:31" ht="11.45" customHeight="1">
      <c r="B218" s="44"/>
      <c r="C218" s="50"/>
      <c r="D218" s="38" t="s">
        <v>2267</v>
      </c>
      <c r="E218" s="50"/>
      <c r="F218" s="50"/>
      <c r="G218" s="38"/>
      <c r="H218" s="38"/>
      <c r="I218" s="50"/>
      <c r="J218" s="38"/>
      <c r="K218" s="50"/>
      <c r="L218" s="38"/>
      <c r="M218" s="38"/>
      <c r="O218" s="79" t="s">
        <v>627</v>
      </c>
      <c r="P218" s="1569"/>
      <c r="Q218" s="232"/>
    </row>
    <row r="219" spans="1:31" ht="11.25" customHeight="1">
      <c r="B219" s="191" t="s">
        <v>1390</v>
      </c>
      <c r="D219" s="191"/>
      <c r="E219" s="191"/>
      <c r="F219" s="191"/>
      <c r="G219" s="191"/>
      <c r="H219" s="48"/>
      <c r="I219" s="180"/>
      <c r="J219" s="180"/>
      <c r="K219" s="180"/>
      <c r="L219" s="848"/>
      <c r="M219" s="848"/>
      <c r="N219" s="848"/>
      <c r="O219" s="848"/>
      <c r="P219" s="848"/>
      <c r="Q219" s="60"/>
    </row>
    <row r="220" spans="1:31" ht="11.45" customHeight="1">
      <c r="A220" s="1573"/>
      <c r="B220" s="1574"/>
      <c r="C220" s="1574"/>
      <c r="D220" s="1574"/>
      <c r="E220" s="1574"/>
      <c r="F220" s="1574"/>
      <c r="G220" s="1574"/>
      <c r="H220" s="1574"/>
      <c r="I220" s="1574"/>
      <c r="J220" s="1574"/>
      <c r="K220" s="1574"/>
      <c r="L220" s="1574"/>
      <c r="M220" s="1574"/>
      <c r="N220" s="1574"/>
      <c r="O220" s="1574"/>
      <c r="P220" s="1574"/>
      <c r="Q220" s="1575"/>
      <c r="R220" s="737" t="s">
        <v>2219</v>
      </c>
      <c r="S220" s="738"/>
      <c r="U220" s="186"/>
      <c r="V220" s="186"/>
      <c r="W220" s="186"/>
      <c r="X220" s="186"/>
      <c r="Y220" s="186"/>
      <c r="Z220" s="186"/>
      <c r="AA220" s="186"/>
      <c r="AB220" s="186"/>
      <c r="AC220" s="186"/>
      <c r="AD220" s="186"/>
      <c r="AE220" s="806"/>
    </row>
    <row r="221" spans="1:31" ht="11.25" customHeight="1">
      <c r="B221" s="187" t="s">
        <v>1391</v>
      </c>
      <c r="C221" s="188"/>
      <c r="D221" s="856"/>
      <c r="E221" s="856"/>
      <c r="F221" s="856"/>
      <c r="G221" s="856"/>
      <c r="H221" s="856"/>
      <c r="I221" s="856"/>
      <c r="J221" s="856"/>
      <c r="K221" s="856"/>
      <c r="L221" s="856"/>
      <c r="M221" s="856"/>
      <c r="N221" s="856"/>
      <c r="O221" s="856"/>
      <c r="P221" s="856"/>
      <c r="Q221" s="856"/>
    </row>
    <row r="222" spans="1:31" ht="13.35" customHeight="1">
      <c r="A222" s="1109"/>
      <c r="B222" s="1110"/>
      <c r="C222" s="1110"/>
      <c r="D222" s="1110"/>
      <c r="E222" s="1110"/>
      <c r="F222" s="1110"/>
      <c r="G222" s="1110"/>
      <c r="H222" s="1110"/>
      <c r="I222" s="1110"/>
      <c r="J222" s="1110"/>
      <c r="K222" s="1110"/>
      <c r="L222" s="1110"/>
      <c r="M222" s="1110"/>
      <c r="N222" s="1110"/>
      <c r="O222" s="1110"/>
      <c r="P222" s="1110"/>
      <c r="Q222" s="1111"/>
    </row>
    <row r="223" spans="1:31" ht="3" customHeight="1">
      <c r="A223" s="848"/>
      <c r="B223" s="180"/>
      <c r="C223" s="856"/>
      <c r="D223" s="856"/>
      <c r="E223" s="856"/>
      <c r="F223" s="856"/>
      <c r="G223" s="856"/>
      <c r="H223" s="856"/>
      <c r="I223" s="856"/>
      <c r="J223" s="856"/>
      <c r="K223" s="856"/>
      <c r="L223" s="856"/>
      <c r="M223" s="856"/>
      <c r="Q223" s="848"/>
    </row>
    <row r="224" spans="1:31" ht="14.1" customHeight="1">
      <c r="A224" s="857">
        <v>14</v>
      </c>
      <c r="B224" s="5" t="s">
        <v>259</v>
      </c>
      <c r="C224" s="5"/>
      <c r="D224" s="115"/>
      <c r="E224" s="115"/>
      <c r="F224" s="115"/>
      <c r="G224" s="115"/>
      <c r="H224" s="856"/>
      <c r="I224" s="856"/>
      <c r="J224" s="856"/>
      <c r="K224" s="856"/>
      <c r="L224" s="856"/>
      <c r="M224" s="856"/>
      <c r="O224" s="181" t="s">
        <v>1392</v>
      </c>
      <c r="P224" s="1113"/>
      <c r="Q224" s="1118"/>
    </row>
    <row r="225" spans="1:32" ht="5.0999999999999996" customHeight="1"/>
    <row r="226" spans="1:32" ht="11.45" customHeight="1">
      <c r="B226" s="55" t="s">
        <v>1150</v>
      </c>
      <c r="C226" s="62" t="s">
        <v>2236</v>
      </c>
      <c r="D226" s="50"/>
      <c r="E226" s="62"/>
      <c r="F226" s="62"/>
      <c r="G226" s="62"/>
      <c r="H226" s="62"/>
      <c r="I226" s="50"/>
      <c r="J226" s="50"/>
      <c r="K226" s="50"/>
      <c r="L226" s="804" t="s">
        <v>1150</v>
      </c>
      <c r="M226" s="1579" t="s">
        <v>1533</v>
      </c>
      <c r="N226" s="1580"/>
      <c r="O226" s="1581"/>
      <c r="P226" s="1128" t="s">
        <v>1533</v>
      </c>
      <c r="Q226" s="1129"/>
    </row>
    <row r="227" spans="1:32" ht="11.45" customHeight="1">
      <c r="B227" s="55" t="s">
        <v>1153</v>
      </c>
      <c r="C227" s="62" t="s">
        <v>2318</v>
      </c>
      <c r="D227" s="62"/>
      <c r="E227" s="62"/>
      <c r="F227" s="62"/>
      <c r="G227" s="62"/>
      <c r="H227" s="62"/>
      <c r="I227" s="50"/>
      <c r="J227" s="50"/>
      <c r="K227" s="50"/>
      <c r="L227" s="804" t="s">
        <v>1153</v>
      </c>
      <c r="M227" s="1607"/>
      <c r="N227" s="1608"/>
      <c r="O227" s="1609"/>
      <c r="P227" s="1159"/>
      <c r="Q227" s="1160"/>
    </row>
    <row r="228" spans="1:32" s="199" customFormat="1" ht="11.45" customHeight="1">
      <c r="B228" s="55" t="s">
        <v>3012</v>
      </c>
      <c r="C228" s="62" t="s">
        <v>1239</v>
      </c>
      <c r="D228" s="62"/>
      <c r="E228" s="62"/>
      <c r="F228" s="62"/>
      <c r="G228" s="62"/>
      <c r="H228" s="62"/>
      <c r="I228" s="126"/>
      <c r="J228" s="126"/>
      <c r="K228" s="126"/>
      <c r="L228" s="804" t="s">
        <v>3012</v>
      </c>
      <c r="M228" s="1579"/>
      <c r="N228" s="1580"/>
      <c r="O228" s="1581"/>
      <c r="P228" s="1128"/>
      <c r="Q228" s="1129"/>
      <c r="AE228" s="808"/>
      <c r="AF228" s="808"/>
    </row>
    <row r="229" spans="1:32" s="199" customFormat="1" ht="11.45" customHeight="1">
      <c r="B229" s="55" t="s">
        <v>1220</v>
      </c>
      <c r="C229" s="62" t="s">
        <v>547</v>
      </c>
      <c r="D229" s="62"/>
      <c r="E229" s="62"/>
      <c r="F229" s="62"/>
      <c r="G229" s="62"/>
      <c r="H229" s="62"/>
      <c r="I229" s="126"/>
      <c r="J229" s="126"/>
      <c r="K229" s="126"/>
      <c r="L229" s="126"/>
      <c r="M229" s="126"/>
      <c r="O229" s="804" t="s">
        <v>1220</v>
      </c>
      <c r="P229" s="1569"/>
      <c r="Q229" s="232"/>
      <c r="AE229" s="808"/>
      <c r="AF229" s="808"/>
    </row>
    <row r="230" spans="1:32" s="199" customFormat="1" ht="22.35" customHeight="1">
      <c r="B230" s="192" t="s">
        <v>1496</v>
      </c>
      <c r="C230" s="1117" t="s">
        <v>2252</v>
      </c>
      <c r="D230" s="1117"/>
      <c r="E230" s="1117"/>
      <c r="F230" s="1117"/>
      <c r="G230" s="1117"/>
      <c r="H230" s="1117"/>
      <c r="I230" s="1117"/>
      <c r="J230" s="1117"/>
      <c r="K230" s="1117"/>
      <c r="L230" s="1117"/>
      <c r="M230" s="1117"/>
      <c r="N230" s="1117"/>
      <c r="O230" s="219" t="s">
        <v>1496</v>
      </c>
      <c r="P230" s="1569"/>
      <c r="Q230" s="232"/>
      <c r="AE230" s="808"/>
      <c r="AF230" s="808"/>
    </row>
    <row r="231" spans="1:32" ht="11.25" customHeight="1">
      <c r="B231" s="191" t="s">
        <v>1390</v>
      </c>
      <c r="D231" s="191"/>
      <c r="E231" s="191"/>
      <c r="F231" s="191"/>
      <c r="G231" s="191"/>
      <c r="H231" s="48"/>
      <c r="I231" s="180"/>
      <c r="J231" s="180"/>
      <c r="K231" s="180"/>
      <c r="L231" s="848"/>
      <c r="M231" s="848"/>
      <c r="N231" s="848"/>
      <c r="O231" s="848"/>
      <c r="P231" s="848"/>
      <c r="Q231" s="60"/>
    </row>
    <row r="232" spans="1:32" ht="13.35" customHeight="1">
      <c r="A232" s="1573"/>
      <c r="B232" s="1574"/>
      <c r="C232" s="1574"/>
      <c r="D232" s="1574"/>
      <c r="E232" s="1574"/>
      <c r="F232" s="1574"/>
      <c r="G232" s="1574"/>
      <c r="H232" s="1574"/>
      <c r="I232" s="1574"/>
      <c r="J232" s="1574"/>
      <c r="K232" s="1574"/>
      <c r="L232" s="1574"/>
      <c r="M232" s="1574"/>
      <c r="N232" s="1574"/>
      <c r="O232" s="1574"/>
      <c r="P232" s="1574"/>
      <c r="Q232" s="1575"/>
      <c r="R232" s="737" t="s">
        <v>2219</v>
      </c>
      <c r="S232" s="738"/>
      <c r="U232" s="186"/>
      <c r="V232" s="186"/>
      <c r="W232" s="186"/>
      <c r="X232" s="186"/>
      <c r="Y232" s="186"/>
      <c r="Z232" s="186"/>
      <c r="AA232" s="186"/>
      <c r="AB232" s="186"/>
      <c r="AC232" s="186"/>
      <c r="AD232" s="186"/>
      <c r="AE232" s="806"/>
    </row>
    <row r="233" spans="1:32" ht="11.1" customHeight="1">
      <c r="B233" s="187" t="s">
        <v>1391</v>
      </c>
      <c r="C233" s="188"/>
      <c r="D233" s="856"/>
      <c r="E233" s="856"/>
      <c r="F233" s="856"/>
      <c r="G233" s="856"/>
      <c r="H233" s="856"/>
      <c r="I233" s="856"/>
      <c r="J233" s="856"/>
      <c r="K233" s="856"/>
      <c r="L233" s="856"/>
      <c r="M233" s="856"/>
      <c r="N233" s="856"/>
      <c r="O233" s="856"/>
      <c r="P233" s="856"/>
      <c r="Q233" s="856"/>
    </row>
    <row r="234" spans="1:32" ht="13.35" customHeight="1">
      <c r="A234" s="1109"/>
      <c r="B234" s="1110"/>
      <c r="C234" s="1110"/>
      <c r="D234" s="1110"/>
      <c r="E234" s="1110"/>
      <c r="F234" s="1110"/>
      <c r="G234" s="1110"/>
      <c r="H234" s="1110"/>
      <c r="I234" s="1110"/>
      <c r="J234" s="1110"/>
      <c r="K234" s="1110"/>
      <c r="L234" s="1110"/>
      <c r="M234" s="1110"/>
      <c r="N234" s="1110"/>
      <c r="O234" s="1110"/>
      <c r="P234" s="1110"/>
      <c r="Q234" s="1111"/>
    </row>
    <row r="235" spans="1:32" ht="3" customHeight="1">
      <c r="A235" s="848"/>
      <c r="B235" s="180"/>
      <c r="C235" s="856"/>
      <c r="D235" s="856"/>
      <c r="E235" s="856"/>
      <c r="F235" s="856"/>
      <c r="G235" s="856"/>
      <c r="H235" s="856"/>
      <c r="I235" s="856"/>
      <c r="J235" s="856"/>
      <c r="K235" s="856"/>
      <c r="L235" s="856"/>
      <c r="M235" s="856"/>
      <c r="Q235" s="848"/>
    </row>
    <row r="236" spans="1:32" ht="14.1" customHeight="1">
      <c r="A236" s="857">
        <v>15</v>
      </c>
      <c r="B236" s="5" t="s">
        <v>260</v>
      </c>
      <c r="C236" s="5"/>
      <c r="D236" s="115"/>
      <c r="E236" s="115"/>
      <c r="F236" s="115"/>
      <c r="G236" s="115"/>
      <c r="H236" s="856"/>
      <c r="I236" s="856"/>
      <c r="J236" s="856"/>
      <c r="K236" s="856"/>
      <c r="L236" s="856"/>
      <c r="M236" s="856"/>
      <c r="O236" s="181" t="s">
        <v>1392</v>
      </c>
      <c r="P236" s="1113"/>
      <c r="Q236" s="1118"/>
    </row>
    <row r="237" spans="1:32" ht="3" customHeight="1"/>
    <row r="238" spans="1:32" s="662" customFormat="1" ht="11.25" customHeight="1">
      <c r="B238" s="192" t="s">
        <v>1150</v>
      </c>
      <c r="C238" s="1117" t="s">
        <v>218</v>
      </c>
      <c r="D238" s="1117"/>
      <c r="E238" s="1117"/>
      <c r="F238" s="1117"/>
      <c r="G238" s="1117"/>
      <c r="H238" s="1117"/>
      <c r="I238" s="1117"/>
      <c r="J238" s="1117"/>
      <c r="K238" s="1117"/>
      <c r="L238" s="1117"/>
      <c r="M238" s="1117"/>
      <c r="N238" s="1117"/>
      <c r="O238" s="219" t="s">
        <v>1150</v>
      </c>
      <c r="P238" s="1590" t="s">
        <v>63</v>
      </c>
      <c r="Q238" s="354"/>
      <c r="AE238" s="809"/>
      <c r="AF238" s="809"/>
    </row>
    <row r="239" spans="1:32" s="199" customFormat="1" ht="11.45" customHeight="1">
      <c r="B239" s="55" t="s">
        <v>1153</v>
      </c>
      <c r="C239" s="62" t="s">
        <v>2098</v>
      </c>
      <c r="D239" s="62"/>
      <c r="E239" s="62"/>
      <c r="F239" s="62"/>
      <c r="G239" s="62"/>
      <c r="H239" s="62"/>
      <c r="I239" s="62"/>
      <c r="J239" s="62"/>
      <c r="K239" s="62"/>
      <c r="L239" s="62"/>
      <c r="M239" s="62"/>
      <c r="O239" s="804" t="s">
        <v>1153</v>
      </c>
      <c r="P239" s="1569" t="s">
        <v>63</v>
      </c>
      <c r="Q239" s="232"/>
      <c r="AE239" s="808"/>
      <c r="AF239" s="808"/>
    </row>
    <row r="240" spans="1:32" ht="11.25" customHeight="1">
      <c r="B240" s="191" t="s">
        <v>1390</v>
      </c>
      <c r="D240" s="191"/>
      <c r="E240" s="191"/>
      <c r="F240" s="191"/>
      <c r="G240" s="191"/>
      <c r="H240" s="48"/>
      <c r="I240" s="180"/>
      <c r="J240" s="180"/>
      <c r="K240" s="180"/>
      <c r="L240" s="848"/>
      <c r="M240" s="848"/>
      <c r="N240" s="848"/>
      <c r="O240" s="848"/>
      <c r="P240" s="848"/>
      <c r="Q240" s="60"/>
    </row>
    <row r="241" spans="1:32" ht="13.35" customHeight="1">
      <c r="A241" s="1573"/>
      <c r="B241" s="1574"/>
      <c r="C241" s="1574"/>
      <c r="D241" s="1574"/>
      <c r="E241" s="1574"/>
      <c r="F241" s="1574"/>
      <c r="G241" s="1574"/>
      <c r="H241" s="1574"/>
      <c r="I241" s="1574"/>
      <c r="J241" s="1574"/>
      <c r="K241" s="1574"/>
      <c r="L241" s="1574"/>
      <c r="M241" s="1574"/>
      <c r="N241" s="1574"/>
      <c r="O241" s="1574"/>
      <c r="P241" s="1574"/>
      <c r="Q241" s="1575"/>
      <c r="R241" s="737" t="s">
        <v>2219</v>
      </c>
      <c r="S241" s="738"/>
      <c r="U241" s="186"/>
      <c r="V241" s="186"/>
      <c r="W241" s="186"/>
      <c r="X241" s="186"/>
      <c r="Y241" s="186"/>
      <c r="Z241" s="186"/>
      <c r="AA241" s="186"/>
      <c r="AB241" s="186"/>
      <c r="AC241" s="186"/>
      <c r="AD241" s="186"/>
      <c r="AE241" s="806"/>
    </row>
    <row r="242" spans="1:32" ht="11.25" customHeight="1">
      <c r="B242" s="187" t="s">
        <v>1391</v>
      </c>
      <c r="C242" s="188"/>
      <c r="D242" s="856"/>
      <c r="E242" s="856"/>
      <c r="F242" s="856"/>
      <c r="G242" s="856"/>
      <c r="H242" s="856"/>
      <c r="I242" s="856"/>
      <c r="J242" s="856"/>
      <c r="K242" s="856"/>
      <c r="L242" s="856"/>
      <c r="M242" s="856"/>
      <c r="N242" s="856"/>
      <c r="O242" s="856"/>
      <c r="P242" s="856"/>
      <c r="Q242" s="856"/>
    </row>
    <row r="243" spans="1:32" ht="13.35" customHeight="1">
      <c r="A243" s="1109"/>
      <c r="B243" s="1110"/>
      <c r="C243" s="1110"/>
      <c r="D243" s="1110"/>
      <c r="E243" s="1110"/>
      <c r="F243" s="1110"/>
      <c r="G243" s="1110"/>
      <c r="H243" s="1110"/>
      <c r="I243" s="1110"/>
      <c r="J243" s="1110"/>
      <c r="K243" s="1110"/>
      <c r="L243" s="1110"/>
      <c r="M243" s="1110"/>
      <c r="N243" s="1110"/>
      <c r="O243" s="1110"/>
      <c r="P243" s="1110"/>
      <c r="Q243" s="1111"/>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4.1" customHeight="1">
      <c r="A245" s="857">
        <v>16</v>
      </c>
      <c r="B245" s="857" t="s">
        <v>261</v>
      </c>
      <c r="C245" s="857"/>
      <c r="D245" s="856"/>
      <c r="E245" s="856"/>
      <c r="F245" s="856"/>
      <c r="G245" s="856"/>
      <c r="H245" s="856"/>
      <c r="I245" s="856"/>
      <c r="J245" s="856"/>
      <c r="K245" s="856"/>
      <c r="L245" s="856"/>
      <c r="M245" s="856"/>
      <c r="O245" s="181" t="s">
        <v>1392</v>
      </c>
      <c r="P245" s="1113"/>
      <c r="Q245" s="1118"/>
    </row>
    <row r="246" spans="1:32" ht="3" customHeight="1"/>
    <row r="247" spans="1:32" s="662" customFormat="1" ht="24" customHeight="1">
      <c r="B247" s="192" t="s">
        <v>1150</v>
      </c>
      <c r="C247" s="1112" t="s">
        <v>159</v>
      </c>
      <c r="D247" s="1006"/>
      <c r="E247" s="1006"/>
      <c r="F247" s="1006"/>
      <c r="G247" s="1006"/>
      <c r="H247" s="1006"/>
      <c r="I247" s="1006"/>
      <c r="J247" s="1006"/>
      <c r="K247" s="1006"/>
      <c r="L247" s="1006"/>
      <c r="M247" s="1006"/>
      <c r="N247" s="1006"/>
      <c r="O247" s="219" t="s">
        <v>1150</v>
      </c>
      <c r="P247" s="1569" t="s">
        <v>25</v>
      </c>
      <c r="Q247" s="232"/>
      <c r="AE247" s="809"/>
      <c r="AF247" s="809"/>
    </row>
    <row r="248" spans="1:32" s="662" customFormat="1" ht="24" customHeight="1">
      <c r="B248" s="192" t="s">
        <v>1153</v>
      </c>
      <c r="C248" s="1112" t="s">
        <v>160</v>
      </c>
      <c r="D248" s="1006"/>
      <c r="E248" s="1006"/>
      <c r="F248" s="1006"/>
      <c r="G248" s="1006"/>
      <c r="H248" s="1006"/>
      <c r="I248" s="1006"/>
      <c r="J248" s="1006"/>
      <c r="K248" s="1006"/>
      <c r="L248" s="1006"/>
      <c r="M248" s="1006"/>
      <c r="N248" s="1006"/>
      <c r="O248" s="219" t="s">
        <v>1153</v>
      </c>
      <c r="P248" s="1569" t="s">
        <v>25</v>
      </c>
      <c r="Q248" s="232"/>
      <c r="AE248" s="809"/>
      <c r="AF248" s="809"/>
    </row>
    <row r="249" spans="1:32" ht="11.25" customHeight="1">
      <c r="B249" s="191" t="s">
        <v>1390</v>
      </c>
      <c r="D249" s="191"/>
      <c r="E249" s="191"/>
      <c r="F249" s="191"/>
      <c r="G249" s="191"/>
      <c r="H249" s="48"/>
      <c r="I249" s="180"/>
      <c r="J249" s="180"/>
      <c r="K249" s="180"/>
      <c r="L249" s="848"/>
      <c r="M249" s="848"/>
      <c r="N249" s="848"/>
      <c r="O249" s="848"/>
      <c r="P249" s="848"/>
      <c r="Q249" s="60"/>
    </row>
    <row r="250" spans="1:32" ht="13.35" customHeight="1">
      <c r="A250" s="1573"/>
      <c r="B250" s="1574"/>
      <c r="C250" s="1574"/>
      <c r="D250" s="1574"/>
      <c r="E250" s="1574"/>
      <c r="F250" s="1574"/>
      <c r="G250" s="1574"/>
      <c r="H250" s="1574"/>
      <c r="I250" s="1574"/>
      <c r="J250" s="1574"/>
      <c r="K250" s="1574"/>
      <c r="L250" s="1574"/>
      <c r="M250" s="1574"/>
      <c r="N250" s="1574"/>
      <c r="O250" s="1574"/>
      <c r="P250" s="1574"/>
      <c r="Q250" s="1575"/>
      <c r="R250" s="737" t="s">
        <v>2219</v>
      </c>
      <c r="S250" s="738"/>
      <c r="U250" s="186"/>
      <c r="V250" s="186"/>
      <c r="W250" s="186"/>
      <c r="X250" s="186"/>
      <c r="Y250" s="186"/>
      <c r="Z250" s="186"/>
      <c r="AA250" s="186"/>
      <c r="AB250" s="186"/>
      <c r="AC250" s="186"/>
      <c r="AD250" s="186"/>
      <c r="AE250" s="806"/>
    </row>
    <row r="251" spans="1:32" ht="11.25" customHeight="1">
      <c r="B251" s="187" t="s">
        <v>1391</v>
      </c>
      <c r="C251" s="188"/>
      <c r="D251" s="856"/>
      <c r="E251" s="856"/>
      <c r="F251" s="856"/>
      <c r="G251" s="856"/>
      <c r="H251" s="856"/>
      <c r="I251" s="856"/>
      <c r="J251" s="856"/>
      <c r="K251" s="856"/>
      <c r="L251" s="856"/>
      <c r="M251" s="856"/>
      <c r="N251" s="856"/>
      <c r="O251" s="856"/>
      <c r="P251" s="856"/>
      <c r="Q251" s="856"/>
    </row>
    <row r="252" spans="1:32" ht="13.35" customHeight="1">
      <c r="A252" s="1109"/>
      <c r="B252" s="1110"/>
      <c r="C252" s="1110"/>
      <c r="D252" s="1110"/>
      <c r="E252" s="1110"/>
      <c r="F252" s="1110"/>
      <c r="G252" s="1110"/>
      <c r="H252" s="1110"/>
      <c r="I252" s="1110"/>
      <c r="J252" s="1110"/>
      <c r="K252" s="1110"/>
      <c r="L252" s="1110"/>
      <c r="M252" s="1110"/>
      <c r="N252" s="1110"/>
      <c r="O252" s="1110"/>
      <c r="P252" s="1110"/>
      <c r="Q252" s="1111"/>
    </row>
    <row r="253" spans="1:32" ht="5.45" customHeight="1">
      <c r="A253" s="848"/>
      <c r="B253" s="180"/>
      <c r="C253" s="856"/>
      <c r="D253" s="856"/>
      <c r="E253" s="856"/>
      <c r="F253" s="856"/>
      <c r="G253" s="856"/>
      <c r="H253" s="856"/>
      <c r="I253" s="856"/>
      <c r="J253" s="856"/>
      <c r="K253" s="856"/>
      <c r="L253" s="856"/>
      <c r="M253" s="856"/>
      <c r="Q253" s="848"/>
    </row>
    <row r="254" spans="1:32" ht="14.1" customHeight="1">
      <c r="A254" s="857">
        <v>17</v>
      </c>
      <c r="B254" s="857" t="s">
        <v>262</v>
      </c>
      <c r="C254" s="200"/>
      <c r="D254" s="855"/>
      <c r="E254" s="856"/>
      <c r="F254" s="856"/>
      <c r="G254" s="856"/>
      <c r="H254" s="856"/>
      <c r="I254" s="856"/>
      <c r="J254" s="856"/>
      <c r="K254" s="856"/>
      <c r="L254" s="856"/>
      <c r="M254" s="856"/>
      <c r="O254" s="181" t="s">
        <v>1392</v>
      </c>
      <c r="P254" s="1113"/>
      <c r="Q254" s="1118"/>
    </row>
    <row r="255" spans="1:32" s="199" customFormat="1" ht="46.5" customHeight="1">
      <c r="B255" s="192" t="s">
        <v>1150</v>
      </c>
      <c r="C255" s="1112" t="s">
        <v>246</v>
      </c>
      <c r="D255" s="1112"/>
      <c r="E255" s="1112"/>
      <c r="F255" s="1112"/>
      <c r="G255" s="1112"/>
      <c r="H255" s="1112"/>
      <c r="I255" s="1112"/>
      <c r="J255" s="1112"/>
      <c r="K255" s="1112"/>
      <c r="L255" s="1112"/>
      <c r="M255" s="1112"/>
      <c r="N255" s="1112"/>
      <c r="O255" s="219" t="s">
        <v>1150</v>
      </c>
      <c r="P255" s="1590" t="s">
        <v>63</v>
      </c>
      <c r="Q255" s="232"/>
      <c r="AE255" s="808"/>
      <c r="AF255" s="808"/>
    </row>
    <row r="256" spans="1:32" s="126" customFormat="1">
      <c r="B256" s="55" t="s">
        <v>1153</v>
      </c>
      <c r="C256" s="1096" t="s">
        <v>247</v>
      </c>
      <c r="D256" s="1096"/>
      <c r="E256" s="1096"/>
      <c r="F256" s="1096"/>
      <c r="G256" s="1096"/>
      <c r="H256" s="1096"/>
      <c r="I256" s="1096"/>
      <c r="J256" s="1096"/>
      <c r="K256" s="1096"/>
      <c r="L256" s="1096"/>
      <c r="M256" s="1096"/>
      <c r="N256" s="1096"/>
      <c r="O256" s="804" t="s">
        <v>1153</v>
      </c>
      <c r="P256" s="1569" t="s">
        <v>63</v>
      </c>
      <c r="Q256" s="232"/>
      <c r="AE256" s="810"/>
      <c r="AF256" s="810"/>
    </row>
    <row r="257" spans="1:256" s="662" customFormat="1" ht="23.1" customHeight="1">
      <c r="B257" s="192" t="s">
        <v>3012</v>
      </c>
      <c r="C257" s="1112" t="s">
        <v>1362</v>
      </c>
      <c r="D257" s="1006"/>
      <c r="E257" s="1006"/>
      <c r="F257" s="1006"/>
      <c r="G257" s="1006"/>
      <c r="H257" s="1006"/>
      <c r="I257" s="1006"/>
      <c r="J257" s="1006"/>
      <c r="K257" s="1006"/>
      <c r="L257" s="1006"/>
      <c r="M257" s="1006"/>
      <c r="N257" s="1006"/>
      <c r="O257" s="219" t="s">
        <v>3012</v>
      </c>
      <c r="P257" s="1590" t="s">
        <v>63</v>
      </c>
      <c r="Q257" s="354"/>
      <c r="AE257" s="809"/>
      <c r="AF257" s="809"/>
    </row>
    <row r="258" spans="1:256" s="199" customFormat="1" ht="12" customHeight="1">
      <c r="B258" s="55" t="s">
        <v>1220</v>
      </c>
      <c r="C258" s="38" t="s">
        <v>1363</v>
      </c>
      <c r="D258" s="733"/>
      <c r="E258" s="733"/>
      <c r="F258" s="733"/>
      <c r="G258" s="733"/>
      <c r="H258" s="733"/>
      <c r="I258" s="733"/>
      <c r="J258" s="733"/>
      <c r="K258" s="733"/>
      <c r="L258" s="733"/>
      <c r="M258" s="733"/>
      <c r="N258" s="732"/>
      <c r="O258" s="804" t="s">
        <v>1220</v>
      </c>
      <c r="P258" s="1569" t="s">
        <v>63</v>
      </c>
      <c r="Q258" s="232"/>
      <c r="AE258" s="808"/>
      <c r="AF258" s="808"/>
    </row>
    <row r="259" spans="1:256" s="662" customFormat="1" ht="24.75" customHeight="1">
      <c r="B259" s="192" t="s">
        <v>1496</v>
      </c>
      <c r="C259" s="1112" t="s">
        <v>219</v>
      </c>
      <c r="D259" s="1006"/>
      <c r="E259" s="1006"/>
      <c r="F259" s="1006"/>
      <c r="G259" s="1006"/>
      <c r="H259" s="1006"/>
      <c r="I259" s="1006"/>
      <c r="J259" s="1006"/>
      <c r="K259" s="1006"/>
      <c r="L259" s="1006"/>
      <c r="M259" s="1006"/>
      <c r="N259" s="1006"/>
      <c r="O259" s="219" t="s">
        <v>1496</v>
      </c>
      <c r="P259" s="1590" t="s">
        <v>63</v>
      </c>
      <c r="Q259" s="354"/>
      <c r="AE259" s="809"/>
      <c r="AF259" s="809"/>
    </row>
    <row r="260" spans="1:256" ht="11.25" customHeight="1">
      <c r="B260" s="191" t="s">
        <v>1390</v>
      </c>
      <c r="D260" s="191"/>
      <c r="E260" s="191"/>
      <c r="F260" s="191"/>
      <c r="G260" s="191"/>
      <c r="H260" s="48"/>
      <c r="I260" s="180"/>
      <c r="J260" s="180"/>
      <c r="K260" s="180"/>
      <c r="L260" s="848"/>
      <c r="M260" s="848"/>
      <c r="N260" s="848"/>
      <c r="O260" s="848"/>
      <c r="P260" s="848"/>
      <c r="Q260" s="60"/>
    </row>
    <row r="261" spans="1:256" ht="11.45" customHeight="1">
      <c r="A261" s="1573"/>
      <c r="B261" s="1574"/>
      <c r="C261" s="1574"/>
      <c r="D261" s="1574"/>
      <c r="E261" s="1574"/>
      <c r="F261" s="1574"/>
      <c r="G261" s="1574"/>
      <c r="H261" s="1574"/>
      <c r="I261" s="1574"/>
      <c r="J261" s="1574"/>
      <c r="K261" s="1574"/>
      <c r="L261" s="1574"/>
      <c r="M261" s="1574"/>
      <c r="N261" s="1574"/>
      <c r="O261" s="1574"/>
      <c r="P261" s="1574"/>
      <c r="Q261" s="1575"/>
      <c r="R261" s="737" t="s">
        <v>2219</v>
      </c>
      <c r="S261" s="738"/>
      <c r="U261" s="186"/>
      <c r="V261" s="186"/>
      <c r="W261" s="186"/>
      <c r="X261" s="186"/>
      <c r="Y261" s="186"/>
      <c r="Z261" s="186"/>
      <c r="AA261" s="186"/>
      <c r="AB261" s="186"/>
      <c r="AC261" s="186"/>
      <c r="AD261" s="186"/>
      <c r="AE261" s="806"/>
    </row>
    <row r="262" spans="1:256" ht="11.25" customHeight="1">
      <c r="B262" s="187" t="s">
        <v>1391</v>
      </c>
      <c r="C262" s="188"/>
      <c r="D262" s="856"/>
      <c r="E262" s="856"/>
      <c r="F262" s="856"/>
      <c r="G262" s="856"/>
      <c r="H262" s="856"/>
      <c r="I262" s="856"/>
      <c r="J262" s="856"/>
      <c r="K262" s="856"/>
      <c r="L262" s="856"/>
      <c r="M262" s="856"/>
      <c r="N262" s="856"/>
      <c r="O262" s="856"/>
      <c r="P262" s="856"/>
      <c r="Q262" s="856"/>
    </row>
    <row r="263" spans="1:256" ht="11.45" customHeight="1">
      <c r="A263" s="1109"/>
      <c r="B263" s="1110"/>
      <c r="C263" s="1110"/>
      <c r="D263" s="1110"/>
      <c r="E263" s="1110"/>
      <c r="F263" s="1110"/>
      <c r="G263" s="1110"/>
      <c r="H263" s="1110"/>
      <c r="I263" s="1110"/>
      <c r="J263" s="1110"/>
      <c r="K263" s="1110"/>
      <c r="L263" s="1110"/>
      <c r="M263" s="1110"/>
      <c r="N263" s="1110"/>
      <c r="O263" s="1110"/>
      <c r="P263" s="1110"/>
      <c r="Q263" s="1111"/>
    </row>
    <row r="264" spans="1:256" ht="14.1" customHeight="1">
      <c r="A264" s="857">
        <v>18</v>
      </c>
      <c r="B264" s="11" t="s">
        <v>263</v>
      </c>
      <c r="C264" s="11"/>
      <c r="D264" s="11"/>
      <c r="E264" s="11"/>
      <c r="F264" s="11"/>
      <c r="G264" s="11"/>
      <c r="H264" s="856"/>
      <c r="I264" s="856"/>
      <c r="J264" s="856"/>
      <c r="K264" s="856"/>
      <c r="L264" s="856"/>
      <c r="M264" s="856"/>
      <c r="O264" s="181" t="s">
        <v>1392</v>
      </c>
      <c r="P264" s="1167"/>
      <c r="Q264" s="1168"/>
    </row>
    <row r="265" spans="1:256" ht="11.45" customHeight="1">
      <c r="B265" s="195" t="s">
        <v>886</v>
      </c>
      <c r="P265" s="1569" t="s">
        <v>61</v>
      </c>
      <c r="Q265" s="232"/>
    </row>
    <row r="266" spans="1:256" ht="12" customHeight="1">
      <c r="B266" s="197" t="s">
        <v>1063</v>
      </c>
      <c r="C266" s="197"/>
      <c r="D266" s="197"/>
      <c r="E266" s="197"/>
      <c r="F266" s="197"/>
      <c r="G266" s="197"/>
      <c r="H266" s="197"/>
      <c r="I266" s="197"/>
      <c r="J266" s="197"/>
      <c r="K266" s="197"/>
      <c r="L266" s="197"/>
      <c r="P266" s="1569" t="s">
        <v>63</v>
      </c>
      <c r="Q266" s="232"/>
    </row>
    <row r="267" spans="1:256" ht="11.45" customHeight="1">
      <c r="B267" s="192" t="s">
        <v>1150</v>
      </c>
      <c r="C267" s="259" t="s">
        <v>3482</v>
      </c>
      <c r="D267" s="38"/>
      <c r="E267" s="38"/>
      <c r="F267" s="38"/>
      <c r="G267" s="38"/>
      <c r="H267" s="38"/>
      <c r="I267" s="38"/>
      <c r="J267" s="38"/>
      <c r="K267" s="38"/>
      <c r="L267" s="38"/>
      <c r="M267" s="38"/>
      <c r="N267" s="219"/>
    </row>
    <row r="268" spans="1:256" ht="33.6" customHeight="1">
      <c r="A268" s="194"/>
      <c r="C268" s="1112" t="s">
        <v>124</v>
      </c>
      <c r="D268" s="1112"/>
      <c r="E268" s="1112"/>
      <c r="F268" s="1112"/>
      <c r="G268" s="1112"/>
      <c r="H268" s="1112"/>
      <c r="I268" s="1112"/>
      <c r="J268" s="1112"/>
      <c r="K268" s="1112"/>
      <c r="L268" s="1112"/>
      <c r="M268" s="1112"/>
      <c r="N268" s="1112"/>
      <c r="O268" s="219" t="s">
        <v>1150</v>
      </c>
      <c r="P268" s="1590"/>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1153</v>
      </c>
      <c r="C270" s="1143" t="s">
        <v>3483</v>
      </c>
      <c r="D270" s="1143"/>
      <c r="E270" s="1143"/>
      <c r="F270" s="1143"/>
      <c r="G270" s="1143"/>
      <c r="H270" s="1143"/>
      <c r="I270" s="1143"/>
      <c r="J270" s="1143"/>
      <c r="K270" s="1143"/>
      <c r="L270" s="1143"/>
      <c r="M270" s="1143"/>
      <c r="O270" s="219" t="s">
        <v>1153</v>
      </c>
      <c r="P270" s="848"/>
      <c r="Q270" s="60"/>
    </row>
    <row r="271" spans="1:256" ht="23.25" customHeight="1">
      <c r="A271" s="194"/>
      <c r="C271" s="294" t="s">
        <v>1498</v>
      </c>
      <c r="D271" s="295" t="s">
        <v>2490</v>
      </c>
      <c r="E271" s="182"/>
      <c r="F271" s="182"/>
      <c r="G271" s="1610" t="s">
        <v>2045</v>
      </c>
      <c r="H271" s="1611"/>
      <c r="I271" s="1611"/>
      <c r="J271" s="1611"/>
      <c r="K271" s="1611"/>
      <c r="L271" s="1611"/>
      <c r="M271" s="1611"/>
      <c r="N271" s="1612"/>
      <c r="O271" s="298" t="s">
        <v>1498</v>
      </c>
      <c r="P271" s="1590" t="s">
        <v>63</v>
      </c>
      <c r="Q271" s="354"/>
    </row>
    <row r="272" spans="1:256" ht="23.25" customHeight="1">
      <c r="A272" s="194"/>
      <c r="C272" s="294" t="s">
        <v>1499</v>
      </c>
      <c r="D272" s="1161" t="s">
        <v>2491</v>
      </c>
      <c r="E272" s="1162"/>
      <c r="F272" s="1163"/>
      <c r="G272" s="1573" t="s">
        <v>291</v>
      </c>
      <c r="H272" s="1439"/>
      <c r="I272" s="1439"/>
      <c r="J272" s="1439"/>
      <c r="K272" s="1439"/>
      <c r="L272" s="1439"/>
      <c r="M272" s="1439"/>
      <c r="N272" s="1440"/>
      <c r="O272" s="298" t="s">
        <v>1499</v>
      </c>
      <c r="P272" s="1590" t="s">
        <v>63</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3012</v>
      </c>
      <c r="C274" s="1169" t="s">
        <v>214</v>
      </c>
      <c r="D274" s="1169"/>
      <c r="E274" s="1169"/>
      <c r="F274" s="1169"/>
      <c r="G274" s="1169"/>
      <c r="H274" s="1169"/>
      <c r="I274" s="1169"/>
      <c r="J274" s="1169"/>
      <c r="K274" s="1169"/>
      <c r="L274" s="1169"/>
      <c r="M274" s="1169"/>
      <c r="N274" s="1169"/>
      <c r="O274" s="219" t="s">
        <v>3012</v>
      </c>
      <c r="P274" s="848"/>
      <c r="Q274" s="60"/>
      <c r="AE274" s="807"/>
      <c r="AF274" s="807"/>
    </row>
    <row r="275" spans="1:256" s="182" customFormat="1" ht="11.25" customHeight="1">
      <c r="A275" s="194"/>
      <c r="C275" s="294" t="s">
        <v>1498</v>
      </c>
      <c r="D275" s="1573"/>
      <c r="E275" s="1574"/>
      <c r="F275" s="1574"/>
      <c r="G275" s="1574"/>
      <c r="H275" s="1574"/>
      <c r="I275" s="1574"/>
      <c r="J275" s="1574"/>
      <c r="K275" s="1574"/>
      <c r="L275" s="1574"/>
      <c r="M275" s="1574"/>
      <c r="N275" s="1575"/>
      <c r="O275" s="298" t="s">
        <v>1498</v>
      </c>
      <c r="P275" s="1590"/>
      <c r="Q275" s="354"/>
      <c r="AE275" s="807"/>
      <c r="AF275" s="807"/>
    </row>
    <row r="276" spans="1:256" s="182" customFormat="1" ht="11.25" customHeight="1">
      <c r="A276" s="194"/>
      <c r="C276" s="294" t="s">
        <v>1499</v>
      </c>
      <c r="D276" s="1573"/>
      <c r="E276" s="1574"/>
      <c r="F276" s="1574"/>
      <c r="G276" s="1574"/>
      <c r="H276" s="1574"/>
      <c r="I276" s="1574"/>
      <c r="J276" s="1574"/>
      <c r="K276" s="1574"/>
      <c r="L276" s="1574"/>
      <c r="M276" s="1574"/>
      <c r="N276" s="1575"/>
      <c r="O276" s="298" t="s">
        <v>1499</v>
      </c>
      <c r="P276" s="1590"/>
      <c r="Q276" s="354"/>
      <c r="AE276" s="807"/>
      <c r="AF276" s="807"/>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1390</v>
      </c>
      <c r="D278" s="191"/>
      <c r="E278" s="191"/>
      <c r="F278" s="191"/>
      <c r="G278" s="191"/>
      <c r="H278" s="48"/>
      <c r="I278" s="180"/>
      <c r="J278" s="180"/>
      <c r="K278" s="180"/>
      <c r="L278" s="848"/>
      <c r="M278" s="848"/>
      <c r="N278" s="848"/>
      <c r="O278" s="848"/>
      <c r="P278" s="848"/>
      <c r="Q278" s="60"/>
    </row>
    <row r="279" spans="1:256" ht="11.45" customHeight="1">
      <c r="A279" s="1573"/>
      <c r="B279" s="1574"/>
      <c r="C279" s="1574"/>
      <c r="D279" s="1574"/>
      <c r="E279" s="1574"/>
      <c r="F279" s="1574"/>
      <c r="G279" s="1574"/>
      <c r="H279" s="1574"/>
      <c r="I279" s="1574"/>
      <c r="J279" s="1574"/>
      <c r="K279" s="1574"/>
      <c r="L279" s="1574"/>
      <c r="M279" s="1574"/>
      <c r="N279" s="1574"/>
      <c r="O279" s="1574"/>
      <c r="P279" s="1574"/>
      <c r="Q279" s="1575"/>
      <c r="R279" s="805" t="s">
        <v>2219</v>
      </c>
      <c r="S279" s="168"/>
      <c r="U279" s="186"/>
      <c r="V279" s="186"/>
      <c r="W279" s="186"/>
      <c r="X279" s="186"/>
      <c r="Y279" s="186"/>
      <c r="Z279" s="186"/>
      <c r="AA279" s="186"/>
      <c r="AB279" s="186"/>
      <c r="AC279" s="186"/>
      <c r="AD279" s="186"/>
      <c r="AE279" s="806"/>
    </row>
    <row r="280" spans="1:256" ht="11.25" customHeight="1">
      <c r="B280" s="187" t="s">
        <v>1391</v>
      </c>
      <c r="C280" s="188"/>
      <c r="D280" s="856"/>
      <c r="E280" s="856"/>
      <c r="F280" s="856"/>
      <c r="G280" s="856"/>
      <c r="H280" s="856"/>
      <c r="I280" s="856"/>
      <c r="J280" s="856"/>
      <c r="K280" s="856"/>
      <c r="L280" s="856"/>
      <c r="M280" s="856"/>
      <c r="N280" s="856"/>
      <c r="O280" s="856"/>
      <c r="P280" s="856"/>
      <c r="Q280" s="856"/>
    </row>
    <row r="281" spans="1:256" ht="11.45" customHeight="1">
      <c r="A281" s="1109"/>
      <c r="B281" s="1110"/>
      <c r="C281" s="1110"/>
      <c r="D281" s="1110"/>
      <c r="E281" s="1110"/>
      <c r="F281" s="1110"/>
      <c r="G281" s="1110"/>
      <c r="H281" s="1110"/>
      <c r="I281" s="1110"/>
      <c r="J281" s="1110"/>
      <c r="K281" s="1110"/>
      <c r="L281" s="1110"/>
      <c r="M281" s="1110"/>
      <c r="N281" s="1110"/>
      <c r="O281" s="1110"/>
      <c r="P281" s="1110"/>
      <c r="Q281" s="1111"/>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4.1" customHeight="1">
      <c r="A283" s="857">
        <v>19</v>
      </c>
      <c r="B283" s="857" t="s">
        <v>264</v>
      </c>
      <c r="C283" s="857"/>
      <c r="D283" s="856"/>
      <c r="E283" s="856"/>
      <c r="F283" s="856"/>
      <c r="G283" s="856"/>
      <c r="H283" s="856"/>
      <c r="O283" s="181" t="s">
        <v>1392</v>
      </c>
      <c r="P283" s="1113"/>
      <c r="Q283" s="1118"/>
    </row>
    <row r="284" spans="1:256" ht="3" customHeight="1"/>
    <row r="285" spans="1:256" ht="11.45" customHeight="1">
      <c r="B285" s="195" t="s">
        <v>800</v>
      </c>
      <c r="P285" s="1569" t="s">
        <v>63</v>
      </c>
      <c r="Q285" s="232"/>
    </row>
    <row r="286" spans="1:256" ht="11.45" customHeight="1">
      <c r="B286" s="195" t="s">
        <v>693</v>
      </c>
      <c r="P286" s="1569" t="s">
        <v>61</v>
      </c>
      <c r="Q286" s="232"/>
    </row>
    <row r="287" spans="1:256" ht="11.45" customHeight="1">
      <c r="B287" s="195" t="s">
        <v>3197</v>
      </c>
      <c r="L287" s="1613" t="s">
        <v>41</v>
      </c>
      <c r="M287" s="1614"/>
      <c r="N287" s="1614"/>
      <c r="O287" s="1615"/>
    </row>
    <row r="288" spans="1:256" ht="11.45" customHeight="1">
      <c r="B288" s="654" t="s">
        <v>694</v>
      </c>
      <c r="L288" s="1164"/>
      <c r="M288" s="1165"/>
      <c r="N288" s="1165"/>
      <c r="O288" s="1166"/>
    </row>
    <row r="289" spans="1:31" ht="11.25" customHeight="1">
      <c r="B289" s="191" t="s">
        <v>1390</v>
      </c>
      <c r="D289" s="191"/>
      <c r="E289" s="191"/>
      <c r="F289" s="191"/>
      <c r="G289" s="191"/>
      <c r="H289" s="48"/>
      <c r="I289" s="180"/>
      <c r="J289" s="180"/>
      <c r="K289" s="180"/>
      <c r="L289" s="848"/>
      <c r="M289" s="848"/>
      <c r="N289" s="848"/>
      <c r="O289" s="848"/>
      <c r="P289" s="848"/>
      <c r="Q289" s="60"/>
    </row>
    <row r="290" spans="1:31" ht="13.35" customHeight="1">
      <c r="A290" s="1573" t="s">
        <v>18</v>
      </c>
      <c r="B290" s="1574"/>
      <c r="C290" s="1574"/>
      <c r="D290" s="1574"/>
      <c r="E290" s="1574"/>
      <c r="F290" s="1574"/>
      <c r="G290" s="1574"/>
      <c r="H290" s="1574"/>
      <c r="I290" s="1574"/>
      <c r="J290" s="1574"/>
      <c r="K290" s="1574"/>
      <c r="L290" s="1574"/>
      <c r="M290" s="1574"/>
      <c r="N290" s="1574"/>
      <c r="O290" s="1574"/>
      <c r="P290" s="1574"/>
      <c r="Q290" s="1575"/>
      <c r="R290" s="737" t="s">
        <v>2219</v>
      </c>
      <c r="S290" s="738"/>
      <c r="U290" s="186"/>
      <c r="V290" s="186"/>
      <c r="W290" s="186"/>
      <c r="X290" s="186"/>
      <c r="Y290" s="186"/>
      <c r="Z290" s="186"/>
      <c r="AA290" s="186"/>
      <c r="AB290" s="186"/>
      <c r="AC290" s="186"/>
      <c r="AD290" s="186"/>
      <c r="AE290" s="806"/>
    </row>
    <row r="291" spans="1:31" ht="11.25" customHeight="1">
      <c r="B291" s="187" t="s">
        <v>1391</v>
      </c>
      <c r="C291" s="188"/>
      <c r="D291" s="856"/>
      <c r="E291" s="856"/>
      <c r="F291" s="856"/>
      <c r="G291" s="856"/>
      <c r="H291" s="856"/>
      <c r="I291" s="856"/>
      <c r="J291" s="856"/>
      <c r="K291" s="856"/>
      <c r="L291" s="856"/>
      <c r="M291" s="856"/>
      <c r="N291" s="856"/>
      <c r="O291" s="856"/>
      <c r="P291" s="856"/>
      <c r="Q291" s="856"/>
    </row>
    <row r="292" spans="1:31" ht="13.35" customHeight="1">
      <c r="A292" s="1109"/>
      <c r="B292" s="1110"/>
      <c r="C292" s="1110"/>
      <c r="D292" s="1110"/>
      <c r="E292" s="1110"/>
      <c r="F292" s="1110"/>
      <c r="G292" s="1110"/>
      <c r="H292" s="1110"/>
      <c r="I292" s="1110"/>
      <c r="J292" s="1110"/>
      <c r="K292" s="1110"/>
      <c r="L292" s="1110"/>
      <c r="M292" s="1110"/>
      <c r="N292" s="1110"/>
      <c r="O292" s="1110"/>
      <c r="P292" s="1110"/>
      <c r="Q292" s="1111"/>
    </row>
    <row r="293" spans="1:31" ht="4.3499999999999996" customHeight="1">
      <c r="B293" s="180"/>
      <c r="C293" s="856"/>
      <c r="D293" s="856"/>
      <c r="E293" s="856"/>
      <c r="F293" s="856"/>
      <c r="G293" s="856"/>
      <c r="H293" s="856"/>
      <c r="I293" s="856"/>
      <c r="J293" s="856"/>
      <c r="K293" s="856"/>
      <c r="L293" s="856"/>
      <c r="M293" s="856"/>
      <c r="Q293" s="60"/>
    </row>
    <row r="294" spans="1:31" ht="14.1" customHeight="1">
      <c r="A294" s="857">
        <v>20</v>
      </c>
      <c r="B294" s="5" t="s">
        <v>265</v>
      </c>
      <c r="C294" s="5"/>
      <c r="D294" s="115"/>
      <c r="E294" s="856"/>
      <c r="F294" s="856"/>
      <c r="G294" s="856"/>
      <c r="H294" s="856"/>
      <c r="I294" s="856"/>
      <c r="J294" s="856"/>
      <c r="K294" s="856"/>
      <c r="L294" s="856"/>
      <c r="M294" s="856"/>
      <c r="O294" s="181" t="s">
        <v>1392</v>
      </c>
      <c r="P294" s="1113"/>
      <c r="Q294" s="1118"/>
    </row>
    <row r="295" spans="1:31" ht="3" customHeight="1"/>
    <row r="296" spans="1:31" ht="22.35" customHeight="1">
      <c r="B296" s="192" t="s">
        <v>1150</v>
      </c>
      <c r="C296" s="1117" t="s">
        <v>215</v>
      </c>
      <c r="D296" s="1117"/>
      <c r="E296" s="1117"/>
      <c r="F296" s="1117"/>
      <c r="G296" s="1117"/>
      <c r="H296" s="1117"/>
      <c r="I296" s="1117"/>
      <c r="J296" s="1117"/>
      <c r="K296" s="1117"/>
      <c r="L296" s="1117"/>
      <c r="M296" s="1117"/>
      <c r="N296" s="1117"/>
      <c r="O296" s="219" t="s">
        <v>1150</v>
      </c>
      <c r="P296" s="1569" t="s">
        <v>63</v>
      </c>
      <c r="Q296" s="232"/>
    </row>
    <row r="297" spans="1:31" ht="11.45" customHeight="1">
      <c r="B297" s="192" t="s">
        <v>1153</v>
      </c>
      <c r="C297" s="1117" t="s">
        <v>201</v>
      </c>
      <c r="D297" s="1117"/>
      <c r="E297" s="1117"/>
      <c r="F297" s="1117"/>
      <c r="G297" s="1117"/>
      <c r="H297" s="1117"/>
      <c r="I297" s="1117"/>
      <c r="J297" s="1117"/>
      <c r="K297" s="1117"/>
      <c r="L297" s="1117"/>
      <c r="M297" s="1117"/>
      <c r="N297" s="1117"/>
      <c r="O297" s="219" t="s">
        <v>1153</v>
      </c>
      <c r="P297" s="1569" t="s">
        <v>63</v>
      </c>
      <c r="Q297" s="232"/>
    </row>
    <row r="298" spans="1:31" ht="11.45" customHeight="1">
      <c r="B298" s="192" t="s">
        <v>3012</v>
      </c>
      <c r="C298" s="197" t="s">
        <v>249</v>
      </c>
      <c r="D298" s="197"/>
      <c r="E298" s="197"/>
      <c r="F298" s="197"/>
      <c r="G298" s="197"/>
      <c r="H298" s="197"/>
      <c r="I298" s="197"/>
      <c r="J298" s="197"/>
      <c r="K298" s="197"/>
      <c r="L298" s="197"/>
      <c r="M298" s="197"/>
      <c r="O298" s="219" t="s">
        <v>3012</v>
      </c>
      <c r="P298" s="1569" t="s">
        <v>63</v>
      </c>
      <c r="Q298" s="232"/>
    </row>
    <row r="299" spans="1:31" ht="22.35" customHeight="1">
      <c r="B299" s="192" t="s">
        <v>1220</v>
      </c>
      <c r="C299" s="1117" t="s">
        <v>236</v>
      </c>
      <c r="D299" s="1117"/>
      <c r="E299" s="1117"/>
      <c r="F299" s="1117"/>
      <c r="G299" s="1117"/>
      <c r="H299" s="1117"/>
      <c r="I299" s="1117"/>
      <c r="J299" s="1117"/>
      <c r="K299" s="1117"/>
      <c r="L299" s="1117"/>
      <c r="M299" s="1117"/>
      <c r="N299" s="1117"/>
      <c r="O299" s="219" t="s">
        <v>1220</v>
      </c>
      <c r="P299" s="1569" t="s">
        <v>63</v>
      </c>
      <c r="Q299" s="232"/>
    </row>
    <row r="300" spans="1:31" ht="11.25" customHeight="1">
      <c r="B300" s="191" t="s">
        <v>1390</v>
      </c>
      <c r="D300" s="191"/>
      <c r="E300" s="191"/>
      <c r="F300" s="191"/>
      <c r="G300" s="191"/>
      <c r="H300" s="48"/>
      <c r="I300" s="180"/>
      <c r="J300" s="180"/>
      <c r="K300" s="180"/>
      <c r="L300" s="848"/>
      <c r="M300" s="848"/>
      <c r="N300" s="848"/>
      <c r="O300" s="848"/>
      <c r="P300" s="848"/>
      <c r="Q300" s="60"/>
    </row>
    <row r="301" spans="1:31" ht="11.45" customHeight="1">
      <c r="A301" s="1573"/>
      <c r="B301" s="1574"/>
      <c r="C301" s="1574"/>
      <c r="D301" s="1574"/>
      <c r="E301" s="1574"/>
      <c r="F301" s="1574"/>
      <c r="G301" s="1574"/>
      <c r="H301" s="1574"/>
      <c r="I301" s="1574"/>
      <c r="J301" s="1574"/>
      <c r="K301" s="1574"/>
      <c r="L301" s="1574"/>
      <c r="M301" s="1574"/>
      <c r="N301" s="1574"/>
      <c r="O301" s="1574"/>
      <c r="P301" s="1574"/>
      <c r="Q301" s="1575"/>
      <c r="U301" s="186"/>
      <c r="V301" s="186"/>
      <c r="W301" s="186"/>
      <c r="X301" s="186"/>
      <c r="Y301" s="186"/>
      <c r="Z301" s="186"/>
      <c r="AA301" s="186"/>
      <c r="AB301" s="186"/>
      <c r="AC301" s="186"/>
      <c r="AD301" s="186"/>
      <c r="AE301" s="806"/>
    </row>
    <row r="302" spans="1:31" ht="11.25" customHeight="1">
      <c r="B302" s="187" t="s">
        <v>1391</v>
      </c>
      <c r="C302" s="188"/>
      <c r="D302" s="856"/>
      <c r="E302" s="856"/>
      <c r="F302" s="856"/>
      <c r="G302" s="856"/>
      <c r="H302" s="856"/>
      <c r="I302" s="856"/>
      <c r="J302" s="856"/>
      <c r="K302" s="856"/>
      <c r="L302" s="856"/>
      <c r="M302" s="856"/>
      <c r="N302" s="856"/>
      <c r="O302" s="856"/>
      <c r="P302" s="856"/>
      <c r="Q302" s="856"/>
    </row>
    <row r="303" spans="1:31" ht="11.45" customHeight="1">
      <c r="A303" s="1109"/>
      <c r="B303" s="1110"/>
      <c r="C303" s="1110"/>
      <c r="D303" s="1110"/>
      <c r="E303" s="1110"/>
      <c r="F303" s="1110"/>
      <c r="G303" s="1110"/>
      <c r="H303" s="1110"/>
      <c r="I303" s="1110"/>
      <c r="J303" s="1110"/>
      <c r="K303" s="1110"/>
      <c r="L303" s="1110"/>
      <c r="M303" s="1110"/>
      <c r="N303" s="1110"/>
      <c r="O303" s="1110"/>
      <c r="P303" s="1110"/>
      <c r="Q303" s="1111"/>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4.1" customHeight="1">
      <c r="A305" s="857">
        <v>21</v>
      </c>
      <c r="B305" s="5" t="s">
        <v>211</v>
      </c>
      <c r="C305" s="5"/>
      <c r="D305" s="5"/>
      <c r="E305" s="5"/>
      <c r="F305" s="5"/>
      <c r="G305" s="5"/>
      <c r="H305" s="856"/>
      <c r="I305" s="856"/>
      <c r="J305" s="856"/>
      <c r="K305" s="856"/>
      <c r="L305" s="856"/>
      <c r="M305" s="856"/>
      <c r="O305" s="181" t="s">
        <v>1392</v>
      </c>
      <c r="P305" s="1113"/>
      <c r="Q305" s="1118"/>
    </row>
    <row r="306" spans="1:32" ht="12" customHeight="1">
      <c r="B306" s="55" t="s">
        <v>1150</v>
      </c>
      <c r="C306" s="161" t="s">
        <v>238</v>
      </c>
      <c r="D306" s="859"/>
      <c r="E306" s="859"/>
      <c r="F306" s="859"/>
      <c r="G306" s="859"/>
      <c r="H306" s="859"/>
      <c r="I306" s="50"/>
      <c r="J306" s="804" t="s">
        <v>1150</v>
      </c>
      <c r="K306" s="1579" t="s">
        <v>19</v>
      </c>
      <c r="L306" s="1580"/>
      <c r="M306" s="1580"/>
      <c r="N306" s="1580"/>
      <c r="O306" s="1580"/>
      <c r="P306" s="1581"/>
      <c r="Q306" s="232"/>
    </row>
    <row r="307" spans="1:32" ht="22.5" customHeight="1">
      <c r="B307" s="192" t="s">
        <v>1153</v>
      </c>
      <c r="C307" s="1096" t="s">
        <v>237</v>
      </c>
      <c r="D307" s="1096"/>
      <c r="E307" s="1096"/>
      <c r="F307" s="1096"/>
      <c r="G307" s="1096"/>
      <c r="H307" s="1096"/>
      <c r="I307" s="1096"/>
      <c r="J307" s="1096"/>
      <c r="K307" s="1096"/>
      <c r="L307" s="1096"/>
      <c r="M307" s="1096"/>
      <c r="N307" s="1096"/>
      <c r="O307" s="219" t="s">
        <v>1153</v>
      </c>
      <c r="P307" s="1590" t="s">
        <v>63</v>
      </c>
      <c r="Q307" s="232"/>
    </row>
    <row r="308" spans="1:32" ht="11.45" customHeight="1">
      <c r="B308" s="55" t="s">
        <v>3012</v>
      </c>
      <c r="C308" s="62" t="s">
        <v>207</v>
      </c>
      <c r="D308" s="62"/>
      <c r="E308" s="62"/>
      <c r="F308" s="62"/>
      <c r="G308" s="62"/>
      <c r="H308" s="62"/>
      <c r="I308" s="62"/>
      <c r="J308" s="62"/>
      <c r="K308" s="62"/>
      <c r="L308" s="38"/>
      <c r="M308" s="38"/>
      <c r="O308" s="804" t="s">
        <v>3012</v>
      </c>
      <c r="P308" s="1569" t="s">
        <v>63</v>
      </c>
      <c r="Q308" s="232"/>
    </row>
    <row r="309" spans="1:32" ht="11.45" customHeight="1">
      <c r="B309" s="55" t="s">
        <v>1220</v>
      </c>
      <c r="C309" s="62" t="s">
        <v>208</v>
      </c>
      <c r="D309" s="62"/>
      <c r="E309" s="62"/>
      <c r="F309" s="62"/>
      <c r="G309" s="62"/>
      <c r="H309" s="62"/>
      <c r="I309" s="62"/>
      <c r="J309" s="62"/>
      <c r="K309" s="62"/>
      <c r="L309" s="62"/>
      <c r="M309" s="62"/>
      <c r="O309" s="804" t="s">
        <v>1220</v>
      </c>
      <c r="P309" s="1569" t="s">
        <v>63</v>
      </c>
      <c r="Q309" s="232"/>
    </row>
    <row r="310" spans="1:32" s="182" customFormat="1" ht="11.45" customHeight="1">
      <c r="B310" s="192" t="s">
        <v>1496</v>
      </c>
      <c r="C310" s="1117" t="s">
        <v>213</v>
      </c>
      <c r="D310" s="1117"/>
      <c r="E310" s="1117"/>
      <c r="F310" s="1117"/>
      <c r="G310" s="1117"/>
      <c r="H310" s="1117"/>
      <c r="I310" s="1117"/>
      <c r="J310" s="1117"/>
      <c r="K310" s="1117"/>
      <c r="L310" s="1117"/>
      <c r="M310" s="1117"/>
      <c r="N310" s="1117"/>
      <c r="O310" s="219" t="s">
        <v>1496</v>
      </c>
      <c r="P310" s="1590" t="s">
        <v>61</v>
      </c>
      <c r="Q310" s="354"/>
      <c r="AE310" s="807"/>
      <c r="AF310" s="807"/>
    </row>
    <row r="311" spans="1:32" s="182" customFormat="1" ht="11.45" customHeight="1">
      <c r="B311" s="192" t="s">
        <v>1497</v>
      </c>
      <c r="C311" s="1117" t="s">
        <v>202</v>
      </c>
      <c r="D311" s="1117"/>
      <c r="E311" s="1117"/>
      <c r="F311" s="1117"/>
      <c r="G311" s="1117"/>
      <c r="H311" s="1117"/>
      <c r="I311" s="1117"/>
      <c r="J311" s="1117"/>
      <c r="K311" s="1117"/>
      <c r="L311" s="1117"/>
      <c r="M311" s="1117"/>
      <c r="N311" s="1117"/>
      <c r="O311" s="219" t="s">
        <v>1497</v>
      </c>
      <c r="P311" s="1590" t="s">
        <v>63</v>
      </c>
      <c r="Q311" s="354"/>
      <c r="AE311" s="807"/>
      <c r="AF311" s="807"/>
    </row>
    <row r="312" spans="1:32" ht="11.45" customHeight="1">
      <c r="B312" s="55" t="s">
        <v>1241</v>
      </c>
      <c r="C312" s="62" t="s">
        <v>209</v>
      </c>
      <c r="D312" s="62"/>
      <c r="E312" s="62"/>
      <c r="F312" s="62"/>
      <c r="G312" s="62"/>
      <c r="H312" s="62"/>
      <c r="I312" s="62"/>
      <c r="J312" s="62"/>
      <c r="K312" s="62"/>
      <c r="L312" s="62"/>
      <c r="M312" s="62"/>
      <c r="O312" s="804" t="s">
        <v>1241</v>
      </c>
      <c r="P312" s="1569" t="s">
        <v>63</v>
      </c>
      <c r="Q312" s="232"/>
    </row>
    <row r="313" spans="1:32" ht="11.25" customHeight="1">
      <c r="B313" s="191" t="s">
        <v>1390</v>
      </c>
      <c r="D313" s="191"/>
      <c r="E313" s="191"/>
      <c r="F313" s="191"/>
      <c r="G313" s="191"/>
      <c r="H313" s="48"/>
      <c r="I313" s="180"/>
      <c r="J313" s="180"/>
      <c r="K313" s="180"/>
      <c r="L313" s="848"/>
      <c r="M313" s="848"/>
      <c r="N313" s="848"/>
      <c r="O313" s="848"/>
      <c r="P313" s="848"/>
      <c r="Q313" s="60"/>
    </row>
    <row r="314" spans="1:32" ht="11.45" customHeight="1">
      <c r="A314" s="1573" t="s">
        <v>20</v>
      </c>
      <c r="B314" s="1574"/>
      <c r="C314" s="1574"/>
      <c r="D314" s="1574"/>
      <c r="E314" s="1574"/>
      <c r="F314" s="1574"/>
      <c r="G314" s="1574"/>
      <c r="H314" s="1574"/>
      <c r="I314" s="1574"/>
      <c r="J314" s="1574"/>
      <c r="K314" s="1574"/>
      <c r="L314" s="1574"/>
      <c r="M314" s="1574"/>
      <c r="N314" s="1574"/>
      <c r="O314" s="1574"/>
      <c r="P314" s="1574"/>
      <c r="Q314" s="1575"/>
      <c r="U314" s="186"/>
      <c r="V314" s="186"/>
      <c r="W314" s="186"/>
      <c r="X314" s="186"/>
      <c r="Y314" s="186"/>
      <c r="Z314" s="186"/>
      <c r="AA314" s="186"/>
      <c r="AB314" s="186"/>
      <c r="AC314" s="186"/>
      <c r="AD314" s="186"/>
      <c r="AE314" s="806"/>
    </row>
    <row r="315" spans="1:32" ht="11.25" customHeight="1">
      <c r="B315" s="187" t="s">
        <v>1391</v>
      </c>
      <c r="C315" s="188"/>
      <c r="D315" s="856"/>
      <c r="E315" s="856"/>
      <c r="F315" s="856"/>
      <c r="G315" s="856"/>
      <c r="H315" s="856"/>
      <c r="I315" s="856"/>
      <c r="J315" s="856"/>
      <c r="K315" s="856"/>
      <c r="L315" s="856"/>
      <c r="M315" s="856"/>
      <c r="N315" s="856"/>
      <c r="O315" s="856"/>
      <c r="P315" s="856"/>
      <c r="Q315" s="856"/>
    </row>
    <row r="316" spans="1:32" ht="11.45" customHeight="1">
      <c r="A316" s="1109"/>
      <c r="B316" s="1110"/>
      <c r="C316" s="1110"/>
      <c r="D316" s="1110"/>
      <c r="E316" s="1110"/>
      <c r="F316" s="1110"/>
      <c r="G316" s="1110"/>
      <c r="H316" s="1110"/>
      <c r="I316" s="1110"/>
      <c r="J316" s="1110"/>
      <c r="K316" s="1110"/>
      <c r="L316" s="1110"/>
      <c r="M316" s="1110"/>
      <c r="N316" s="1110"/>
      <c r="O316" s="1110"/>
      <c r="P316" s="1110"/>
      <c r="Q316" s="1111"/>
    </row>
    <row r="317" spans="1:32" ht="6" customHeight="1">
      <c r="A317" s="848"/>
      <c r="B317" s="180"/>
      <c r="C317" s="856"/>
      <c r="D317" s="856"/>
      <c r="E317" s="856"/>
      <c r="F317" s="856"/>
      <c r="G317" s="856"/>
      <c r="H317" s="856"/>
      <c r="I317" s="856"/>
      <c r="J317" s="856"/>
      <c r="K317" s="856"/>
      <c r="L317" s="856"/>
      <c r="M317" s="856"/>
      <c r="Q317" s="60"/>
    </row>
    <row r="318" spans="1:32" ht="14.1" customHeight="1">
      <c r="A318" s="857">
        <v>22</v>
      </c>
      <c r="B318" s="5" t="s">
        <v>154</v>
      </c>
      <c r="C318" s="5"/>
      <c r="D318" s="5"/>
      <c r="E318" s="5"/>
      <c r="F318" s="5"/>
      <c r="G318" s="5"/>
      <c r="H318" s="856"/>
      <c r="I318" s="856"/>
      <c r="J318" s="856"/>
      <c r="O318" s="181" t="s">
        <v>1392</v>
      </c>
      <c r="P318" s="1113"/>
      <c r="Q318" s="1118"/>
    </row>
    <row r="319" spans="1:32" ht="14.1" customHeight="1">
      <c r="A319" s="857"/>
      <c r="B319" s="149" t="s">
        <v>311</v>
      </c>
      <c r="C319" s="5"/>
      <c r="D319" s="5"/>
      <c r="E319" s="5"/>
      <c r="F319" s="5"/>
      <c r="G319" s="5"/>
      <c r="H319" s="856"/>
      <c r="I319" s="856"/>
      <c r="J319" s="856"/>
    </row>
    <row r="320" spans="1:32" ht="11.45" customHeight="1">
      <c r="B320" s="55" t="s">
        <v>1150</v>
      </c>
      <c r="C320" s="654" t="s">
        <v>272</v>
      </c>
      <c r="D320" s="65"/>
      <c r="E320" s="859"/>
      <c r="F320" s="859"/>
      <c r="G320" s="859"/>
      <c r="H320" s="859"/>
      <c r="I320" s="50"/>
      <c r="O320" s="804" t="s">
        <v>1150</v>
      </c>
    </row>
    <row r="321" spans="2:32" s="182" customFormat="1" ht="21.75" customHeight="1">
      <c r="B321" s="192"/>
      <c r="C321" s="201" t="s">
        <v>1498</v>
      </c>
      <c r="D321" s="1124" t="s">
        <v>270</v>
      </c>
      <c r="E321" s="1124"/>
      <c r="F321" s="1124"/>
      <c r="G321" s="1124"/>
      <c r="H321" s="1124"/>
      <c r="I321" s="1124"/>
      <c r="J321" s="1124"/>
      <c r="K321" s="1124"/>
      <c r="L321" s="1124"/>
      <c r="M321" s="1124"/>
      <c r="N321" s="1124"/>
      <c r="O321" s="201" t="s">
        <v>1498</v>
      </c>
      <c r="P321" s="1590"/>
      <c r="Q321" s="354"/>
      <c r="AE321" s="807"/>
      <c r="AF321" s="807"/>
    </row>
    <row r="322" spans="2:32" s="182" customFormat="1" ht="21.75" customHeight="1">
      <c r="C322" s="201" t="s">
        <v>1499</v>
      </c>
      <c r="D322" s="1112" t="s">
        <v>271</v>
      </c>
      <c r="E322" s="1112"/>
      <c r="F322" s="1112"/>
      <c r="G322" s="1112"/>
      <c r="H322" s="1112"/>
      <c r="I322" s="1112"/>
      <c r="J322" s="1112"/>
      <c r="K322" s="1112"/>
      <c r="L322" s="1112"/>
      <c r="M322" s="1112"/>
      <c r="N322" s="1112"/>
      <c r="O322" s="201" t="s">
        <v>1499</v>
      </c>
      <c r="P322" s="1590"/>
      <c r="Q322" s="354"/>
      <c r="AE322" s="807"/>
      <c r="AF322" s="807"/>
    </row>
    <row r="323" spans="2:32" s="182" customFormat="1" ht="21.75" customHeight="1">
      <c r="B323" s="192"/>
      <c r="C323" s="201" t="s">
        <v>1500</v>
      </c>
      <c r="D323" s="1112" t="s">
        <v>233</v>
      </c>
      <c r="E323" s="1112"/>
      <c r="F323" s="1112"/>
      <c r="G323" s="1112"/>
      <c r="H323" s="1112"/>
      <c r="I323" s="1112"/>
      <c r="J323" s="1112"/>
      <c r="K323" s="1112"/>
      <c r="L323" s="1112"/>
      <c r="M323" s="1112"/>
      <c r="N323" s="1112"/>
      <c r="O323" s="201" t="s">
        <v>1500</v>
      </c>
      <c r="P323" s="1590"/>
      <c r="Q323" s="354"/>
      <c r="AE323" s="807"/>
      <c r="AF323" s="807"/>
    </row>
    <row r="324" spans="2:32" s="182" customFormat="1" ht="22.35" customHeight="1">
      <c r="B324" s="192"/>
      <c r="C324" s="201" t="s">
        <v>617</v>
      </c>
      <c r="D324" s="1112" t="s">
        <v>276</v>
      </c>
      <c r="E324" s="1112"/>
      <c r="F324" s="1112"/>
      <c r="G324" s="1112"/>
      <c r="H324" s="1112"/>
      <c r="I324" s="1112"/>
      <c r="J324" s="1112"/>
      <c r="K324" s="1112"/>
      <c r="L324" s="1112"/>
      <c r="M324" s="1112"/>
      <c r="N324" s="1112"/>
      <c r="O324" s="201" t="s">
        <v>617</v>
      </c>
      <c r="P324" s="1590"/>
      <c r="Q324" s="354"/>
      <c r="AE324" s="807"/>
      <c r="AF324" s="807"/>
    </row>
    <row r="325" spans="2:32" s="182" customFormat="1" ht="21.75" customHeight="1">
      <c r="B325" s="192"/>
      <c r="C325" s="201" t="s">
        <v>1952</v>
      </c>
      <c r="D325" s="1112" t="s">
        <v>277</v>
      </c>
      <c r="E325" s="1112"/>
      <c r="F325" s="1112"/>
      <c r="G325" s="1112"/>
      <c r="H325" s="1112"/>
      <c r="I325" s="1112"/>
      <c r="J325" s="1112"/>
      <c r="K325" s="1112"/>
      <c r="L325" s="1112"/>
      <c r="M325" s="1112"/>
      <c r="N325" s="1112"/>
      <c r="O325" s="201" t="s">
        <v>1952</v>
      </c>
      <c r="P325" s="1590"/>
      <c r="Q325" s="354"/>
      <c r="AE325" s="807"/>
      <c r="AF325" s="807"/>
    </row>
    <row r="326" spans="2:32" ht="3" customHeight="1">
      <c r="B326" s="192"/>
      <c r="C326" s="728"/>
      <c r="D326" s="728"/>
      <c r="E326" s="728"/>
      <c r="F326" s="728"/>
      <c r="G326" s="728"/>
      <c r="H326" s="728"/>
      <c r="I326" s="728"/>
      <c r="J326" s="728"/>
      <c r="K326" s="728"/>
      <c r="L326" s="728"/>
      <c r="M326" s="728"/>
      <c r="N326" s="728"/>
      <c r="O326" s="728"/>
      <c r="P326" s="728"/>
      <c r="Q326" s="728"/>
      <c r="R326" s="728"/>
    </row>
    <row r="327" spans="2:32">
      <c r="B327" s="55" t="s">
        <v>1153</v>
      </c>
      <c r="C327" s="296" t="s">
        <v>273</v>
      </c>
      <c r="D327" s="183"/>
      <c r="E327" s="183"/>
      <c r="F327" s="183"/>
      <c r="G327" s="183"/>
      <c r="H327" s="183"/>
      <c r="I327" s="183"/>
      <c r="J327" s="183"/>
      <c r="K327" s="183"/>
      <c r="L327" s="183"/>
      <c r="M327" s="183"/>
      <c r="N327" s="183"/>
      <c r="O327" s="804" t="s">
        <v>1153</v>
      </c>
      <c r="P327" s="728"/>
      <c r="Q327" s="728"/>
    </row>
    <row r="328" spans="2:32" ht="11.25" customHeight="1">
      <c r="B328" s="55"/>
      <c r="C328" s="79" t="s">
        <v>1498</v>
      </c>
      <c r="D328" s="700" t="s">
        <v>278</v>
      </c>
      <c r="E328" s="700"/>
      <c r="F328" s="700"/>
      <c r="G328" s="700"/>
      <c r="H328" s="700"/>
      <c r="I328" s="700"/>
      <c r="J328" s="700"/>
      <c r="K328" s="700"/>
      <c r="L328" s="700"/>
      <c r="M328" s="700"/>
      <c r="N328" s="730"/>
      <c r="P328" s="79" t="s">
        <v>1498</v>
      </c>
      <c r="Q328" s="232"/>
    </row>
    <row r="329" spans="2:32" ht="11.25" customHeight="1">
      <c r="B329" s="55"/>
      <c r="C329" s="79" t="s">
        <v>1499</v>
      </c>
      <c r="D329" s="184" t="s">
        <v>279</v>
      </c>
      <c r="E329" s="184"/>
      <c r="F329" s="184"/>
      <c r="G329" s="184"/>
      <c r="H329" s="184"/>
      <c r="I329" s="44"/>
      <c r="J329" s="730"/>
      <c r="K329" s="730"/>
      <c r="L329" s="730"/>
      <c r="M329" s="730"/>
      <c r="N329" s="730"/>
      <c r="P329" s="79" t="s">
        <v>1499</v>
      </c>
      <c r="Q329" s="232"/>
    </row>
    <row r="330" spans="2:32" ht="11.25" customHeight="1">
      <c r="B330" s="55"/>
      <c r="C330" s="79" t="s">
        <v>1500</v>
      </c>
      <c r="D330" s="62" t="s">
        <v>280</v>
      </c>
      <c r="E330" s="62"/>
      <c r="F330" s="62"/>
      <c r="G330" s="62"/>
      <c r="H330" s="62"/>
      <c r="I330" s="62"/>
      <c r="J330" s="62"/>
      <c r="K330" s="62"/>
      <c r="L330" s="38"/>
      <c r="M330" s="38"/>
      <c r="N330" s="730"/>
      <c r="P330" s="79" t="s">
        <v>1500</v>
      </c>
      <c r="Q330" s="232"/>
    </row>
    <row r="331" spans="2:32" ht="11.25" customHeight="1">
      <c r="B331" s="55"/>
      <c r="C331" s="79" t="s">
        <v>617</v>
      </c>
      <c r="D331" s="62" t="s">
        <v>239</v>
      </c>
      <c r="E331" s="62"/>
      <c r="F331" s="62"/>
      <c r="G331" s="62"/>
      <c r="H331" s="62"/>
      <c r="I331" s="62"/>
      <c r="J331" s="62"/>
      <c r="K331" s="62"/>
      <c r="L331" s="62"/>
      <c r="M331" s="62"/>
      <c r="N331" s="62"/>
      <c r="P331" s="79" t="s">
        <v>617</v>
      </c>
      <c r="Q331" s="232"/>
    </row>
    <row r="332" spans="2:32" ht="11.25" customHeight="1">
      <c r="B332" s="55"/>
      <c r="C332" s="79" t="s">
        <v>1952</v>
      </c>
      <c r="D332" s="62" t="s">
        <v>240</v>
      </c>
      <c r="E332" s="62"/>
      <c r="F332" s="62"/>
      <c r="G332" s="62"/>
      <c r="H332" s="62"/>
      <c r="I332" s="62"/>
      <c r="J332" s="62"/>
      <c r="K332" s="62"/>
      <c r="L332" s="62"/>
      <c r="M332" s="62"/>
      <c r="N332" s="62"/>
      <c r="P332" s="79" t="s">
        <v>1952</v>
      </c>
      <c r="Q332" s="232"/>
    </row>
    <row r="333" spans="2:32" ht="11.25" customHeight="1">
      <c r="B333" s="192"/>
      <c r="C333" s="804" t="s">
        <v>1953</v>
      </c>
      <c r="D333" s="190" t="s">
        <v>241</v>
      </c>
      <c r="E333" s="190"/>
      <c r="F333" s="190"/>
      <c r="G333" s="190"/>
      <c r="H333" s="190"/>
      <c r="I333" s="190"/>
      <c r="J333" s="190"/>
      <c r="K333" s="190"/>
      <c r="L333" s="190"/>
      <c r="M333" s="190"/>
      <c r="N333" s="190"/>
      <c r="P333" s="804" t="s">
        <v>1953</v>
      </c>
      <c r="Q333" s="232"/>
    </row>
    <row r="334" spans="2:32" ht="11.25" customHeight="1">
      <c r="B334" s="192"/>
      <c r="C334" s="804" t="s">
        <v>3971</v>
      </c>
      <c r="D334" s="62" t="s">
        <v>242</v>
      </c>
      <c r="E334" s="62"/>
      <c r="F334" s="62"/>
      <c r="G334" s="62"/>
      <c r="H334" s="62"/>
      <c r="I334" s="62"/>
      <c r="J334" s="62"/>
      <c r="K334" s="62"/>
      <c r="L334" s="62"/>
      <c r="M334" s="62"/>
      <c r="N334" s="62"/>
      <c r="P334" s="804" t="s">
        <v>3971</v>
      </c>
      <c r="Q334" s="232"/>
    </row>
    <row r="335" spans="2:32" ht="11.25" customHeight="1">
      <c r="B335" s="55"/>
      <c r="C335" s="804" t="s">
        <v>3397</v>
      </c>
      <c r="D335" s="700" t="s">
        <v>243</v>
      </c>
      <c r="E335" s="700"/>
      <c r="F335" s="700"/>
      <c r="G335" s="700"/>
      <c r="H335" s="700"/>
      <c r="I335" s="700"/>
      <c r="J335" s="700"/>
      <c r="K335" s="700"/>
      <c r="L335" s="700"/>
      <c r="M335" s="700"/>
      <c r="N335" s="730"/>
      <c r="P335" s="804" t="s">
        <v>3397</v>
      </c>
      <c r="Q335" s="232"/>
    </row>
    <row r="336" spans="2:32" ht="11.25" customHeight="1">
      <c r="B336" s="191" t="s">
        <v>1390</v>
      </c>
      <c r="D336" s="191"/>
      <c r="E336" s="191"/>
      <c r="F336" s="191"/>
      <c r="G336" s="191"/>
      <c r="H336" s="48"/>
      <c r="I336" s="180"/>
      <c r="J336" s="180"/>
      <c r="K336" s="180"/>
      <c r="L336" s="848"/>
      <c r="M336" s="848"/>
      <c r="N336" s="848"/>
      <c r="O336" s="848"/>
      <c r="P336" s="848"/>
      <c r="Q336" s="60"/>
    </row>
    <row r="337" spans="1:31" ht="11.45" customHeight="1">
      <c r="A337" s="1573"/>
      <c r="B337" s="1574"/>
      <c r="C337" s="1574"/>
      <c r="D337" s="1574"/>
      <c r="E337" s="1574"/>
      <c r="F337" s="1574"/>
      <c r="G337" s="1574"/>
      <c r="H337" s="1574"/>
      <c r="I337" s="1574"/>
      <c r="J337" s="1574"/>
      <c r="K337" s="1574"/>
      <c r="L337" s="1574"/>
      <c r="M337" s="1574"/>
      <c r="N337" s="1574"/>
      <c r="O337" s="1574"/>
      <c r="P337" s="1574"/>
      <c r="Q337" s="1575"/>
      <c r="U337" s="186"/>
      <c r="V337" s="186"/>
      <c r="W337" s="186"/>
      <c r="X337" s="186"/>
      <c r="Y337" s="186"/>
      <c r="Z337" s="186"/>
      <c r="AA337" s="186"/>
      <c r="AB337" s="186"/>
      <c r="AC337" s="186"/>
      <c r="AD337" s="186"/>
      <c r="AE337" s="806"/>
    </row>
    <row r="338" spans="1:31" ht="11.25" customHeight="1">
      <c r="B338" s="187" t="s">
        <v>1391</v>
      </c>
      <c r="C338" s="188"/>
      <c r="D338" s="856"/>
      <c r="E338" s="856"/>
      <c r="F338" s="856"/>
      <c r="G338" s="856"/>
      <c r="H338" s="856"/>
      <c r="I338" s="856"/>
      <c r="J338" s="856"/>
      <c r="K338" s="856"/>
      <c r="L338" s="856"/>
      <c r="M338" s="856"/>
      <c r="N338" s="856"/>
      <c r="O338" s="856"/>
      <c r="P338" s="856"/>
      <c r="Q338" s="856"/>
    </row>
    <row r="339" spans="1:31" ht="11.45" customHeight="1">
      <c r="A339" s="1109"/>
      <c r="B339" s="1110"/>
      <c r="C339" s="1110"/>
      <c r="D339" s="1110"/>
      <c r="E339" s="1110"/>
      <c r="F339" s="1110"/>
      <c r="G339" s="1110"/>
      <c r="H339" s="1110"/>
      <c r="I339" s="1110"/>
      <c r="J339" s="1110"/>
      <c r="K339" s="1110"/>
      <c r="L339" s="1110"/>
      <c r="M339" s="1110"/>
      <c r="N339" s="1110"/>
      <c r="O339" s="1110"/>
      <c r="P339" s="1110"/>
      <c r="Q339" s="1111"/>
    </row>
    <row r="340" spans="1:31" ht="6" customHeight="1">
      <c r="A340" s="848"/>
      <c r="B340" s="180"/>
      <c r="C340" s="856"/>
      <c r="D340" s="856"/>
      <c r="E340" s="856"/>
      <c r="F340" s="856"/>
      <c r="G340" s="856"/>
      <c r="H340" s="856"/>
      <c r="I340" s="856"/>
      <c r="J340" s="856"/>
      <c r="K340" s="856"/>
      <c r="L340" s="856"/>
      <c r="M340" s="856"/>
      <c r="Q340" s="60"/>
    </row>
    <row r="341" spans="1:31" ht="14.1" customHeight="1">
      <c r="A341" s="857">
        <v>23</v>
      </c>
      <c r="B341" s="5" t="s">
        <v>203</v>
      </c>
      <c r="C341" s="5"/>
      <c r="D341" s="5"/>
      <c r="E341" s="5"/>
      <c r="F341" s="5"/>
      <c r="G341" s="5"/>
      <c r="H341" s="856"/>
      <c r="I341" s="856"/>
      <c r="J341" s="856"/>
      <c r="O341" s="181" t="s">
        <v>1392</v>
      </c>
      <c r="P341" s="1113"/>
      <c r="Q341" s="1118"/>
    </row>
    <row r="342" spans="1:31" ht="11.45" customHeight="1">
      <c r="B342" s="55" t="s">
        <v>1150</v>
      </c>
      <c r="C342" s="161" t="s">
        <v>2521</v>
      </c>
      <c r="E342" s="1579"/>
      <c r="F342" s="1580"/>
      <c r="G342" s="1580"/>
      <c r="H342" s="1580"/>
      <c r="I342" s="1581"/>
      <c r="J342" s="1121" t="s">
        <v>285</v>
      </c>
      <c r="K342" s="1122"/>
      <c r="L342" s="1123"/>
      <c r="M342" s="1579"/>
      <c r="N342" s="1580"/>
      <c r="O342" s="1580"/>
      <c r="P342" s="1580"/>
      <c r="Q342" s="1581"/>
    </row>
    <row r="343" spans="1:31" ht="11.45" customHeight="1">
      <c r="B343" s="55" t="s">
        <v>1153</v>
      </c>
      <c r="C343" s="62" t="s">
        <v>1501</v>
      </c>
      <c r="D343" s="62"/>
      <c r="E343" s="62"/>
      <c r="F343" s="62"/>
      <c r="G343" s="62"/>
      <c r="H343" s="62"/>
      <c r="I343" s="62"/>
      <c r="J343" s="62"/>
      <c r="K343" s="62"/>
      <c r="L343" s="38"/>
      <c r="M343" s="38"/>
      <c r="O343" s="804" t="s">
        <v>1153</v>
      </c>
      <c r="P343" s="1569"/>
      <c r="Q343" s="232"/>
    </row>
    <row r="344" spans="1:31" ht="11.45" customHeight="1">
      <c r="B344" s="55" t="s">
        <v>3012</v>
      </c>
      <c r="C344" s="62" t="s">
        <v>2026</v>
      </c>
      <c r="D344" s="62"/>
      <c r="E344" s="62"/>
      <c r="F344" s="62"/>
      <c r="G344" s="62"/>
      <c r="H344" s="62"/>
      <c r="I344" s="62"/>
      <c r="J344" s="62"/>
      <c r="K344" s="62"/>
      <c r="L344" s="62"/>
      <c r="M344" s="62"/>
      <c r="O344" s="804" t="s">
        <v>3012</v>
      </c>
      <c r="P344" s="1569"/>
      <c r="Q344" s="232"/>
    </row>
    <row r="345" spans="1:31" ht="11.45" customHeight="1">
      <c r="B345" s="55" t="s">
        <v>1220</v>
      </c>
      <c r="C345" s="62" t="s">
        <v>210</v>
      </c>
      <c r="D345" s="62"/>
      <c r="E345" s="62"/>
      <c r="F345" s="62"/>
      <c r="G345" s="62"/>
      <c r="H345" s="62"/>
      <c r="I345" s="62"/>
      <c r="J345" s="62"/>
      <c r="K345" s="62"/>
      <c r="L345" s="62"/>
      <c r="M345" s="62"/>
      <c r="O345" s="804" t="s">
        <v>1220</v>
      </c>
      <c r="P345" s="1569"/>
      <c r="Q345" s="232"/>
    </row>
    <row r="346" spans="1:31" ht="21.75" customHeight="1">
      <c r="B346" s="192" t="s">
        <v>1496</v>
      </c>
      <c r="C346" s="1117" t="s">
        <v>3532</v>
      </c>
      <c r="D346" s="1117"/>
      <c r="E346" s="1117"/>
      <c r="F346" s="1117"/>
      <c r="G346" s="1117"/>
      <c r="H346" s="1117"/>
      <c r="I346" s="1117"/>
      <c r="J346" s="1117"/>
      <c r="K346" s="1117"/>
      <c r="L346" s="1117"/>
      <c r="M346" s="1117"/>
      <c r="N346" s="1117"/>
      <c r="O346" s="219" t="s">
        <v>1496</v>
      </c>
      <c r="P346" s="1569"/>
      <c r="Q346" s="232"/>
    </row>
    <row r="347" spans="1:31" ht="21.75" customHeight="1">
      <c r="B347" s="192" t="s">
        <v>1497</v>
      </c>
      <c r="C347" s="1096" t="s">
        <v>3809</v>
      </c>
      <c r="D347" s="1096"/>
      <c r="E347" s="1096"/>
      <c r="F347" s="1096"/>
      <c r="G347" s="1096"/>
      <c r="H347" s="1096"/>
      <c r="I347" s="1096"/>
      <c r="J347" s="1096"/>
      <c r="K347" s="1096"/>
      <c r="L347" s="1096"/>
      <c r="M347" s="1096"/>
      <c r="N347" s="1096"/>
      <c r="O347" s="219" t="s">
        <v>1497</v>
      </c>
      <c r="P347" s="1590"/>
      <c r="Q347" s="232"/>
    </row>
    <row r="348" spans="1:31" ht="11.45" customHeight="1">
      <c r="B348" s="55" t="s">
        <v>1241</v>
      </c>
      <c r="C348" s="38" t="s">
        <v>3328</v>
      </c>
      <c r="D348" s="203"/>
      <c r="E348" s="203"/>
      <c r="F348" s="203"/>
      <c r="G348" s="203"/>
      <c r="H348" s="203"/>
      <c r="I348" s="203"/>
      <c r="J348" s="203"/>
      <c r="K348" s="203"/>
      <c r="L348" s="203"/>
      <c r="M348" s="203"/>
      <c r="O348" s="804" t="s">
        <v>1241</v>
      </c>
      <c r="P348" s="1569"/>
      <c r="Q348" s="232"/>
    </row>
    <row r="349" spans="1:31" ht="11.25" customHeight="1">
      <c r="B349" s="191" t="s">
        <v>1390</v>
      </c>
      <c r="D349" s="191"/>
      <c r="E349" s="191"/>
      <c r="F349" s="191"/>
      <c r="G349" s="191"/>
      <c r="H349" s="48"/>
      <c r="I349" s="180"/>
      <c r="J349" s="180"/>
      <c r="K349" s="180"/>
      <c r="L349" s="848"/>
      <c r="M349" s="848"/>
      <c r="N349" s="848"/>
      <c r="O349" s="848"/>
      <c r="P349" s="848"/>
      <c r="Q349" s="60"/>
    </row>
    <row r="350" spans="1:31" ht="11.45" customHeight="1">
      <c r="A350" s="1573"/>
      <c r="B350" s="1574"/>
      <c r="C350" s="1574"/>
      <c r="D350" s="1574"/>
      <c r="E350" s="1574"/>
      <c r="F350" s="1574"/>
      <c r="G350" s="1574"/>
      <c r="H350" s="1574"/>
      <c r="I350" s="1574"/>
      <c r="J350" s="1574"/>
      <c r="K350" s="1574"/>
      <c r="L350" s="1574"/>
      <c r="M350" s="1574"/>
      <c r="N350" s="1574"/>
      <c r="O350" s="1574"/>
      <c r="P350" s="1574"/>
      <c r="Q350" s="1575"/>
      <c r="U350" s="186"/>
      <c r="V350" s="186"/>
      <c r="W350" s="186"/>
      <c r="X350" s="186"/>
      <c r="Y350" s="186"/>
      <c r="Z350" s="186"/>
      <c r="AA350" s="186"/>
      <c r="AB350" s="186"/>
      <c r="AC350" s="186"/>
      <c r="AD350" s="186"/>
      <c r="AE350" s="806"/>
    </row>
    <row r="351" spans="1:31" ht="11.25" customHeight="1">
      <c r="B351" s="187" t="s">
        <v>1391</v>
      </c>
      <c r="C351" s="188"/>
      <c r="D351" s="856"/>
      <c r="E351" s="856"/>
      <c r="F351" s="856"/>
      <c r="G351" s="856"/>
      <c r="H351" s="856"/>
      <c r="I351" s="856"/>
      <c r="J351" s="856"/>
      <c r="K351" s="856"/>
      <c r="L351" s="856"/>
      <c r="M351" s="856"/>
      <c r="N351" s="856"/>
      <c r="O351" s="856"/>
      <c r="P351" s="856"/>
      <c r="Q351" s="856"/>
    </row>
    <row r="352" spans="1:31" ht="11.45" customHeight="1">
      <c r="A352" s="1109"/>
      <c r="B352" s="1110"/>
      <c r="C352" s="1110"/>
      <c r="D352" s="1110"/>
      <c r="E352" s="1110"/>
      <c r="F352" s="1110"/>
      <c r="G352" s="1110"/>
      <c r="H352" s="1110"/>
      <c r="I352" s="1110"/>
      <c r="J352" s="1110"/>
      <c r="K352" s="1110"/>
      <c r="L352" s="1110"/>
      <c r="M352" s="1110"/>
      <c r="N352" s="1110"/>
      <c r="O352" s="1110"/>
      <c r="P352" s="1110"/>
      <c r="Q352" s="1111"/>
    </row>
    <row r="353" spans="1:32" ht="3.6" customHeight="1">
      <c r="A353" s="848"/>
      <c r="B353" s="180"/>
      <c r="C353" s="856"/>
      <c r="D353" s="856"/>
      <c r="E353" s="856"/>
      <c r="F353" s="856"/>
      <c r="G353" s="856"/>
      <c r="H353" s="856"/>
      <c r="I353" s="856"/>
      <c r="J353" s="856"/>
      <c r="K353" s="856"/>
      <c r="L353" s="856"/>
      <c r="M353" s="856"/>
      <c r="Q353" s="60"/>
    </row>
    <row r="354" spans="1:32" ht="14.1" customHeight="1">
      <c r="A354" s="857">
        <v>24</v>
      </c>
      <c r="B354" s="5" t="s">
        <v>244</v>
      </c>
      <c r="C354" s="5"/>
      <c r="D354" s="115"/>
      <c r="E354" s="856"/>
      <c r="F354" s="856"/>
      <c r="G354" s="856"/>
      <c r="H354" s="856"/>
      <c r="I354" s="856"/>
      <c r="J354" s="856"/>
      <c r="K354" s="856"/>
      <c r="L354" s="856"/>
      <c r="M354" s="856"/>
      <c r="O354" s="181" t="s">
        <v>1392</v>
      </c>
      <c r="P354" s="1113"/>
      <c r="Q354" s="1118"/>
    </row>
    <row r="355" spans="1:32" s="2" customFormat="1" ht="23.45" customHeight="1">
      <c r="B355" s="192" t="s">
        <v>1150</v>
      </c>
      <c r="C355" s="1117" t="s">
        <v>3881</v>
      </c>
      <c r="D355" s="1117"/>
      <c r="E355" s="1117"/>
      <c r="F355" s="1117"/>
      <c r="G355" s="1117"/>
      <c r="H355" s="1117"/>
      <c r="I355" s="1117"/>
      <c r="J355" s="1117"/>
      <c r="K355" s="1117"/>
      <c r="L355" s="1117"/>
      <c r="M355" s="219" t="s">
        <v>1150</v>
      </c>
      <c r="N355" s="1616" t="s">
        <v>42</v>
      </c>
      <c r="O355" s="1617"/>
      <c r="P355" s="1115" t="s">
        <v>1533</v>
      </c>
      <c r="Q355" s="1116"/>
      <c r="AE355" s="6"/>
      <c r="AF355" s="6"/>
    </row>
    <row r="356" spans="1:32" s="2" customFormat="1" ht="12" customHeight="1">
      <c r="B356" s="55" t="s">
        <v>1153</v>
      </c>
      <c r="C356" s="158" t="s">
        <v>3954</v>
      </c>
      <c r="D356" s="203"/>
      <c r="E356" s="203"/>
      <c r="G356" s="804" t="s">
        <v>1153</v>
      </c>
      <c r="H356" s="1591" t="s">
        <v>111</v>
      </c>
      <c r="I356" s="1592"/>
      <c r="J356" s="1592"/>
      <c r="K356" s="1592"/>
      <c r="L356" s="1592"/>
      <c r="M356" s="1592"/>
      <c r="N356" s="1592"/>
      <c r="O356" s="1592"/>
      <c r="P356" s="1593"/>
      <c r="Q356" s="232"/>
      <c r="AE356" s="6"/>
      <c r="AF356" s="6"/>
    </row>
    <row r="357" spans="1:32" s="2" customFormat="1" ht="12" customHeight="1">
      <c r="B357" s="55" t="s">
        <v>3012</v>
      </c>
      <c r="C357" s="38" t="s">
        <v>2110</v>
      </c>
      <c r="D357" s="12"/>
      <c r="E357" s="12"/>
      <c r="F357" s="12"/>
      <c r="G357" s="8"/>
      <c r="H357" s="8"/>
      <c r="I357" s="38"/>
      <c r="K357" s="8"/>
      <c r="L357" s="8"/>
      <c r="M357" s="8"/>
      <c r="O357" s="804" t="s">
        <v>3012</v>
      </c>
      <c r="P357" s="1569" t="s">
        <v>61</v>
      </c>
      <c r="Q357" s="232"/>
      <c r="AE357" s="6"/>
      <c r="AF357" s="6"/>
    </row>
    <row r="358" spans="1:32" ht="11.25" customHeight="1">
      <c r="B358" s="191" t="s">
        <v>1390</v>
      </c>
      <c r="D358" s="191"/>
      <c r="E358" s="191"/>
      <c r="F358" s="191"/>
      <c r="G358" s="191"/>
      <c r="H358" s="48"/>
      <c r="I358" s="180"/>
      <c r="J358" s="180"/>
      <c r="K358" s="180"/>
      <c r="L358" s="848"/>
      <c r="M358" s="848"/>
      <c r="N358" s="848"/>
      <c r="O358" s="848"/>
      <c r="P358" s="848"/>
      <c r="Q358" s="60"/>
    </row>
    <row r="359" spans="1:32" ht="11.45" customHeight="1">
      <c r="A359" s="1573"/>
      <c r="B359" s="1574"/>
      <c r="C359" s="1574"/>
      <c r="D359" s="1574"/>
      <c r="E359" s="1574"/>
      <c r="F359" s="1574"/>
      <c r="G359" s="1574"/>
      <c r="H359" s="1574"/>
      <c r="I359" s="1574"/>
      <c r="J359" s="1574"/>
      <c r="K359" s="1574"/>
      <c r="L359" s="1574"/>
      <c r="M359" s="1574"/>
      <c r="N359" s="1574"/>
      <c r="O359" s="1574"/>
      <c r="P359" s="1574"/>
      <c r="Q359" s="1575"/>
      <c r="R359" s="738" t="s">
        <v>2219</v>
      </c>
      <c r="S359" s="738"/>
      <c r="U359" s="186"/>
      <c r="V359" s="186"/>
      <c r="W359" s="186"/>
      <c r="X359" s="186"/>
      <c r="Y359" s="186"/>
      <c r="Z359" s="186"/>
      <c r="AA359" s="186"/>
      <c r="AB359" s="186"/>
      <c r="AC359" s="186"/>
      <c r="AD359" s="186"/>
      <c r="AE359" s="806"/>
    </row>
    <row r="360" spans="1:32" s="31" customFormat="1" ht="3" customHeight="1">
      <c r="C360" s="160"/>
      <c r="D360" s="160"/>
      <c r="R360" s="738"/>
      <c r="S360" s="738"/>
      <c r="AE360" s="160"/>
      <c r="AF360" s="160"/>
    </row>
    <row r="361" spans="1:32" ht="11.25" customHeight="1">
      <c r="B361" s="187" t="s">
        <v>1391</v>
      </c>
      <c r="C361" s="188"/>
      <c r="D361" s="856"/>
      <c r="E361" s="856"/>
      <c r="F361" s="856"/>
      <c r="G361" s="856"/>
      <c r="H361" s="856"/>
      <c r="I361" s="856"/>
      <c r="J361" s="856"/>
      <c r="K361" s="856"/>
      <c r="L361" s="856"/>
      <c r="M361" s="856"/>
      <c r="N361" s="856"/>
      <c r="O361" s="856"/>
      <c r="P361" s="856"/>
      <c r="Q361" s="856"/>
    </row>
    <row r="362" spans="1:32" ht="11.45" customHeight="1">
      <c r="A362" s="1109"/>
      <c r="B362" s="1110"/>
      <c r="C362" s="1110"/>
      <c r="D362" s="1110"/>
      <c r="E362" s="1110"/>
      <c r="F362" s="1110"/>
      <c r="G362" s="1110"/>
      <c r="H362" s="1110"/>
      <c r="I362" s="1110"/>
      <c r="J362" s="1110"/>
      <c r="K362" s="1110"/>
      <c r="L362" s="1110"/>
      <c r="M362" s="1110"/>
      <c r="N362" s="1110"/>
      <c r="O362" s="1110"/>
      <c r="P362" s="1110"/>
      <c r="Q362" s="1111"/>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4.1" customHeight="1">
      <c r="A364" s="857">
        <v>25</v>
      </c>
      <c r="B364" s="5" t="s">
        <v>266</v>
      </c>
      <c r="C364" s="5"/>
      <c r="D364" s="5"/>
      <c r="E364" s="856"/>
      <c r="G364" s="190" t="s">
        <v>3000</v>
      </c>
      <c r="H364" s="856"/>
      <c r="I364" s="856"/>
      <c r="J364" s="856"/>
      <c r="K364" s="856"/>
      <c r="L364" s="856"/>
      <c r="M364" s="856"/>
      <c r="O364" s="181" t="s">
        <v>1392</v>
      </c>
      <c r="P364" s="1113"/>
      <c r="Q364" s="1114"/>
    </row>
    <row r="365" spans="1:32" ht="12" customHeight="1">
      <c r="A365" s="194"/>
      <c r="B365" s="55" t="s">
        <v>1150</v>
      </c>
      <c r="C365" s="62" t="s">
        <v>250</v>
      </c>
      <c r="D365" s="728"/>
      <c r="E365" s="728"/>
      <c r="H365" s="190"/>
      <c r="O365" s="804" t="s">
        <v>1150</v>
      </c>
      <c r="P365" s="1569" t="s">
        <v>61</v>
      </c>
      <c r="Q365" s="232"/>
    </row>
    <row r="366" spans="1:32" ht="12" customHeight="1">
      <c r="A366" s="194"/>
      <c r="B366" s="55" t="s">
        <v>1153</v>
      </c>
      <c r="C366" s="62" t="s">
        <v>251</v>
      </c>
      <c r="D366" s="728"/>
      <c r="E366" s="728"/>
      <c r="O366" s="804" t="s">
        <v>1153</v>
      </c>
      <c r="P366" s="1569" t="s">
        <v>61</v>
      </c>
      <c r="Q366" s="232"/>
    </row>
    <row r="367" spans="1:32" ht="12" customHeight="1">
      <c r="A367" s="194"/>
      <c r="B367" s="55" t="s">
        <v>3012</v>
      </c>
      <c r="C367" s="62" t="s">
        <v>204</v>
      </c>
      <c r="D367" s="728"/>
      <c r="E367" s="728"/>
      <c r="O367" s="804" t="s">
        <v>3012</v>
      </c>
      <c r="P367" s="1569" t="s">
        <v>61</v>
      </c>
      <c r="Q367" s="232"/>
    </row>
    <row r="368" spans="1:32" ht="12" customHeight="1">
      <c r="A368" s="194"/>
      <c r="B368" s="55" t="s">
        <v>1220</v>
      </c>
      <c r="C368" s="62" t="s">
        <v>245</v>
      </c>
      <c r="E368" s="190"/>
      <c r="O368" s="804" t="s">
        <v>1220</v>
      </c>
      <c r="P368" s="1569" t="s">
        <v>61</v>
      </c>
      <c r="Q368" s="232"/>
    </row>
    <row r="369" spans="1:31" ht="12" customHeight="1">
      <c r="B369" s="55" t="s">
        <v>1496</v>
      </c>
      <c r="C369" s="62" t="s">
        <v>1041</v>
      </c>
      <c r="E369" s="190"/>
      <c r="G369" s="804" t="s">
        <v>1496</v>
      </c>
      <c r="H369" s="1591"/>
      <c r="I369" s="1592"/>
      <c r="J369" s="1592"/>
      <c r="K369" s="1592"/>
      <c r="L369" s="1592"/>
      <c r="M369" s="1592"/>
      <c r="N369" s="1592"/>
      <c r="O369" s="1593"/>
      <c r="P369" s="1569" t="s">
        <v>61</v>
      </c>
      <c r="Q369" s="232"/>
    </row>
    <row r="370" spans="1:31" ht="11.25" customHeight="1">
      <c r="B370" s="191" t="s">
        <v>1390</v>
      </c>
      <c r="D370" s="191"/>
      <c r="E370" s="191"/>
      <c r="F370" s="191"/>
      <c r="G370" s="191"/>
      <c r="H370" s="48"/>
      <c r="I370" s="180"/>
      <c r="J370" s="180"/>
      <c r="K370" s="180"/>
      <c r="L370" s="848"/>
      <c r="M370" s="848"/>
      <c r="N370" s="848"/>
      <c r="O370" s="848"/>
      <c r="P370" s="848"/>
      <c r="Q370" s="60"/>
    </row>
    <row r="371" spans="1:31" ht="11.45" customHeight="1">
      <c r="A371" s="1573"/>
      <c r="B371" s="1574"/>
      <c r="C371" s="1574"/>
      <c r="D371" s="1574"/>
      <c r="E371" s="1574"/>
      <c r="F371" s="1574"/>
      <c r="G371" s="1574"/>
      <c r="H371" s="1574"/>
      <c r="I371" s="1574"/>
      <c r="J371" s="1574"/>
      <c r="K371" s="1574"/>
      <c r="L371" s="1574"/>
      <c r="M371" s="1574"/>
      <c r="N371" s="1574"/>
      <c r="O371" s="1574"/>
      <c r="P371" s="1574"/>
      <c r="Q371" s="1575"/>
      <c r="U371" s="186"/>
      <c r="V371" s="186"/>
      <c r="W371" s="186"/>
      <c r="X371" s="186"/>
      <c r="Y371" s="186"/>
      <c r="Z371" s="186"/>
      <c r="AA371" s="186"/>
      <c r="AB371" s="186"/>
      <c r="AC371" s="186"/>
      <c r="AD371" s="186"/>
      <c r="AE371" s="806"/>
    </row>
    <row r="372" spans="1:31" ht="11.25" customHeight="1">
      <c r="B372" s="187" t="s">
        <v>1391</v>
      </c>
      <c r="C372" s="188"/>
      <c r="D372" s="856"/>
      <c r="E372" s="856"/>
      <c r="F372" s="856"/>
      <c r="G372" s="856"/>
      <c r="H372" s="856"/>
      <c r="I372" s="856"/>
      <c r="J372" s="856"/>
      <c r="K372" s="856"/>
      <c r="L372" s="856"/>
      <c r="M372" s="856"/>
      <c r="N372" s="856"/>
      <c r="O372" s="856"/>
      <c r="P372" s="856"/>
      <c r="Q372" s="856"/>
    </row>
    <row r="373" spans="1:31" ht="11.45" customHeight="1">
      <c r="A373" s="1109"/>
      <c r="B373" s="1110"/>
      <c r="C373" s="1110"/>
      <c r="D373" s="1110"/>
      <c r="E373" s="1110"/>
      <c r="F373" s="1110"/>
      <c r="G373" s="1110"/>
      <c r="H373" s="1110"/>
      <c r="I373" s="1110"/>
      <c r="J373" s="1110"/>
      <c r="K373" s="1110"/>
      <c r="L373" s="1110"/>
      <c r="M373" s="1110"/>
      <c r="N373" s="1110"/>
      <c r="O373" s="1110"/>
      <c r="P373" s="1110"/>
      <c r="Q373" s="1111"/>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4.1" customHeight="1">
      <c r="A375" s="857">
        <v>26</v>
      </c>
      <c r="B375" s="1119" t="s">
        <v>267</v>
      </c>
      <c r="C375" s="1119"/>
      <c r="D375" s="1119"/>
      <c r="E375" s="1119"/>
      <c r="F375" s="1119"/>
      <c r="G375" s="1119"/>
      <c r="H375" s="856"/>
      <c r="I375" s="856"/>
      <c r="J375" s="856"/>
      <c r="K375" s="856"/>
      <c r="L375" s="856"/>
      <c r="M375" s="856"/>
      <c r="O375" s="181" t="s">
        <v>1392</v>
      </c>
      <c r="P375" s="1113"/>
      <c r="Q375" s="1114"/>
    </row>
    <row r="376" spans="1:31" ht="21.75" customHeight="1">
      <c r="A376" s="189"/>
      <c r="B376" s="192" t="s">
        <v>1150</v>
      </c>
      <c r="C376" s="1117" t="s">
        <v>3275</v>
      </c>
      <c r="D376" s="1117"/>
      <c r="E376" s="1117"/>
      <c r="F376" s="1117"/>
      <c r="G376" s="1117"/>
      <c r="H376" s="1117"/>
      <c r="I376" s="1117"/>
      <c r="J376" s="1117"/>
      <c r="K376" s="1117"/>
      <c r="L376" s="1117"/>
      <c r="M376" s="1117"/>
      <c r="N376" s="1117"/>
      <c r="O376" s="219" t="s">
        <v>1150</v>
      </c>
      <c r="P376" s="1569" t="s">
        <v>25</v>
      </c>
      <c r="Q376" s="232"/>
    </row>
    <row r="377" spans="1:31" ht="12" customHeight="1">
      <c r="A377" s="189"/>
      <c r="B377" s="55" t="s">
        <v>1153</v>
      </c>
      <c r="C377" s="197" t="s">
        <v>3329</v>
      </c>
      <c r="D377" s="856"/>
      <c r="E377" s="856"/>
      <c r="F377" s="856"/>
      <c r="G377" s="856"/>
      <c r="H377" s="856"/>
      <c r="I377" s="856"/>
      <c r="J377" s="856"/>
      <c r="K377" s="856"/>
      <c r="L377" s="856"/>
      <c r="M377" s="856"/>
      <c r="O377" s="804" t="s">
        <v>1153</v>
      </c>
      <c r="P377" s="1569" t="s">
        <v>63</v>
      </c>
      <c r="Q377" s="232"/>
    </row>
    <row r="378" spans="1:31" ht="11.25" customHeight="1">
      <c r="B378" s="127" t="s">
        <v>1390</v>
      </c>
      <c r="D378" s="127"/>
      <c r="E378" s="127"/>
      <c r="F378" s="127"/>
      <c r="G378" s="127"/>
      <c r="H378" s="48"/>
      <c r="I378" s="180"/>
      <c r="J378" s="180"/>
      <c r="K378" s="187" t="s">
        <v>1391</v>
      </c>
      <c r="L378" s="848"/>
      <c r="M378" s="848"/>
      <c r="N378" s="848"/>
      <c r="O378" s="235"/>
      <c r="P378" s="848"/>
      <c r="Q378" s="60"/>
    </row>
    <row r="379" spans="1:31" ht="11.45" customHeight="1">
      <c r="A379" s="1573"/>
      <c r="B379" s="1574"/>
      <c r="C379" s="1574"/>
      <c r="D379" s="1574"/>
      <c r="E379" s="1574"/>
      <c r="F379" s="1574"/>
      <c r="G379" s="1574"/>
      <c r="H379" s="1574"/>
      <c r="I379" s="1574"/>
      <c r="J379" s="1575"/>
      <c r="K379" s="1109"/>
      <c r="L379" s="1110"/>
      <c r="M379" s="1110"/>
      <c r="N379" s="1110"/>
      <c r="O379" s="1110"/>
      <c r="P379" s="1110"/>
      <c r="Q379" s="1111"/>
      <c r="U379" s="186"/>
      <c r="V379" s="186"/>
      <c r="W379" s="186"/>
      <c r="X379" s="186"/>
      <c r="Y379" s="186"/>
      <c r="Z379" s="186"/>
      <c r="AA379" s="186"/>
      <c r="AB379" s="186"/>
      <c r="AC379" s="186"/>
      <c r="AD379" s="186"/>
      <c r="AE379" s="806"/>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4.1" customHeight="1">
      <c r="A381" s="857">
        <v>27</v>
      </c>
      <c r="B381" s="5" t="s">
        <v>268</v>
      </c>
      <c r="C381" s="5"/>
      <c r="D381" s="5"/>
      <c r="E381" s="5"/>
      <c r="F381" s="5"/>
      <c r="G381" s="5"/>
      <c r="H381" s="856"/>
      <c r="I381" s="856"/>
      <c r="J381" s="856"/>
      <c r="K381" s="856"/>
      <c r="L381" s="856"/>
      <c r="M381" s="856"/>
      <c r="O381" s="181" t="s">
        <v>1392</v>
      </c>
      <c r="P381" s="1113"/>
      <c r="Q381" s="1114"/>
    </row>
    <row r="382" spans="1:31" ht="12" customHeight="1">
      <c r="A382" s="50"/>
      <c r="B382" s="55" t="s">
        <v>1150</v>
      </c>
      <c r="C382" s="47" t="s">
        <v>3014</v>
      </c>
      <c r="D382" s="50"/>
      <c r="E382" s="50"/>
      <c r="F382" s="50"/>
      <c r="G382" s="50"/>
      <c r="H382" s="50"/>
      <c r="I382" s="50"/>
      <c r="J382" s="50"/>
      <c r="K382" s="50"/>
      <c r="L382" s="50"/>
      <c r="M382" s="50"/>
      <c r="N382" s="50"/>
      <c r="O382" s="804" t="s">
        <v>1150</v>
      </c>
      <c r="P382" s="1569" t="s">
        <v>61</v>
      </c>
      <c r="Q382" s="232"/>
    </row>
    <row r="383" spans="1:31" ht="12" customHeight="1">
      <c r="A383" s="50"/>
      <c r="B383" s="55" t="s">
        <v>1153</v>
      </c>
      <c r="C383" s="47" t="s">
        <v>1053</v>
      </c>
      <c r="D383" s="50"/>
      <c r="E383" s="50"/>
      <c r="F383" s="50"/>
      <c r="G383" s="50"/>
      <c r="H383" s="50"/>
      <c r="I383" s="50"/>
      <c r="J383" s="50"/>
      <c r="K383" s="50"/>
      <c r="L383" s="50"/>
      <c r="M383" s="50"/>
      <c r="N383" s="50"/>
      <c r="O383" s="804" t="s">
        <v>2048</v>
      </c>
      <c r="P383" s="1569"/>
      <c r="Q383" s="232"/>
    </row>
    <row r="384" spans="1:31" ht="12" customHeight="1">
      <c r="A384" s="50"/>
      <c r="B384" s="55"/>
      <c r="C384" s="62" t="s">
        <v>1994</v>
      </c>
      <c r="D384" s="62"/>
      <c r="E384" s="62"/>
      <c r="F384" s="62"/>
      <c r="G384" s="62"/>
      <c r="H384" s="62"/>
      <c r="I384" s="62"/>
      <c r="J384" s="62"/>
      <c r="K384" s="62"/>
      <c r="L384" s="62"/>
      <c r="M384" s="62"/>
      <c r="N384" s="50"/>
    </row>
    <row r="385" spans="1:32" ht="12" customHeight="1">
      <c r="A385" s="50"/>
      <c r="B385" s="55"/>
      <c r="C385" s="62" t="s">
        <v>1054</v>
      </c>
      <c r="D385" s="62"/>
      <c r="E385" s="62"/>
      <c r="F385" s="62"/>
      <c r="G385" s="62"/>
      <c r="H385" s="62"/>
      <c r="I385" s="62"/>
      <c r="J385" s="62"/>
      <c r="K385" s="62"/>
      <c r="L385" s="62"/>
      <c r="M385" s="62"/>
      <c r="N385" s="50"/>
      <c r="O385" s="804" t="s">
        <v>1499</v>
      </c>
      <c r="P385" s="1569"/>
      <c r="Q385" s="232"/>
    </row>
    <row r="386" spans="1:32" ht="12" customHeight="1">
      <c r="A386" s="50"/>
      <c r="B386" s="55" t="s">
        <v>3012</v>
      </c>
      <c r="C386" s="1096" t="s">
        <v>1052</v>
      </c>
      <c r="D386" s="1096"/>
      <c r="E386" s="1096"/>
      <c r="F386" s="1096"/>
      <c r="G386" s="1096"/>
      <c r="H386" s="1096"/>
      <c r="I386" s="1096"/>
      <c r="J386" s="1096"/>
      <c r="K386" s="1096"/>
      <c r="L386" s="1096"/>
      <c r="M386" s="1096"/>
      <c r="N386" s="1096"/>
      <c r="O386" s="804" t="s">
        <v>3012</v>
      </c>
      <c r="P386" s="1569"/>
      <c r="Q386" s="232"/>
    </row>
    <row r="387" spans="1:32" ht="12" customHeight="1">
      <c r="A387" s="50"/>
      <c r="B387" s="55" t="s">
        <v>1220</v>
      </c>
      <c r="C387" s="38" t="s">
        <v>3913</v>
      </c>
      <c r="D387" s="38"/>
      <c r="E387" s="38"/>
      <c r="F387" s="38"/>
      <c r="G387" s="38"/>
      <c r="H387" s="38"/>
      <c r="I387" s="38"/>
      <c r="J387" s="38"/>
      <c r="K387" s="38"/>
      <c r="L387" s="38"/>
      <c r="M387" s="38"/>
      <c r="N387" s="50"/>
      <c r="O387" s="804"/>
      <c r="P387" s="50"/>
      <c r="Q387" s="50"/>
    </row>
    <row r="388" spans="1:32" ht="12" customHeight="1">
      <c r="A388" s="50"/>
      <c r="B388" s="55"/>
      <c r="C388" s="184" t="s">
        <v>1055</v>
      </c>
      <c r="D388" s="44"/>
      <c r="E388" s="50"/>
      <c r="F388" s="38"/>
      <c r="G388" s="1618"/>
      <c r="H388" s="663" t="s">
        <v>3773</v>
      </c>
      <c r="J388" s="184" t="s">
        <v>1058</v>
      </c>
      <c r="K388" s="38"/>
      <c r="N388" s="1618"/>
      <c r="O388" s="663" t="s">
        <v>3773</v>
      </c>
    </row>
    <row r="389" spans="1:32" ht="12" customHeight="1">
      <c r="A389" s="50"/>
      <c r="B389" s="55"/>
      <c r="C389" s="184" t="s">
        <v>1056</v>
      </c>
      <c r="D389" s="44"/>
      <c r="E389" s="50"/>
      <c r="F389" s="38"/>
      <c r="G389" s="1618"/>
      <c r="H389" s="663"/>
      <c r="J389" s="184" t="s">
        <v>1059</v>
      </c>
      <c r="K389" s="38"/>
      <c r="N389" s="1618"/>
      <c r="O389" s="663"/>
    </row>
    <row r="390" spans="1:32" ht="12" customHeight="1">
      <c r="A390" s="50"/>
      <c r="B390" s="55"/>
      <c r="C390" s="184" t="s">
        <v>1057</v>
      </c>
      <c r="D390" s="44"/>
      <c r="E390" s="50"/>
      <c r="F390" s="38"/>
      <c r="G390" s="1618"/>
      <c r="H390" s="663" t="s">
        <v>3773</v>
      </c>
      <c r="K390" s="38"/>
      <c r="L390" s="38"/>
      <c r="M390" s="38"/>
      <c r="N390" s="50"/>
      <c r="O390" s="804"/>
    </row>
    <row r="391" spans="1:32" ht="12" customHeight="1">
      <c r="A391" s="50"/>
      <c r="B391" s="55" t="s">
        <v>1496</v>
      </c>
      <c r="C391" s="38" t="s">
        <v>775</v>
      </c>
      <c r="D391" s="38"/>
      <c r="E391" s="38"/>
      <c r="F391" s="38"/>
      <c r="G391" s="38"/>
      <c r="J391" s="50"/>
      <c r="K391" s="38"/>
      <c r="L391" s="38"/>
      <c r="M391" s="38"/>
      <c r="N391" s="50"/>
      <c r="O391" s="804"/>
      <c r="P391" s="804"/>
      <c r="Q391" s="804"/>
    </row>
    <row r="392" spans="1:32" ht="12" customHeight="1">
      <c r="A392" s="50"/>
      <c r="B392" s="55"/>
      <c r="C392" s="698" t="s">
        <v>1084</v>
      </c>
      <c r="D392" s="38"/>
      <c r="E392" s="38"/>
      <c r="F392" s="38"/>
      <c r="G392" s="1569"/>
      <c r="H392" s="232"/>
      <c r="J392" s="698" t="s">
        <v>2342</v>
      </c>
      <c r="K392" s="38"/>
      <c r="N392" s="1569"/>
      <c r="O392" s="232"/>
    </row>
    <row r="393" spans="1:32" ht="12" customHeight="1">
      <c r="A393" s="50"/>
      <c r="B393" s="55"/>
      <c r="C393" s="698" t="s">
        <v>2341</v>
      </c>
      <c r="D393" s="38"/>
      <c r="E393" s="38"/>
      <c r="F393" s="38"/>
      <c r="G393" s="1569"/>
      <c r="H393" s="232"/>
      <c r="J393" s="698" t="s">
        <v>888</v>
      </c>
      <c r="N393" s="1619"/>
      <c r="O393" s="1620"/>
      <c r="P393" s="1620"/>
      <c r="Q393" s="1621"/>
    </row>
    <row r="394" spans="1:32" ht="12" customHeight="1">
      <c r="B394" s="191" t="s">
        <v>1390</v>
      </c>
      <c r="D394" s="191"/>
      <c r="E394" s="191"/>
      <c r="F394" s="191"/>
      <c r="G394" s="191"/>
      <c r="H394" s="48"/>
      <c r="I394" s="180"/>
      <c r="J394" s="180"/>
      <c r="K394" s="180"/>
      <c r="P394" s="848"/>
      <c r="Q394" s="60"/>
    </row>
    <row r="395" spans="1:32" ht="12" customHeight="1">
      <c r="A395" s="1573"/>
      <c r="B395" s="1574"/>
      <c r="C395" s="1574"/>
      <c r="D395" s="1574"/>
      <c r="E395" s="1574"/>
      <c r="F395" s="1574"/>
      <c r="G395" s="1574"/>
      <c r="H395" s="1574"/>
      <c r="I395" s="1574"/>
      <c r="J395" s="1574"/>
      <c r="K395" s="1574"/>
      <c r="L395" s="1574"/>
      <c r="M395" s="1574"/>
      <c r="N395" s="1574"/>
      <c r="O395" s="1574"/>
      <c r="P395" s="1574"/>
      <c r="Q395" s="1575"/>
      <c r="U395" s="186"/>
      <c r="V395" s="186"/>
      <c r="W395" s="186"/>
      <c r="X395" s="186"/>
      <c r="Y395" s="186"/>
      <c r="Z395" s="186"/>
      <c r="AA395" s="186"/>
      <c r="AB395" s="186"/>
      <c r="AC395" s="186"/>
      <c r="AD395" s="186"/>
      <c r="AE395" s="806"/>
    </row>
    <row r="396" spans="1:32" ht="12" customHeight="1">
      <c r="B396" s="187" t="s">
        <v>1391</v>
      </c>
      <c r="C396" s="188"/>
      <c r="D396" s="856"/>
      <c r="E396" s="856"/>
      <c r="F396" s="856"/>
      <c r="G396" s="856"/>
      <c r="H396" s="856"/>
      <c r="I396" s="856"/>
      <c r="J396" s="856"/>
      <c r="K396" s="856"/>
      <c r="L396" s="856"/>
      <c r="M396" s="856"/>
      <c r="N396" s="856"/>
      <c r="O396" s="856"/>
      <c r="P396" s="856"/>
      <c r="Q396" s="856"/>
    </row>
    <row r="397" spans="1:32" ht="12" customHeight="1">
      <c r="A397" s="1109"/>
      <c r="B397" s="1110"/>
      <c r="C397" s="1110"/>
      <c r="D397" s="1110"/>
      <c r="E397" s="1110"/>
      <c r="F397" s="1110"/>
      <c r="G397" s="1110"/>
      <c r="H397" s="1110"/>
      <c r="I397" s="1110"/>
      <c r="J397" s="1110"/>
      <c r="K397" s="1110"/>
      <c r="L397" s="1110"/>
      <c r="M397" s="1110"/>
      <c r="N397" s="1110"/>
      <c r="O397" s="1110"/>
      <c r="P397" s="1110"/>
      <c r="Q397" s="1111"/>
    </row>
    <row r="398" spans="1:32" ht="7.35" customHeight="1">
      <c r="A398" s="848"/>
      <c r="B398" s="180"/>
      <c r="C398" s="856"/>
      <c r="D398" s="856"/>
      <c r="E398" s="856"/>
      <c r="F398" s="856"/>
      <c r="G398" s="856"/>
      <c r="H398" s="856"/>
      <c r="I398" s="856"/>
      <c r="J398" s="856"/>
      <c r="K398" s="856"/>
      <c r="L398" s="856"/>
      <c r="M398" s="856"/>
      <c r="Q398" s="60"/>
    </row>
    <row r="399" spans="1:32" ht="14.1" customHeight="1">
      <c r="A399" s="857">
        <v>28</v>
      </c>
      <c r="B399" s="5" t="s">
        <v>269</v>
      </c>
      <c r="C399" s="5"/>
      <c r="D399" s="115"/>
      <c r="E399" s="856"/>
      <c r="F399" s="856"/>
      <c r="G399" s="856"/>
      <c r="H399" s="856"/>
      <c r="O399" s="181" t="s">
        <v>1392</v>
      </c>
      <c r="P399" s="1113"/>
      <c r="Q399" s="1118"/>
    </row>
    <row r="400" spans="1:32" s="182" customFormat="1" ht="21.75" customHeight="1">
      <c r="B400" s="192" t="s">
        <v>1150</v>
      </c>
      <c r="C400" s="1120" t="s">
        <v>179</v>
      </c>
      <c r="D400" s="1120"/>
      <c r="E400" s="1120"/>
      <c r="F400" s="1120"/>
      <c r="G400" s="1120"/>
      <c r="H400" s="1120"/>
      <c r="I400" s="1120"/>
      <c r="J400" s="1120"/>
      <c r="K400" s="1120"/>
      <c r="L400" s="1120"/>
      <c r="M400" s="1120"/>
      <c r="N400" s="1120"/>
      <c r="O400" s="219" t="s">
        <v>1150</v>
      </c>
      <c r="P400" s="1590" t="s">
        <v>25</v>
      </c>
      <c r="Q400" s="354"/>
      <c r="AE400" s="807"/>
      <c r="AF400" s="807"/>
    </row>
    <row r="401" spans="1:32" s="182" customFormat="1" ht="12" customHeight="1">
      <c r="B401" s="192" t="s">
        <v>1153</v>
      </c>
      <c r="C401" s="1120" t="s">
        <v>180</v>
      </c>
      <c r="D401" s="1120"/>
      <c r="E401" s="1120"/>
      <c r="F401" s="1120"/>
      <c r="G401" s="1120"/>
      <c r="H401" s="1120"/>
      <c r="I401" s="1120"/>
      <c r="J401" s="1120"/>
      <c r="K401" s="1120"/>
      <c r="L401" s="1120"/>
      <c r="M401" s="1120"/>
      <c r="N401" s="1120"/>
      <c r="O401" s="219" t="s">
        <v>1153</v>
      </c>
      <c r="P401" s="1590" t="s">
        <v>25</v>
      </c>
      <c r="Q401" s="354"/>
      <c r="AE401" s="807"/>
      <c r="AF401" s="807"/>
    </row>
    <row r="402" spans="1:32" s="182" customFormat="1" ht="21.75" customHeight="1">
      <c r="B402" s="192" t="s">
        <v>3012</v>
      </c>
      <c r="C402" s="1120" t="s">
        <v>216</v>
      </c>
      <c r="D402" s="1120"/>
      <c r="E402" s="1120"/>
      <c r="F402" s="1120"/>
      <c r="G402" s="1120"/>
      <c r="H402" s="1120"/>
      <c r="I402" s="1120"/>
      <c r="J402" s="1120"/>
      <c r="K402" s="1120"/>
      <c r="L402" s="1120"/>
      <c r="M402" s="1120"/>
      <c r="N402" s="1120"/>
      <c r="O402" s="219" t="s">
        <v>3012</v>
      </c>
      <c r="P402" s="1590" t="s">
        <v>25</v>
      </c>
      <c r="Q402" s="354"/>
      <c r="AE402" s="807"/>
      <c r="AF402" s="807"/>
    </row>
    <row r="403" spans="1:32" s="182" customFormat="1" ht="33.75" customHeight="1">
      <c r="B403" s="192" t="s">
        <v>1220</v>
      </c>
      <c r="C403" s="1120" t="s">
        <v>217</v>
      </c>
      <c r="D403" s="1120"/>
      <c r="E403" s="1120"/>
      <c r="F403" s="1120"/>
      <c r="G403" s="1120"/>
      <c r="H403" s="1120"/>
      <c r="I403" s="1120"/>
      <c r="J403" s="1120"/>
      <c r="K403" s="1120"/>
      <c r="L403" s="1120"/>
      <c r="M403" s="1120"/>
      <c r="N403" s="1120"/>
      <c r="O403" s="219" t="s">
        <v>1220</v>
      </c>
      <c r="P403" s="1590" t="s">
        <v>25</v>
      </c>
      <c r="Q403" s="354"/>
      <c r="AE403" s="807"/>
      <c r="AF403" s="807"/>
    </row>
    <row r="404" spans="1:32" s="182" customFormat="1" ht="23.45" customHeight="1">
      <c r="B404" s="192" t="s">
        <v>1496</v>
      </c>
      <c r="C404" s="1120" t="s">
        <v>188</v>
      </c>
      <c r="D404" s="1120"/>
      <c r="E404" s="1120"/>
      <c r="F404" s="1120"/>
      <c r="G404" s="1120"/>
      <c r="H404" s="1120"/>
      <c r="I404" s="1120"/>
      <c r="J404" s="1120"/>
      <c r="K404" s="1120"/>
      <c r="L404" s="1120"/>
      <c r="M404" s="1120"/>
      <c r="N404" s="1120"/>
      <c r="O404" s="219" t="s">
        <v>1496</v>
      </c>
      <c r="P404" s="1590" t="s">
        <v>25</v>
      </c>
      <c r="Q404" s="354"/>
      <c r="AE404" s="807"/>
      <c r="AF404" s="807"/>
    </row>
    <row r="405" spans="1:32" s="182" customFormat="1" ht="21.75" customHeight="1">
      <c r="B405" s="192" t="s">
        <v>1497</v>
      </c>
      <c r="C405" s="1120" t="s">
        <v>189</v>
      </c>
      <c r="D405" s="1120"/>
      <c r="E405" s="1120"/>
      <c r="F405" s="1120"/>
      <c r="G405" s="1120"/>
      <c r="H405" s="1120"/>
      <c r="I405" s="1120"/>
      <c r="J405" s="1120"/>
      <c r="K405" s="1120"/>
      <c r="L405" s="1120"/>
      <c r="M405" s="1120"/>
      <c r="N405" s="1120"/>
      <c r="O405" s="219" t="s">
        <v>1497</v>
      </c>
      <c r="P405" s="1590" t="s">
        <v>25</v>
      </c>
      <c r="Q405" s="354"/>
      <c r="AE405" s="807"/>
      <c r="AF405" s="807"/>
    </row>
    <row r="406" spans="1:32" ht="11.25" customHeight="1">
      <c r="B406" s="191" t="s">
        <v>1390</v>
      </c>
      <c r="D406" s="191"/>
      <c r="E406" s="191"/>
      <c r="F406" s="191"/>
      <c r="G406" s="191"/>
      <c r="H406" s="48"/>
      <c r="I406" s="180"/>
      <c r="J406" s="180"/>
      <c r="K406" s="180"/>
      <c r="L406" s="848"/>
      <c r="M406" s="848"/>
      <c r="N406" s="848"/>
      <c r="O406" s="848"/>
      <c r="P406" s="848"/>
      <c r="Q406" s="60"/>
    </row>
    <row r="407" spans="1:32" ht="11.45" customHeight="1">
      <c r="A407" s="1573"/>
      <c r="B407" s="1574"/>
      <c r="C407" s="1574"/>
      <c r="D407" s="1574"/>
      <c r="E407" s="1574"/>
      <c r="F407" s="1574"/>
      <c r="G407" s="1574"/>
      <c r="H407" s="1574"/>
      <c r="I407" s="1574"/>
      <c r="J407" s="1574"/>
      <c r="K407" s="1574"/>
      <c r="L407" s="1574"/>
      <c r="M407" s="1574"/>
      <c r="N407" s="1574"/>
      <c r="O407" s="1574"/>
      <c r="P407" s="1574"/>
      <c r="Q407" s="1575"/>
      <c r="R407" s="737" t="s">
        <v>2219</v>
      </c>
      <c r="S407" s="738"/>
      <c r="U407" s="186"/>
      <c r="V407" s="186"/>
      <c r="W407" s="186"/>
      <c r="X407" s="186"/>
      <c r="Y407" s="186"/>
      <c r="Z407" s="186"/>
      <c r="AA407" s="186"/>
      <c r="AB407" s="186"/>
      <c r="AC407" s="186"/>
      <c r="AD407" s="186"/>
      <c r="AE407" s="806"/>
    </row>
    <row r="408" spans="1:32" ht="11.25" customHeight="1">
      <c r="B408" s="187" t="s">
        <v>1391</v>
      </c>
      <c r="C408" s="188"/>
      <c r="D408" s="856"/>
      <c r="E408" s="856"/>
      <c r="F408" s="856"/>
      <c r="G408" s="856"/>
      <c r="H408" s="856"/>
      <c r="I408" s="856"/>
      <c r="J408" s="856"/>
      <c r="K408" s="856"/>
      <c r="L408" s="856"/>
      <c r="M408" s="856"/>
      <c r="N408" s="856"/>
      <c r="O408" s="856"/>
      <c r="P408" s="856"/>
      <c r="Q408" s="856"/>
    </row>
    <row r="409" spans="1:32" ht="11.45" customHeight="1">
      <c r="A409" s="1109"/>
      <c r="B409" s="1110"/>
      <c r="C409" s="1110"/>
      <c r="D409" s="1110"/>
      <c r="E409" s="1110"/>
      <c r="F409" s="1110"/>
      <c r="G409" s="1110"/>
      <c r="H409" s="1110"/>
      <c r="I409" s="1110"/>
      <c r="J409" s="1110"/>
      <c r="K409" s="1110"/>
      <c r="L409" s="1110"/>
      <c r="M409" s="1110"/>
      <c r="N409" s="1110"/>
      <c r="O409" s="1110"/>
      <c r="P409" s="1110"/>
      <c r="Q409" s="1111"/>
    </row>
    <row r="410" spans="1:32" ht="7.35" customHeight="1">
      <c r="A410" s="848"/>
      <c r="B410" s="180"/>
      <c r="C410" s="856"/>
      <c r="D410" s="856"/>
      <c r="E410" s="856"/>
      <c r="F410" s="856"/>
      <c r="G410" s="856"/>
      <c r="H410" s="856"/>
      <c r="I410" s="856"/>
      <c r="J410" s="856"/>
      <c r="K410" s="856"/>
      <c r="L410" s="856"/>
      <c r="M410" s="856"/>
      <c r="Q410" s="60"/>
    </row>
    <row r="411" spans="1:32" ht="14.1" customHeight="1">
      <c r="A411" s="857">
        <v>29</v>
      </c>
      <c r="B411" s="5" t="s">
        <v>310</v>
      </c>
      <c r="C411" s="5"/>
      <c r="D411" s="115"/>
      <c r="E411" s="856"/>
      <c r="F411" s="856"/>
      <c r="G411" s="856"/>
      <c r="H411" s="856"/>
      <c r="I411" s="856"/>
      <c r="J411" s="856"/>
      <c r="K411" s="856"/>
      <c r="L411" s="856"/>
      <c r="M411" s="856"/>
      <c r="O411" s="181" t="s">
        <v>1392</v>
      </c>
      <c r="P411" s="1113"/>
      <c r="Q411" s="1118"/>
    </row>
    <row r="412" spans="1:32" ht="11.25" customHeight="1">
      <c r="A412" s="857"/>
      <c r="B412" s="191" t="s">
        <v>1390</v>
      </c>
      <c r="D412" s="191"/>
      <c r="E412" s="191"/>
      <c r="F412" s="191"/>
      <c r="G412" s="191"/>
      <c r="H412" s="48"/>
      <c r="I412" s="180"/>
      <c r="J412" s="180"/>
      <c r="K412" s="180"/>
      <c r="L412" s="848"/>
      <c r="M412" s="848"/>
      <c r="N412" s="848"/>
      <c r="O412" s="848"/>
      <c r="P412" s="848"/>
      <c r="Q412" s="60"/>
    </row>
    <row r="413" spans="1:32" ht="11.45" customHeight="1">
      <c r="A413" s="1573" t="s">
        <v>0</v>
      </c>
      <c r="B413" s="1574"/>
      <c r="C413" s="1574"/>
      <c r="D413" s="1574"/>
      <c r="E413" s="1574"/>
      <c r="F413" s="1574"/>
      <c r="G413" s="1574"/>
      <c r="H413" s="1574"/>
      <c r="I413" s="1574"/>
      <c r="J413" s="1574"/>
      <c r="K413" s="1574"/>
      <c r="L413" s="1574"/>
      <c r="M413" s="1574"/>
      <c r="N413" s="1574"/>
      <c r="O413" s="1574"/>
      <c r="P413" s="1574"/>
      <c r="Q413" s="1575"/>
      <c r="R413" s="737" t="s">
        <v>2219</v>
      </c>
      <c r="S413" s="738"/>
      <c r="U413" s="186"/>
      <c r="V413" s="186"/>
      <c r="W413" s="186"/>
      <c r="X413" s="186"/>
      <c r="Y413" s="186"/>
      <c r="Z413" s="186"/>
      <c r="AA413" s="186"/>
      <c r="AB413" s="186"/>
      <c r="AC413" s="186"/>
      <c r="AD413" s="186"/>
      <c r="AE413" s="806"/>
    </row>
    <row r="414" spans="1:32" ht="11.25" customHeight="1">
      <c r="B414" s="187" t="s">
        <v>1391</v>
      </c>
      <c r="C414" s="188"/>
      <c r="D414" s="856"/>
      <c r="E414" s="856"/>
      <c r="F414" s="856"/>
      <c r="G414" s="856"/>
      <c r="H414" s="856"/>
      <c r="I414" s="856"/>
      <c r="J414" s="856"/>
      <c r="K414" s="856"/>
      <c r="L414" s="856"/>
      <c r="M414" s="856"/>
      <c r="N414" s="856"/>
      <c r="O414" s="856"/>
      <c r="P414" s="856"/>
      <c r="Q414" s="856"/>
    </row>
    <row r="415" spans="1:32" ht="21.75" customHeight="1">
      <c r="A415" s="1109"/>
      <c r="B415" s="1110"/>
      <c r="C415" s="1110"/>
      <c r="D415" s="1110"/>
      <c r="E415" s="1110"/>
      <c r="F415" s="1110"/>
      <c r="G415" s="1110"/>
      <c r="H415" s="1110"/>
      <c r="I415" s="1110"/>
      <c r="J415" s="1110"/>
      <c r="K415" s="1110"/>
      <c r="L415" s="1110"/>
      <c r="M415" s="1110"/>
      <c r="N415" s="1110"/>
      <c r="O415" s="1110"/>
      <c r="P415" s="1110"/>
      <c r="Q415" s="1111"/>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8"/>
      <c r="AF417" s="808"/>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8"/>
      <c r="AF418" s="808"/>
    </row>
    <row r="419" spans="1:32" s="199" customFormat="1" ht="12" customHeight="1">
      <c r="A419" s="1622"/>
      <c r="B419" s="1622"/>
      <c r="C419" s="1622"/>
      <c r="D419" s="1622"/>
      <c r="E419" s="1622"/>
      <c r="F419" s="1622"/>
      <c r="G419" s="1622"/>
      <c r="H419" s="1622"/>
      <c r="I419" s="1622"/>
      <c r="J419" s="1622"/>
      <c r="K419" s="1622"/>
      <c r="L419" s="1622"/>
      <c r="M419" s="1622"/>
      <c r="N419" s="1622"/>
      <c r="O419" s="1622"/>
      <c r="P419" s="1622"/>
      <c r="Q419" s="1622"/>
      <c r="AE419" s="808"/>
      <c r="AF419" s="808"/>
    </row>
    <row r="420" spans="1:32" s="199" customFormat="1" ht="12" customHeight="1">
      <c r="A420" s="1622"/>
      <c r="B420" s="1622"/>
      <c r="C420" s="1622"/>
      <c r="D420" s="1622"/>
      <c r="E420" s="1622"/>
      <c r="F420" s="1622"/>
      <c r="G420" s="1622"/>
      <c r="H420" s="1622"/>
      <c r="I420" s="1622"/>
      <c r="J420" s="1622"/>
      <c r="K420" s="1622"/>
      <c r="L420" s="1622"/>
      <c r="M420" s="1622"/>
      <c r="N420" s="1622"/>
      <c r="O420" s="1622"/>
      <c r="P420" s="1622"/>
      <c r="Q420" s="1622"/>
      <c r="AE420" s="808"/>
      <c r="AF420" s="808"/>
    </row>
    <row r="421" spans="1:32" s="199" customFormat="1" ht="12" customHeight="1">
      <c r="A421" s="1622"/>
      <c r="B421" s="1622"/>
      <c r="C421" s="1622"/>
      <c r="D421" s="1622"/>
      <c r="E421" s="1622"/>
      <c r="F421" s="1622"/>
      <c r="G421" s="1622"/>
      <c r="H421" s="1622"/>
      <c r="I421" s="1622"/>
      <c r="J421" s="1622"/>
      <c r="K421" s="1622"/>
      <c r="L421" s="1622"/>
      <c r="M421" s="1622"/>
      <c r="N421" s="1622"/>
      <c r="O421" s="1622"/>
      <c r="P421" s="1622"/>
      <c r="Q421" s="1622"/>
      <c r="AE421" s="808"/>
      <c r="AF421" s="808"/>
    </row>
    <row r="422" spans="1:32" s="199" customFormat="1" ht="12" customHeight="1">
      <c r="A422" s="1622"/>
      <c r="B422" s="1622"/>
      <c r="C422" s="1622"/>
      <c r="D422" s="1622"/>
      <c r="E422" s="1622"/>
      <c r="F422" s="1622"/>
      <c r="G422" s="1622"/>
      <c r="H422" s="1622"/>
      <c r="I422" s="1622"/>
      <c r="J422" s="1622"/>
      <c r="K422" s="1622"/>
      <c r="L422" s="1622"/>
      <c r="M422" s="1622"/>
      <c r="N422" s="1622"/>
      <c r="O422" s="1622"/>
      <c r="P422" s="1622"/>
      <c r="Q422" s="1622"/>
      <c r="AE422" s="808"/>
      <c r="AF422" s="808"/>
    </row>
    <row r="423" spans="1:32" s="199" customFormat="1" ht="12" customHeight="1">
      <c r="A423" s="1622"/>
      <c r="B423" s="1622"/>
      <c r="C423" s="1622"/>
      <c r="D423" s="1622"/>
      <c r="E423" s="1622"/>
      <c r="F423" s="1622"/>
      <c r="G423" s="1622"/>
      <c r="H423" s="1622"/>
      <c r="I423" s="1622"/>
      <c r="J423" s="1622"/>
      <c r="K423" s="1622"/>
      <c r="L423" s="1622"/>
      <c r="M423" s="1622"/>
      <c r="N423" s="1622"/>
      <c r="O423" s="1622"/>
      <c r="P423" s="1622"/>
      <c r="Q423" s="1622"/>
      <c r="AE423" s="808"/>
      <c r="AF423" s="808"/>
    </row>
    <row r="424" spans="1:32" s="199" customFormat="1" ht="12" customHeight="1">
      <c r="A424" s="1622"/>
      <c r="B424" s="1622"/>
      <c r="C424" s="1622"/>
      <c r="D424" s="1622"/>
      <c r="E424" s="1622"/>
      <c r="F424" s="1622"/>
      <c r="G424" s="1622"/>
      <c r="H424" s="1622"/>
      <c r="I424" s="1622"/>
      <c r="J424" s="1622"/>
      <c r="K424" s="1622"/>
      <c r="L424" s="1622"/>
      <c r="M424" s="1622"/>
      <c r="N424" s="1622"/>
      <c r="O424" s="1622"/>
      <c r="P424" s="1622"/>
      <c r="Q424" s="1622"/>
      <c r="AE424" s="808"/>
      <c r="AF424" s="808"/>
    </row>
    <row r="425" spans="1:32" s="199" customFormat="1" ht="12" customHeight="1">
      <c r="A425" s="1622"/>
      <c r="B425" s="1622"/>
      <c r="C425" s="1622"/>
      <c r="D425" s="1622"/>
      <c r="E425" s="1622"/>
      <c r="F425" s="1622"/>
      <c r="G425" s="1622"/>
      <c r="H425" s="1622"/>
      <c r="I425" s="1622"/>
      <c r="J425" s="1622"/>
      <c r="K425" s="1622"/>
      <c r="L425" s="1622"/>
      <c r="M425" s="1622"/>
      <c r="N425" s="1622"/>
      <c r="O425" s="1622"/>
      <c r="P425" s="1622"/>
      <c r="Q425" s="1622"/>
      <c r="AE425" s="808"/>
      <c r="AF425" s="808"/>
    </row>
    <row r="426" spans="1:32" s="199" customFormat="1" ht="12" customHeight="1">
      <c r="A426" s="1622"/>
      <c r="B426" s="1622"/>
      <c r="C426" s="1622"/>
      <c r="D426" s="1622"/>
      <c r="E426" s="1622"/>
      <c r="F426" s="1622"/>
      <c r="G426" s="1622"/>
      <c r="H426" s="1622"/>
      <c r="I426" s="1622"/>
      <c r="J426" s="1622"/>
      <c r="K426" s="1622"/>
      <c r="L426" s="1622"/>
      <c r="M426" s="1622"/>
      <c r="N426" s="1622"/>
      <c r="O426" s="1622"/>
      <c r="P426" s="1622"/>
      <c r="Q426" s="1622"/>
      <c r="AE426" s="808"/>
      <c r="AF426" s="808"/>
    </row>
    <row r="427" spans="1:32" s="199" customFormat="1" ht="12" customHeight="1">
      <c r="A427" s="1622"/>
      <c r="B427" s="1622"/>
      <c r="C427" s="1622"/>
      <c r="D427" s="1622"/>
      <c r="E427" s="1622"/>
      <c r="F427" s="1622"/>
      <c r="G427" s="1622"/>
      <c r="H427" s="1622"/>
      <c r="I427" s="1622"/>
      <c r="J427" s="1622"/>
      <c r="K427" s="1622"/>
      <c r="L427" s="1622"/>
      <c r="M427" s="1622"/>
      <c r="N427" s="1622"/>
      <c r="O427" s="1622"/>
      <c r="P427" s="1622"/>
      <c r="Q427" s="1622"/>
      <c r="AE427" s="808"/>
      <c r="AF427" s="808"/>
    </row>
    <row r="428" spans="1:32" s="199" customFormat="1" ht="12" customHeight="1">
      <c r="A428" s="1622"/>
      <c r="B428" s="1622"/>
      <c r="C428" s="1622"/>
      <c r="D428" s="1622"/>
      <c r="E428" s="1622"/>
      <c r="F428" s="1622"/>
      <c r="G428" s="1622"/>
      <c r="H428" s="1622"/>
      <c r="I428" s="1622"/>
      <c r="J428" s="1622"/>
      <c r="K428" s="1622"/>
      <c r="L428" s="1622"/>
      <c r="M428" s="1622"/>
      <c r="N428" s="1622"/>
      <c r="O428" s="1622"/>
      <c r="P428" s="1622"/>
      <c r="Q428" s="1622"/>
      <c r="AE428" s="808"/>
      <c r="AF428" s="808"/>
    </row>
    <row r="429" spans="1:32" s="199" customFormat="1" ht="12" customHeight="1">
      <c r="A429" s="1622"/>
      <c r="B429" s="1622"/>
      <c r="C429" s="1622"/>
      <c r="D429" s="1622"/>
      <c r="E429" s="1622"/>
      <c r="F429" s="1622"/>
      <c r="G429" s="1622"/>
      <c r="H429" s="1622"/>
      <c r="I429" s="1622"/>
      <c r="J429" s="1622"/>
      <c r="K429" s="1622"/>
      <c r="L429" s="1622"/>
      <c r="M429" s="1622"/>
      <c r="N429" s="1622"/>
      <c r="O429" s="1622"/>
      <c r="P429" s="1622"/>
      <c r="Q429" s="1622"/>
      <c r="AE429" s="808"/>
      <c r="AF429" s="808"/>
    </row>
    <row r="430" spans="1:32" s="199" customFormat="1" ht="12" customHeight="1">
      <c r="A430" s="1622"/>
      <c r="B430" s="1622"/>
      <c r="C430" s="1622"/>
      <c r="D430" s="1622"/>
      <c r="E430" s="1622"/>
      <c r="F430" s="1622"/>
      <c r="G430" s="1622"/>
      <c r="H430" s="1622"/>
      <c r="I430" s="1622"/>
      <c r="J430" s="1622"/>
      <c r="K430" s="1622"/>
      <c r="L430" s="1622"/>
      <c r="M430" s="1622"/>
      <c r="N430" s="1622"/>
      <c r="O430" s="1622"/>
      <c r="P430" s="1622"/>
      <c r="Q430" s="1622"/>
      <c r="AE430" s="808"/>
      <c r="AF430" s="808"/>
    </row>
    <row r="431" spans="1:32" s="199" customFormat="1" ht="12" customHeight="1">
      <c r="A431" s="1622"/>
      <c r="B431" s="1622"/>
      <c r="C431" s="1622"/>
      <c r="D431" s="1622"/>
      <c r="E431" s="1622"/>
      <c r="F431" s="1622"/>
      <c r="G431" s="1622"/>
      <c r="H431" s="1622"/>
      <c r="I431" s="1622"/>
      <c r="J431" s="1622"/>
      <c r="K431" s="1622"/>
      <c r="L431" s="1622"/>
      <c r="M431" s="1622"/>
      <c r="N431" s="1622"/>
      <c r="O431" s="1622"/>
      <c r="P431" s="1622"/>
      <c r="Q431" s="1622"/>
      <c r="AE431" s="808"/>
      <c r="AF431" s="808"/>
    </row>
    <row r="432" spans="1:32" s="199" customFormat="1" ht="12" customHeight="1">
      <c r="A432" s="1622"/>
      <c r="B432" s="1622"/>
      <c r="C432" s="1622"/>
      <c r="D432" s="1622"/>
      <c r="E432" s="1622"/>
      <c r="F432" s="1622"/>
      <c r="G432" s="1622"/>
      <c r="H432" s="1622"/>
      <c r="I432" s="1622"/>
      <c r="J432" s="1622"/>
      <c r="K432" s="1622"/>
      <c r="L432" s="1622"/>
      <c r="M432" s="1622"/>
      <c r="N432" s="1622"/>
      <c r="O432" s="1622"/>
      <c r="P432" s="1622"/>
      <c r="Q432" s="1622"/>
      <c r="AE432" s="808"/>
      <c r="AF432" s="808"/>
    </row>
    <row r="433" spans="1:32" s="199" customFormat="1" ht="12" customHeight="1">
      <c r="A433" s="1622"/>
      <c r="B433" s="1622"/>
      <c r="C433" s="1622"/>
      <c r="D433" s="1622"/>
      <c r="E433" s="1622"/>
      <c r="F433" s="1622"/>
      <c r="G433" s="1622"/>
      <c r="H433" s="1622"/>
      <c r="I433" s="1622"/>
      <c r="J433" s="1622"/>
      <c r="K433" s="1622"/>
      <c r="L433" s="1622"/>
      <c r="M433" s="1622"/>
      <c r="N433" s="1622"/>
      <c r="O433" s="1622"/>
      <c r="P433" s="1622"/>
      <c r="Q433" s="1622"/>
      <c r="AE433" s="808"/>
      <c r="AF433" s="808"/>
    </row>
    <row r="434" spans="1:32" s="199" customFormat="1">
      <c r="AE434" s="808"/>
      <c r="AF434" s="808"/>
    </row>
    <row r="435" spans="1:32" s="216" customFormat="1">
      <c r="C435" s="746"/>
      <c r="D435" s="746"/>
      <c r="E435" s="746"/>
      <c r="F435" s="746"/>
      <c r="G435" s="746"/>
      <c r="H435" s="746"/>
      <c r="I435" s="746"/>
      <c r="J435" s="746"/>
      <c r="K435" s="746"/>
      <c r="N435" s="166"/>
      <c r="O435" s="847"/>
      <c r="P435" s="847"/>
      <c r="AE435" s="811"/>
      <c r="AF435" s="811"/>
    </row>
    <row r="436" spans="1:32" s="698" customFormat="1" ht="11.25">
      <c r="C436" s="747" t="s">
        <v>1652</v>
      </c>
      <c r="D436" s="747"/>
      <c r="E436" s="747"/>
      <c r="F436" s="747"/>
      <c r="G436" s="747"/>
      <c r="H436" s="747"/>
      <c r="I436" s="747"/>
      <c r="J436" s="747" t="s">
        <v>2617</v>
      </c>
      <c r="K436" s="747"/>
      <c r="N436" s="705"/>
      <c r="O436" s="731"/>
      <c r="P436" s="731"/>
      <c r="AE436" s="722"/>
      <c r="AF436" s="722"/>
    </row>
    <row r="437" spans="1:32" s="698" customFormat="1" ht="11.25">
      <c r="C437" s="748" t="s">
        <v>1064</v>
      </c>
      <c r="D437" s="748"/>
      <c r="E437" s="748"/>
      <c r="F437" s="748"/>
      <c r="G437" s="748"/>
      <c r="H437" s="748"/>
      <c r="I437" s="748"/>
      <c r="J437" s="748" t="s">
        <v>1533</v>
      </c>
      <c r="K437" s="748"/>
      <c r="N437" s="705"/>
      <c r="O437" s="731"/>
      <c r="P437" s="731"/>
      <c r="AE437" s="722"/>
      <c r="AF437" s="722"/>
    </row>
    <row r="438" spans="1:32" s="698" customFormat="1" ht="11.25">
      <c r="C438" s="747" t="s">
        <v>548</v>
      </c>
      <c r="D438" s="747"/>
      <c r="E438" s="747"/>
      <c r="F438" s="747"/>
      <c r="G438" s="747"/>
      <c r="H438" s="747"/>
      <c r="I438" s="747"/>
      <c r="J438" s="749" t="s">
        <v>1484</v>
      </c>
      <c r="K438" s="747"/>
      <c r="N438" s="705"/>
      <c r="O438" s="731"/>
      <c r="P438" s="731"/>
      <c r="AE438" s="722"/>
      <c r="AF438" s="722"/>
    </row>
    <row r="439" spans="1:32" s="698" customFormat="1" ht="11.25">
      <c r="C439" s="747" t="s">
        <v>1065</v>
      </c>
      <c r="D439" s="747"/>
      <c r="E439" s="747"/>
      <c r="F439" s="747"/>
      <c r="G439" s="747"/>
      <c r="H439" s="747"/>
      <c r="I439" s="747"/>
      <c r="J439" s="749" t="s">
        <v>3866</v>
      </c>
      <c r="K439" s="747"/>
      <c r="N439" s="705"/>
      <c r="O439" s="731"/>
      <c r="P439" s="731"/>
      <c r="AE439" s="722"/>
      <c r="AF439" s="722"/>
    </row>
    <row r="440" spans="1:32" s="698" customFormat="1" ht="11.25">
      <c r="C440" s="747" t="s">
        <v>1066</v>
      </c>
      <c r="D440" s="747"/>
      <c r="E440" s="747"/>
      <c r="F440" s="747"/>
      <c r="G440" s="747"/>
      <c r="H440" s="747"/>
      <c r="I440" s="747"/>
      <c r="J440" s="748" t="s">
        <v>2346</v>
      </c>
      <c r="K440" s="747"/>
      <c r="N440" s="705"/>
      <c r="O440" s="731"/>
      <c r="P440" s="731"/>
      <c r="AE440" s="722"/>
      <c r="AF440" s="722"/>
    </row>
    <row r="441" spans="1:32" s="698" customFormat="1" ht="11.25">
      <c r="C441" s="750" t="s">
        <v>1067</v>
      </c>
      <c r="D441" s="747"/>
      <c r="E441" s="747"/>
      <c r="F441" s="747"/>
      <c r="G441" s="747"/>
      <c r="H441" s="747"/>
      <c r="I441" s="747"/>
      <c r="J441" s="751" t="s">
        <v>1079</v>
      </c>
      <c r="K441" s="747"/>
      <c r="N441" s="705"/>
      <c r="O441" s="731"/>
      <c r="P441" s="731"/>
      <c r="AE441" s="722"/>
      <c r="AF441" s="722"/>
    </row>
    <row r="442" spans="1:32" s="698" customFormat="1" ht="11.25">
      <c r="C442" s="750" t="s">
        <v>1068</v>
      </c>
      <c r="D442" s="747"/>
      <c r="E442" s="747"/>
      <c r="F442" s="747"/>
      <c r="G442" s="747"/>
      <c r="H442" s="747"/>
      <c r="I442" s="747"/>
      <c r="J442" s="749" t="s">
        <v>1530</v>
      </c>
      <c r="K442" s="747"/>
      <c r="N442" s="705"/>
      <c r="O442" s="731"/>
      <c r="P442" s="731"/>
      <c r="AE442" s="722"/>
      <c r="AF442" s="722"/>
    </row>
    <row r="443" spans="1:32" s="698" customFormat="1" ht="11.25">
      <c r="C443" s="750"/>
      <c r="D443" s="747"/>
      <c r="E443" s="747"/>
      <c r="F443" s="747"/>
      <c r="G443" s="747"/>
      <c r="H443" s="747"/>
      <c r="I443" s="747"/>
      <c r="J443" s="749" t="s">
        <v>2354</v>
      </c>
      <c r="K443" s="747"/>
      <c r="N443" s="705"/>
      <c r="O443" s="731"/>
      <c r="P443" s="731"/>
      <c r="AE443" s="722"/>
      <c r="AF443" s="722"/>
    </row>
    <row r="444" spans="1:32" s="698" customFormat="1" ht="11.25">
      <c r="C444" s="748" t="s">
        <v>1533</v>
      </c>
      <c r="D444" s="747"/>
      <c r="E444" s="747"/>
      <c r="F444" s="747"/>
      <c r="G444" s="747"/>
      <c r="H444" s="747"/>
      <c r="I444" s="747"/>
      <c r="J444" s="749" t="s">
        <v>1661</v>
      </c>
      <c r="K444" s="747"/>
      <c r="N444" s="705"/>
      <c r="O444" s="731"/>
      <c r="P444" s="731"/>
      <c r="AE444" s="722"/>
      <c r="AF444" s="722"/>
    </row>
    <row r="445" spans="1:32" s="698" customFormat="1" ht="11.25">
      <c r="C445" s="752" t="s">
        <v>2083</v>
      </c>
      <c r="D445" s="747"/>
      <c r="E445" s="747"/>
      <c r="F445" s="747"/>
      <c r="G445" s="747"/>
      <c r="H445" s="747"/>
      <c r="I445" s="747"/>
      <c r="J445" s="749" t="s">
        <v>1080</v>
      </c>
      <c r="K445" s="747"/>
      <c r="N445" s="705"/>
      <c r="O445" s="731"/>
      <c r="P445" s="731"/>
      <c r="AE445" s="722"/>
      <c r="AF445" s="722"/>
    </row>
    <row r="446" spans="1:32" s="698" customFormat="1" ht="11.25">
      <c r="C446" s="752" t="s">
        <v>2084</v>
      </c>
      <c r="D446" s="747"/>
      <c r="E446" s="747"/>
      <c r="F446" s="747"/>
      <c r="G446" s="747"/>
      <c r="H446" s="747"/>
      <c r="I446" s="747"/>
      <c r="J446" s="749" t="s">
        <v>1654</v>
      </c>
      <c r="K446" s="747"/>
      <c r="N446" s="705"/>
      <c r="O446" s="731"/>
      <c r="P446" s="731"/>
      <c r="AE446" s="722"/>
      <c r="AF446" s="722"/>
    </row>
    <row r="447" spans="1:32" s="698" customFormat="1" ht="11.25">
      <c r="C447" s="753" t="s">
        <v>958</v>
      </c>
      <c r="D447" s="747"/>
      <c r="E447" s="747"/>
      <c r="F447" s="747"/>
      <c r="G447" s="747"/>
      <c r="H447" s="747"/>
      <c r="I447" s="747"/>
      <c r="J447" s="749" t="s">
        <v>2355</v>
      </c>
      <c r="K447" s="747"/>
      <c r="N447" s="705"/>
      <c r="O447" s="731"/>
      <c r="P447" s="731"/>
      <c r="AE447" s="722"/>
      <c r="AF447" s="722"/>
    </row>
    <row r="448" spans="1:32" s="698" customFormat="1" ht="11.25">
      <c r="C448" s="753" t="s">
        <v>2080</v>
      </c>
      <c r="D448" s="747"/>
      <c r="E448" s="747"/>
      <c r="F448" s="747"/>
      <c r="G448" s="747"/>
      <c r="H448" s="747"/>
      <c r="I448" s="747"/>
      <c r="J448" s="749" t="s">
        <v>3274</v>
      </c>
      <c r="K448" s="747"/>
      <c r="N448" s="705"/>
      <c r="O448" s="731"/>
      <c r="P448" s="731"/>
      <c r="AE448" s="722"/>
      <c r="AF448" s="722"/>
    </row>
    <row r="449" spans="3:32" s="698" customFormat="1" ht="11.25">
      <c r="C449" s="753" t="s">
        <v>2081</v>
      </c>
      <c r="D449" s="747"/>
      <c r="E449" s="747"/>
      <c r="F449" s="747"/>
      <c r="G449" s="747"/>
      <c r="H449" s="747"/>
      <c r="I449" s="747"/>
      <c r="J449" s="749" t="s">
        <v>1660</v>
      </c>
      <c r="K449" s="747"/>
      <c r="N449" s="705"/>
      <c r="O449" s="731"/>
      <c r="P449" s="731"/>
      <c r="AE449" s="722"/>
      <c r="AF449" s="722"/>
    </row>
    <row r="450" spans="3:32" s="698" customFormat="1" ht="11.25">
      <c r="C450" s="752" t="s">
        <v>1098</v>
      </c>
      <c r="D450" s="747"/>
      <c r="E450" s="747"/>
      <c r="F450" s="747"/>
      <c r="G450" s="747"/>
      <c r="H450" s="747"/>
      <c r="I450" s="747"/>
      <c r="J450" s="749" t="s">
        <v>2348</v>
      </c>
      <c r="K450" s="747"/>
      <c r="N450" s="705"/>
      <c r="O450" s="731"/>
      <c r="P450" s="731"/>
      <c r="AE450" s="722"/>
      <c r="AF450" s="722"/>
    </row>
    <row r="451" spans="3:32" s="698" customFormat="1" ht="11.25">
      <c r="C451" s="752" t="s">
        <v>1099</v>
      </c>
      <c r="D451" s="747"/>
      <c r="E451" s="747"/>
      <c r="F451" s="747"/>
      <c r="G451" s="747"/>
      <c r="H451" s="747"/>
      <c r="I451" s="747"/>
      <c r="J451" s="749" t="s">
        <v>2347</v>
      </c>
      <c r="K451" s="748"/>
      <c r="N451" s="705"/>
      <c r="O451" s="731"/>
      <c r="P451" s="731"/>
      <c r="AE451" s="722"/>
      <c r="AF451" s="722"/>
    </row>
    <row r="452" spans="3:32" s="698" customFormat="1" ht="11.25">
      <c r="C452" s="752" t="s">
        <v>1100</v>
      </c>
      <c r="D452" s="748"/>
      <c r="E452" s="748"/>
      <c r="F452" s="748"/>
      <c r="G452" s="748"/>
      <c r="H452" s="748"/>
      <c r="I452" s="748"/>
      <c r="J452" s="749" t="s">
        <v>1485</v>
      </c>
      <c r="K452" s="748"/>
      <c r="N452" s="705"/>
      <c r="O452" s="731"/>
      <c r="P452" s="731"/>
      <c r="AE452" s="722"/>
      <c r="AF452" s="722"/>
    </row>
    <row r="453" spans="3:32" s="698" customFormat="1" ht="11.25">
      <c r="C453" s="752" t="s">
        <v>956</v>
      </c>
      <c r="D453" s="748"/>
      <c r="E453" s="748"/>
      <c r="F453" s="748"/>
      <c r="G453" s="748"/>
      <c r="H453" s="748"/>
      <c r="I453" s="748"/>
      <c r="J453" s="749" t="s">
        <v>1529</v>
      </c>
      <c r="K453" s="748"/>
      <c r="N453" s="705"/>
      <c r="O453" s="731"/>
      <c r="P453" s="731"/>
      <c r="AE453" s="722"/>
      <c r="AF453" s="722"/>
    </row>
    <row r="454" spans="3:32" s="698" customFormat="1" ht="11.25">
      <c r="C454" s="752" t="s">
        <v>957</v>
      </c>
      <c r="D454" s="748"/>
      <c r="E454" s="748"/>
      <c r="F454" s="748"/>
      <c r="G454" s="748"/>
      <c r="H454" s="748"/>
      <c r="I454" s="748"/>
      <c r="J454" s="749" t="s">
        <v>1655</v>
      </c>
      <c r="K454" s="748"/>
      <c r="N454" s="705"/>
      <c r="O454" s="731"/>
      <c r="P454" s="731"/>
      <c r="AE454" s="722"/>
      <c r="AF454" s="722"/>
    </row>
    <row r="455" spans="3:32" s="698" customFormat="1" ht="11.25">
      <c r="C455" s="752" t="s">
        <v>2082</v>
      </c>
      <c r="D455" s="748"/>
      <c r="E455" s="748"/>
      <c r="F455" s="748"/>
      <c r="G455" s="748"/>
      <c r="H455" s="748"/>
      <c r="I455" s="748"/>
      <c r="J455" s="749" t="s">
        <v>1078</v>
      </c>
      <c r="K455" s="748"/>
      <c r="N455" s="705"/>
      <c r="O455" s="731"/>
      <c r="P455" s="731"/>
      <c r="AE455" s="722"/>
      <c r="AF455" s="722"/>
    </row>
    <row r="456" spans="3:32" s="698" customFormat="1" ht="11.25">
      <c r="C456" s="752" t="s">
        <v>919</v>
      </c>
      <c r="D456" s="748"/>
      <c r="E456" s="748"/>
      <c r="F456" s="748"/>
      <c r="G456" s="748"/>
      <c r="H456" s="748"/>
      <c r="I456" s="748"/>
      <c r="J456" s="748"/>
      <c r="K456" s="748"/>
      <c r="N456" s="705"/>
      <c r="O456" s="731"/>
      <c r="P456" s="731"/>
      <c r="AE456" s="722"/>
      <c r="AF456" s="722"/>
    </row>
    <row r="457" spans="3:32" s="698" customFormat="1" ht="11.25">
      <c r="C457" s="748"/>
      <c r="D457" s="748"/>
      <c r="E457" s="748"/>
      <c r="F457" s="748"/>
      <c r="G457" s="748"/>
      <c r="H457" s="748"/>
      <c r="I457" s="748"/>
      <c r="J457" s="748"/>
      <c r="K457" s="748"/>
      <c r="N457" s="705"/>
      <c r="O457" s="731"/>
      <c r="P457" s="731"/>
      <c r="AE457" s="722"/>
      <c r="AF457" s="722"/>
    </row>
    <row r="458" spans="3:32" s="65" customFormat="1" ht="11.25">
      <c r="C458" s="754" t="s">
        <v>1860</v>
      </c>
      <c r="D458" s="747"/>
      <c r="E458" s="747"/>
      <c r="F458" s="747"/>
      <c r="G458" s="747"/>
      <c r="H458" s="747"/>
      <c r="I458" s="747"/>
      <c r="J458" s="747"/>
      <c r="K458" s="747"/>
      <c r="AE458" s="666"/>
      <c r="AF458" s="666"/>
    </row>
    <row r="459" spans="3:32" s="65" customFormat="1" ht="11.25">
      <c r="C459" s="747" t="s">
        <v>1533</v>
      </c>
      <c r="D459" s="747"/>
      <c r="E459" s="747"/>
      <c r="F459" s="747"/>
      <c r="G459" s="747"/>
      <c r="H459" s="747"/>
      <c r="I459" s="747"/>
      <c r="J459" s="747"/>
      <c r="K459" s="747"/>
      <c r="AE459" s="666"/>
      <c r="AF459" s="666"/>
    </row>
    <row r="460" spans="3:32" s="65" customFormat="1" ht="11.25">
      <c r="C460" s="747" t="s">
        <v>1064</v>
      </c>
      <c r="D460" s="747"/>
      <c r="E460" s="748"/>
      <c r="F460" s="748"/>
      <c r="G460" s="748"/>
      <c r="H460" s="748"/>
      <c r="I460" s="748"/>
      <c r="J460" s="748"/>
      <c r="K460" s="748"/>
      <c r="L460" s="698"/>
      <c r="M460" s="698"/>
      <c r="AE460" s="666"/>
      <c r="AF460" s="666"/>
    </row>
    <row r="461" spans="3:32" s="65" customFormat="1" ht="11.25">
      <c r="C461" s="747" t="s">
        <v>548</v>
      </c>
      <c r="D461" s="748"/>
      <c r="E461" s="748"/>
      <c r="F461" s="748"/>
      <c r="G461" s="748"/>
      <c r="H461" s="747"/>
      <c r="I461" s="748"/>
      <c r="J461" s="748"/>
      <c r="K461" s="748"/>
      <c r="L461" s="698"/>
      <c r="M461" s="698"/>
      <c r="AE461" s="666"/>
      <c r="AF461" s="666"/>
    </row>
    <row r="462" spans="3:32" s="65" customFormat="1" ht="11.25">
      <c r="C462" s="747" t="s">
        <v>1065</v>
      </c>
      <c r="D462" s="748"/>
      <c r="E462" s="748"/>
      <c r="F462" s="748"/>
      <c r="G462" s="748"/>
      <c r="H462" s="748"/>
      <c r="I462" s="748"/>
      <c r="J462" s="748"/>
      <c r="K462" s="748"/>
      <c r="L462" s="698"/>
      <c r="M462" s="698"/>
      <c r="AE462" s="666"/>
      <c r="AF462" s="666"/>
    </row>
    <row r="463" spans="3:32" s="65" customFormat="1" ht="11.25">
      <c r="C463" s="747" t="s">
        <v>1653</v>
      </c>
      <c r="D463" s="748"/>
      <c r="E463" s="748"/>
      <c r="F463" s="748"/>
      <c r="G463" s="748"/>
      <c r="H463" s="747"/>
      <c r="I463" s="748"/>
      <c r="J463" s="748"/>
      <c r="K463" s="748"/>
      <c r="L463" s="698"/>
      <c r="M463" s="698"/>
      <c r="AE463" s="666"/>
      <c r="AF463" s="666"/>
    </row>
    <row r="464" spans="3:32" s="65" customFormat="1" ht="11.25">
      <c r="C464" s="750" t="s">
        <v>1180</v>
      </c>
      <c r="D464" s="748"/>
      <c r="E464" s="748"/>
      <c r="F464" s="748"/>
      <c r="G464" s="748"/>
      <c r="H464" s="747"/>
      <c r="I464" s="748"/>
      <c r="J464" s="748"/>
      <c r="K464" s="748"/>
      <c r="L464" s="698"/>
      <c r="M464" s="698"/>
      <c r="AE464" s="666"/>
      <c r="AF464" s="666"/>
    </row>
    <row r="465" spans="3:32" s="65" customFormat="1" ht="11.25">
      <c r="C465" s="747" t="s">
        <v>3866</v>
      </c>
      <c r="D465" s="748"/>
      <c r="E465" s="748"/>
      <c r="F465" s="748"/>
      <c r="G465" s="748"/>
      <c r="H465" s="747"/>
      <c r="I465" s="748"/>
      <c r="J465" s="747"/>
      <c r="K465" s="748"/>
      <c r="L465" s="698"/>
      <c r="M465" s="698"/>
      <c r="AE465" s="666"/>
      <c r="AF465" s="666"/>
    </row>
    <row r="466" spans="3:32" s="65" customFormat="1" ht="11.25">
      <c r="C466" s="747" t="s">
        <v>1654</v>
      </c>
      <c r="D466" s="748"/>
      <c r="E466" s="748"/>
      <c r="F466" s="748"/>
      <c r="G466" s="748"/>
      <c r="H466" s="747"/>
      <c r="I466" s="748"/>
      <c r="J466" s="747"/>
      <c r="K466" s="748"/>
      <c r="L466" s="698"/>
      <c r="M466" s="698"/>
      <c r="AE466" s="666"/>
      <c r="AF466" s="666"/>
    </row>
    <row r="467" spans="3:32" s="65" customFormat="1" ht="11.25">
      <c r="C467" s="747" t="s">
        <v>1655</v>
      </c>
      <c r="D467" s="748"/>
      <c r="E467" s="748"/>
      <c r="F467" s="748"/>
      <c r="G467" s="748"/>
      <c r="H467" s="747"/>
      <c r="I467" s="748"/>
      <c r="J467" s="747"/>
      <c r="K467" s="748"/>
      <c r="L467" s="698"/>
      <c r="M467" s="698"/>
      <c r="AE467" s="666"/>
      <c r="AF467" s="666"/>
    </row>
    <row r="468" spans="3:32" s="65" customFormat="1" ht="11.25">
      <c r="C468" s="747" t="s">
        <v>486</v>
      </c>
      <c r="D468" s="748"/>
      <c r="E468" s="748"/>
      <c r="F468" s="748"/>
      <c r="G468" s="748"/>
      <c r="H468" s="748"/>
      <c r="I468" s="748"/>
      <c r="J468" s="748"/>
      <c r="K468" s="748"/>
      <c r="L468" s="698"/>
      <c r="M468" s="698"/>
      <c r="AE468" s="666"/>
      <c r="AF468" s="666"/>
    </row>
    <row r="469" spans="3:32" s="65" customFormat="1" ht="11.25">
      <c r="C469" s="747" t="s">
        <v>1861</v>
      </c>
      <c r="D469" s="748"/>
      <c r="E469" s="748"/>
      <c r="F469" s="748"/>
      <c r="G469" s="748"/>
      <c r="H469" s="748"/>
      <c r="I469" s="748"/>
      <c r="J469" s="748"/>
      <c r="K469" s="748"/>
      <c r="L469" s="698"/>
      <c r="M469" s="698"/>
      <c r="AE469" s="666"/>
      <c r="AF469" s="666"/>
    </row>
    <row r="470" spans="3:32" s="65" customFormat="1" ht="11.25">
      <c r="C470" s="747" t="s">
        <v>1520</v>
      </c>
      <c r="D470" s="748"/>
      <c r="E470" s="748"/>
      <c r="F470" s="748"/>
      <c r="G470" s="748"/>
      <c r="H470" s="748"/>
      <c r="I470" s="748"/>
      <c r="J470" s="748"/>
      <c r="K470" s="748"/>
      <c r="L470" s="698"/>
      <c r="M470" s="698"/>
      <c r="AE470" s="666"/>
      <c r="AF470" s="666"/>
    </row>
    <row r="471" spans="3:32" s="65" customFormat="1" ht="11.25">
      <c r="C471" s="747" t="s">
        <v>489</v>
      </c>
      <c r="D471" s="748"/>
      <c r="E471" s="748"/>
      <c r="F471" s="748"/>
      <c r="G471" s="748"/>
      <c r="H471" s="748"/>
      <c r="I471" s="748"/>
      <c r="J471" s="748"/>
      <c r="K471" s="748"/>
      <c r="L471" s="698"/>
      <c r="M471" s="698"/>
      <c r="AE471" s="666"/>
      <c r="AF471" s="666"/>
    </row>
    <row r="472" spans="3:32" s="65" customFormat="1" ht="11.25">
      <c r="C472" s="747" t="s">
        <v>1659</v>
      </c>
      <c r="D472" s="748"/>
      <c r="E472" s="748"/>
      <c r="F472" s="748"/>
      <c r="G472" s="748"/>
      <c r="H472" s="748"/>
      <c r="I472" s="748"/>
      <c r="J472" s="748"/>
      <c r="K472" s="748"/>
      <c r="L472" s="698"/>
      <c r="M472" s="698"/>
      <c r="N472" s="65" t="s">
        <v>487</v>
      </c>
      <c r="AE472" s="666"/>
      <c r="AF472" s="666"/>
    </row>
    <row r="473" spans="3:32" s="65" customFormat="1" ht="11.25">
      <c r="C473" s="747" t="s">
        <v>1660</v>
      </c>
      <c r="D473" s="748"/>
      <c r="E473" s="748"/>
      <c r="F473" s="748"/>
      <c r="G473" s="748"/>
      <c r="H473" s="748"/>
      <c r="I473" s="748"/>
      <c r="J473" s="748"/>
      <c r="K473" s="748"/>
      <c r="L473" s="698"/>
      <c r="M473" s="698"/>
      <c r="AE473" s="666"/>
      <c r="AF473" s="666"/>
    </row>
    <row r="474" spans="3:32" s="65" customFormat="1" ht="11.25">
      <c r="C474" s="747" t="s">
        <v>1661</v>
      </c>
      <c r="D474" s="748"/>
      <c r="E474" s="748"/>
      <c r="F474" s="748"/>
      <c r="G474" s="748"/>
      <c r="H474" s="748"/>
      <c r="I474" s="748"/>
      <c r="J474" s="748"/>
      <c r="K474" s="748"/>
      <c r="L474" s="698"/>
      <c r="M474" s="698"/>
      <c r="AE474" s="666"/>
      <c r="AF474" s="666"/>
    </row>
    <row r="475" spans="3:32" s="65" customFormat="1" ht="11.25">
      <c r="C475" s="747" t="s">
        <v>3274</v>
      </c>
      <c r="D475" s="748"/>
      <c r="E475" s="748"/>
      <c r="F475" s="748"/>
      <c r="G475" s="748"/>
      <c r="H475" s="748"/>
      <c r="I475" s="748"/>
      <c r="J475" s="748"/>
      <c r="K475" s="748"/>
      <c r="L475" s="698"/>
      <c r="M475" s="698"/>
      <c r="AE475" s="666"/>
      <c r="AF475" s="666"/>
    </row>
    <row r="476" spans="3:32" s="65" customFormat="1" ht="11.25">
      <c r="C476" s="747" t="s">
        <v>1662</v>
      </c>
      <c r="D476" s="748"/>
      <c r="E476" s="748"/>
      <c r="F476" s="748"/>
      <c r="G476" s="748"/>
      <c r="H476" s="748"/>
      <c r="I476" s="748"/>
      <c r="J476" s="748"/>
      <c r="K476" s="748"/>
      <c r="L476" s="698"/>
      <c r="M476" s="698"/>
      <c r="AE476" s="666"/>
      <c r="AF476" s="666"/>
    </row>
    <row r="477" spans="3:32" s="65" customFormat="1" ht="11.25">
      <c r="C477" s="747" t="s">
        <v>1293</v>
      </c>
      <c r="D477" s="748"/>
      <c r="E477" s="748"/>
      <c r="F477" s="748"/>
      <c r="G477" s="748"/>
      <c r="H477" s="748"/>
      <c r="I477" s="748"/>
      <c r="J477" s="748"/>
      <c r="K477" s="748"/>
      <c r="L477" s="698"/>
      <c r="M477" s="698"/>
      <c r="AE477" s="666"/>
      <c r="AF477" s="666"/>
    </row>
    <row r="478" spans="3:32" s="65" customFormat="1" ht="11.25">
      <c r="C478" s="747" t="s">
        <v>3865</v>
      </c>
      <c r="D478" s="748"/>
      <c r="E478" s="748"/>
      <c r="F478" s="748"/>
      <c r="G478" s="748"/>
      <c r="H478" s="748"/>
      <c r="I478" s="748"/>
      <c r="J478" s="748"/>
      <c r="K478" s="748"/>
      <c r="L478" s="698"/>
      <c r="M478" s="698"/>
      <c r="AE478" s="666"/>
      <c r="AF478" s="666"/>
    </row>
    <row r="479" spans="3:32" s="65" customFormat="1" ht="11.25">
      <c r="C479" s="747"/>
      <c r="D479" s="747"/>
      <c r="E479" s="747"/>
      <c r="F479" s="747"/>
      <c r="G479" s="747"/>
      <c r="H479" s="747"/>
      <c r="I479" s="747"/>
      <c r="J479" s="747"/>
      <c r="K479" s="747"/>
      <c r="AE479" s="666"/>
      <c r="AF479" s="666"/>
    </row>
    <row r="480" spans="3:32" s="65" customFormat="1" ht="11.25">
      <c r="C480" s="754" t="s">
        <v>1415</v>
      </c>
      <c r="D480" s="747"/>
      <c r="E480" s="747"/>
      <c r="F480" s="747"/>
      <c r="G480" s="747"/>
      <c r="H480" s="747"/>
      <c r="I480" s="747"/>
      <c r="J480" s="747"/>
      <c r="K480" s="747"/>
      <c r="AE480" s="666"/>
      <c r="AF480" s="666"/>
    </row>
    <row r="481" spans="3:32" s="65" customFormat="1" ht="11.25">
      <c r="C481" s="747" t="s">
        <v>2705</v>
      </c>
      <c r="D481" s="747"/>
      <c r="E481" s="747"/>
      <c r="F481" s="747"/>
      <c r="G481" s="747"/>
      <c r="H481" s="747"/>
      <c r="I481" s="747"/>
      <c r="J481" s="747"/>
      <c r="K481" s="747"/>
      <c r="AE481" s="666"/>
      <c r="AF481" s="666"/>
    </row>
    <row r="482" spans="3:32" s="65" customFormat="1" ht="11.25">
      <c r="C482" s="752" t="s">
        <v>1702</v>
      </c>
      <c r="D482" s="747"/>
      <c r="E482" s="747"/>
      <c r="F482" s="747"/>
      <c r="G482" s="747"/>
      <c r="H482" s="747"/>
      <c r="I482" s="747"/>
      <c r="J482" s="747"/>
      <c r="K482" s="747"/>
      <c r="AE482" s="666"/>
      <c r="AF482" s="666"/>
    </row>
    <row r="483" spans="3:32" s="65" customFormat="1" ht="11.25">
      <c r="C483" s="752" t="s">
        <v>3033</v>
      </c>
      <c r="D483" s="747"/>
      <c r="E483" s="747"/>
      <c r="F483" s="747"/>
      <c r="G483" s="747"/>
      <c r="H483" s="747"/>
      <c r="I483" s="747"/>
      <c r="J483" s="747"/>
      <c r="K483" s="747"/>
      <c r="L483" s="48"/>
      <c r="AE483" s="666"/>
      <c r="AF483" s="666"/>
    </row>
    <row r="484" spans="3:32" s="65" customFormat="1" ht="11.25">
      <c r="C484" s="752" t="s">
        <v>3034</v>
      </c>
      <c r="D484" s="747"/>
      <c r="E484" s="747"/>
      <c r="F484" s="747"/>
      <c r="G484" s="747"/>
      <c r="H484" s="747"/>
      <c r="I484" s="747"/>
      <c r="J484" s="747"/>
      <c r="K484" s="747"/>
      <c r="L484" s="48"/>
      <c r="AE484" s="666"/>
      <c r="AF484" s="666"/>
    </row>
    <row r="485" spans="3:32" s="65" customFormat="1" ht="11.25">
      <c r="C485" s="752" t="s">
        <v>1104</v>
      </c>
      <c r="D485" s="747"/>
      <c r="E485" s="747"/>
      <c r="F485" s="747"/>
      <c r="G485" s="747"/>
      <c r="H485" s="747"/>
      <c r="I485" s="747"/>
      <c r="J485" s="747"/>
      <c r="K485" s="747"/>
      <c r="L485" s="48"/>
      <c r="AE485" s="666"/>
      <c r="AF485" s="666"/>
    </row>
    <row r="486" spans="3:32" s="65" customFormat="1" ht="11.25">
      <c r="C486" s="752" t="s">
        <v>3909</v>
      </c>
      <c r="D486" s="747"/>
      <c r="E486" s="747"/>
      <c r="F486" s="747"/>
      <c r="G486" s="747"/>
      <c r="H486" s="747"/>
      <c r="I486" s="747"/>
      <c r="J486" s="747"/>
      <c r="K486" s="747"/>
      <c r="L486" s="48"/>
      <c r="AE486" s="666"/>
      <c r="AF486" s="666"/>
    </row>
    <row r="487" spans="3:32" s="65" customFormat="1" ht="11.25">
      <c r="C487" s="755" t="s">
        <v>3997</v>
      </c>
      <c r="D487" s="747"/>
      <c r="E487" s="747"/>
      <c r="F487" s="747"/>
      <c r="G487" s="747"/>
      <c r="H487" s="747"/>
      <c r="I487" s="747"/>
      <c r="J487" s="747"/>
      <c r="K487" s="747"/>
      <c r="L487" s="48"/>
      <c r="AE487" s="666"/>
      <c r="AF487" s="666"/>
    </row>
    <row r="488" spans="3:32" s="65" customFormat="1" ht="11.25">
      <c r="C488" s="755" t="s">
        <v>1298</v>
      </c>
      <c r="D488" s="747"/>
      <c r="E488" s="747"/>
      <c r="F488" s="747"/>
      <c r="G488" s="747"/>
      <c r="H488" s="747"/>
      <c r="I488" s="747"/>
      <c r="J488" s="747"/>
      <c r="K488" s="747"/>
      <c r="AE488" s="666"/>
      <c r="AF488" s="666"/>
    </row>
    <row r="489" spans="3:32" s="65" customFormat="1" ht="11.25">
      <c r="C489" s="752" t="s">
        <v>2636</v>
      </c>
      <c r="D489" s="747"/>
      <c r="E489" s="747"/>
      <c r="F489" s="747"/>
      <c r="G489" s="747"/>
      <c r="H489" s="747"/>
      <c r="I489" s="747"/>
      <c r="J489" s="747"/>
      <c r="K489" s="747"/>
      <c r="L489" s="48"/>
      <c r="AE489" s="666"/>
      <c r="AF489" s="666"/>
    </row>
    <row r="490" spans="3:32" s="65" customFormat="1" ht="11.25">
      <c r="C490" s="755" t="s">
        <v>3998</v>
      </c>
      <c r="D490" s="747"/>
      <c r="E490" s="747"/>
      <c r="F490" s="747"/>
      <c r="G490" s="747"/>
      <c r="H490" s="747"/>
      <c r="I490" s="747"/>
      <c r="J490" s="747"/>
      <c r="K490" s="747"/>
      <c r="L490" s="48"/>
      <c r="AE490" s="666"/>
      <c r="AF490" s="666"/>
    </row>
    <row r="491" spans="3:32" s="65" customFormat="1" ht="11.25">
      <c r="C491" s="755" t="s">
        <v>3909</v>
      </c>
      <c r="D491" s="747"/>
      <c r="E491" s="747"/>
      <c r="F491" s="747"/>
      <c r="G491" s="747"/>
      <c r="H491" s="747"/>
      <c r="I491" s="747"/>
      <c r="J491" s="747"/>
      <c r="K491" s="747"/>
      <c r="L491" s="48"/>
      <c r="AE491" s="666"/>
      <c r="AF491" s="666"/>
    </row>
    <row r="492" spans="3:32" s="65" customFormat="1" ht="11.25">
      <c r="C492" s="755" t="s">
        <v>3910</v>
      </c>
      <c r="D492" s="747"/>
      <c r="E492" s="747"/>
      <c r="F492" s="747"/>
      <c r="G492" s="747"/>
      <c r="H492" s="747"/>
      <c r="I492" s="747"/>
      <c r="J492" s="747"/>
      <c r="K492" s="747"/>
      <c r="L492" s="48"/>
      <c r="AE492" s="666"/>
      <c r="AF492" s="666"/>
    </row>
    <row r="493" spans="3:32" s="65" customFormat="1" ht="11.25">
      <c r="C493" s="755" t="s">
        <v>252</v>
      </c>
      <c r="D493" s="747"/>
      <c r="E493" s="747"/>
      <c r="F493" s="747"/>
      <c r="G493" s="747"/>
      <c r="H493" s="747"/>
      <c r="I493" s="747"/>
      <c r="J493" s="747"/>
      <c r="K493" s="747"/>
      <c r="AE493" s="666"/>
      <c r="AF493" s="666"/>
    </row>
    <row r="494" spans="3:32" s="65" customFormat="1" ht="11.25">
      <c r="C494" s="752" t="s">
        <v>1179</v>
      </c>
      <c r="D494" s="747"/>
      <c r="E494" s="747"/>
      <c r="F494" s="747"/>
      <c r="G494" s="747"/>
      <c r="H494" s="747"/>
      <c r="I494" s="747"/>
      <c r="J494" s="747"/>
      <c r="K494" s="747"/>
      <c r="L494" s="48"/>
      <c r="AE494" s="666"/>
      <c r="AF494" s="666"/>
    </row>
    <row r="495" spans="3:32" s="65" customFormat="1" ht="11.25">
      <c r="C495" s="755" t="s">
        <v>253</v>
      </c>
      <c r="D495" s="747"/>
      <c r="E495" s="747"/>
      <c r="F495" s="747"/>
      <c r="G495" s="747"/>
      <c r="H495" s="747"/>
      <c r="I495" s="747"/>
      <c r="J495" s="747"/>
      <c r="K495" s="747"/>
      <c r="L495" s="48"/>
      <c r="AE495" s="666"/>
      <c r="AF495" s="666"/>
    </row>
    <row r="496" spans="3:32" s="65" customFormat="1" ht="11.25">
      <c r="C496" s="755" t="s">
        <v>2216</v>
      </c>
      <c r="D496" s="747"/>
      <c r="E496" s="747"/>
      <c r="F496" s="747"/>
      <c r="G496" s="747"/>
      <c r="H496" s="747"/>
      <c r="I496" s="747"/>
      <c r="J496" s="747"/>
      <c r="K496" s="747"/>
      <c r="L496" s="48"/>
      <c r="AE496" s="666"/>
      <c r="AF496" s="666"/>
    </row>
    <row r="497" spans="3:32" s="65" customFormat="1" ht="11.25">
      <c r="C497" s="755" t="s">
        <v>1859</v>
      </c>
      <c r="D497" s="747"/>
      <c r="E497" s="747"/>
      <c r="F497" s="747"/>
      <c r="G497" s="747"/>
      <c r="H497" s="747"/>
      <c r="I497" s="747"/>
      <c r="J497" s="747"/>
      <c r="K497" s="756" t="s">
        <v>3484</v>
      </c>
      <c r="L497" s="48"/>
      <c r="AE497" s="666"/>
      <c r="AF497" s="666"/>
    </row>
    <row r="498" spans="3:32" s="65" customFormat="1" ht="11.25">
      <c r="C498" s="755" t="s">
        <v>254</v>
      </c>
      <c r="D498" s="747"/>
      <c r="E498" s="747"/>
      <c r="F498" s="747"/>
      <c r="G498" s="747"/>
      <c r="H498" s="747"/>
      <c r="I498" s="747"/>
      <c r="J498" s="747"/>
      <c r="K498" s="747" t="s">
        <v>2439</v>
      </c>
      <c r="L498" s="48"/>
      <c r="AE498" s="666"/>
      <c r="AF498" s="666"/>
    </row>
    <row r="499" spans="3:32" s="65" customFormat="1" ht="11.25">
      <c r="C499" s="755" t="s">
        <v>255</v>
      </c>
      <c r="D499" s="747"/>
      <c r="E499" s="747"/>
      <c r="F499" s="747"/>
      <c r="G499" s="747"/>
      <c r="H499" s="747"/>
      <c r="I499" s="747"/>
      <c r="J499" s="747"/>
      <c r="K499" s="747" t="s">
        <v>291</v>
      </c>
      <c r="AE499" s="666"/>
      <c r="AF499" s="666"/>
    </row>
    <row r="500" spans="3:32" s="65" customFormat="1" ht="11.25">
      <c r="C500" s="752" t="s">
        <v>2377</v>
      </c>
      <c r="D500" s="747"/>
      <c r="E500" s="747"/>
      <c r="F500" s="747"/>
      <c r="G500" s="747"/>
      <c r="H500" s="747"/>
      <c r="I500" s="747"/>
      <c r="J500" s="747"/>
      <c r="K500" s="747" t="s">
        <v>292</v>
      </c>
      <c r="AE500" s="666"/>
      <c r="AF500" s="666"/>
    </row>
    <row r="501" spans="3:32" s="65" customFormat="1" ht="11.25">
      <c r="C501" s="747"/>
      <c r="D501" s="747"/>
      <c r="E501" s="747"/>
      <c r="F501" s="747"/>
      <c r="G501" s="747"/>
      <c r="H501" s="747"/>
      <c r="I501" s="747"/>
      <c r="J501" s="747"/>
      <c r="K501" s="747"/>
      <c r="AE501" s="666"/>
      <c r="AF501" s="666"/>
    </row>
    <row r="502" spans="3:32" s="65" customFormat="1" ht="11.25">
      <c r="C502" s="754" t="s">
        <v>3786</v>
      </c>
      <c r="D502" s="747"/>
      <c r="E502" s="747"/>
      <c r="F502" s="747"/>
      <c r="G502" s="747"/>
      <c r="H502" s="747"/>
      <c r="I502" s="747"/>
      <c r="J502" s="747"/>
      <c r="K502" s="756" t="s">
        <v>997</v>
      </c>
      <c r="AE502" s="666"/>
      <c r="AF502" s="666"/>
    </row>
    <row r="503" spans="3:32" s="65" customFormat="1" ht="11.25">
      <c r="C503" s="747" t="s">
        <v>2440</v>
      </c>
      <c r="D503" s="747"/>
      <c r="E503" s="747"/>
      <c r="F503" s="747"/>
      <c r="G503" s="747"/>
      <c r="H503" s="747"/>
      <c r="I503" s="747"/>
      <c r="J503" s="747"/>
      <c r="K503" s="747" t="s">
        <v>766</v>
      </c>
      <c r="AE503" s="666"/>
      <c r="AF503" s="666"/>
    </row>
    <row r="504" spans="3:32" s="65" customFormat="1" ht="11.25">
      <c r="C504" s="747" t="s">
        <v>3905</v>
      </c>
      <c r="D504" s="747"/>
      <c r="E504" s="747"/>
      <c r="F504" s="747"/>
      <c r="G504" s="747"/>
      <c r="H504" s="747"/>
      <c r="I504" s="747"/>
      <c r="J504" s="747"/>
      <c r="K504" s="747" t="s">
        <v>2045</v>
      </c>
      <c r="AE504" s="666"/>
      <c r="AF504" s="666"/>
    </row>
    <row r="505" spans="3:32" s="65" customFormat="1" ht="11.25">
      <c r="C505" s="747" t="s">
        <v>1926</v>
      </c>
      <c r="D505" s="747"/>
      <c r="E505" s="747"/>
      <c r="F505" s="747"/>
      <c r="G505" s="747"/>
      <c r="H505" s="747"/>
      <c r="I505" s="747"/>
      <c r="J505" s="747"/>
      <c r="K505" s="747" t="s">
        <v>2390</v>
      </c>
      <c r="AE505" s="666"/>
      <c r="AF505" s="666"/>
    </row>
    <row r="506" spans="3:32" s="65" customFormat="1" ht="11.25">
      <c r="C506" s="747" t="s">
        <v>1088</v>
      </c>
      <c r="D506" s="747"/>
      <c r="E506" s="747"/>
      <c r="F506" s="747"/>
      <c r="G506" s="747"/>
      <c r="H506" s="747"/>
      <c r="I506" s="747"/>
      <c r="J506" s="747"/>
      <c r="K506" s="747" t="s">
        <v>2496</v>
      </c>
      <c r="AE506" s="666"/>
      <c r="AF506" s="666"/>
    </row>
    <row r="507" spans="3:32" s="65" customFormat="1" ht="11.25">
      <c r="C507" s="747" t="s">
        <v>3904</v>
      </c>
      <c r="D507" s="747"/>
      <c r="E507" s="747"/>
      <c r="F507" s="747"/>
      <c r="G507" s="747"/>
      <c r="H507" s="747"/>
      <c r="I507" s="747"/>
      <c r="J507" s="747"/>
      <c r="K507" s="747" t="s">
        <v>293</v>
      </c>
      <c r="AE507" s="666"/>
      <c r="AF507" s="666"/>
    </row>
    <row r="508" spans="3:32" s="65" customFormat="1" ht="11.25">
      <c r="C508" s="747"/>
      <c r="D508" s="747"/>
      <c r="E508" s="747"/>
      <c r="F508" s="747"/>
      <c r="G508" s="747"/>
      <c r="H508" s="747"/>
      <c r="I508" s="747"/>
      <c r="J508" s="747"/>
      <c r="K508" s="756" t="s">
        <v>1242</v>
      </c>
      <c r="AE508" s="666"/>
      <c r="AF508" s="666"/>
    </row>
    <row r="509" spans="3:32" s="65" customFormat="1" ht="11.25">
      <c r="C509" s="747"/>
      <c r="D509" s="747"/>
      <c r="E509" s="747"/>
      <c r="F509" s="747"/>
      <c r="G509" s="747"/>
      <c r="H509" s="747"/>
      <c r="I509" s="747"/>
      <c r="J509" s="747"/>
      <c r="K509" s="747" t="s">
        <v>2438</v>
      </c>
      <c r="AE509" s="666"/>
      <c r="AF509" s="666"/>
    </row>
    <row r="510" spans="3:32" s="65" customFormat="1" ht="11.25">
      <c r="C510" s="747"/>
      <c r="D510" s="747"/>
      <c r="E510" s="747"/>
      <c r="F510" s="747"/>
      <c r="G510" s="747"/>
      <c r="H510" s="747"/>
      <c r="I510" s="747"/>
      <c r="J510" s="747"/>
      <c r="K510" s="747" t="s">
        <v>1513</v>
      </c>
      <c r="AE510" s="666"/>
      <c r="AF510" s="666"/>
    </row>
    <row r="511" spans="3:32" s="65" customFormat="1" ht="11.25">
      <c r="C511" s="747"/>
      <c r="D511" s="747"/>
      <c r="E511" s="747"/>
      <c r="F511" s="747"/>
      <c r="G511" s="747"/>
      <c r="H511" s="747"/>
      <c r="I511" s="747"/>
      <c r="J511" s="747"/>
      <c r="K511" s="747" t="s">
        <v>2391</v>
      </c>
      <c r="AE511" s="666"/>
      <c r="AF511" s="666"/>
    </row>
    <row r="512" spans="3:32" s="65" customFormat="1" ht="11.25">
      <c r="C512" s="747"/>
      <c r="D512" s="747"/>
      <c r="E512" s="747"/>
      <c r="F512" s="747"/>
      <c r="G512" s="747"/>
      <c r="H512" s="747"/>
      <c r="I512" s="747"/>
      <c r="J512" s="747"/>
      <c r="K512" s="747" t="s">
        <v>1514</v>
      </c>
      <c r="AE512" s="666"/>
      <c r="AF512" s="666"/>
    </row>
    <row r="513" spans="3:32" s="65" customFormat="1" ht="11.25">
      <c r="C513" s="747"/>
      <c r="D513" s="747"/>
      <c r="E513" s="747"/>
      <c r="F513" s="747"/>
      <c r="G513" s="747"/>
      <c r="H513" s="747"/>
      <c r="I513" s="747"/>
      <c r="J513" s="747"/>
      <c r="K513" s="747" t="s">
        <v>623</v>
      </c>
      <c r="AE513" s="666"/>
      <c r="AF513" s="666"/>
    </row>
    <row r="514" spans="3:32" s="65" customFormat="1" ht="11.25">
      <c r="C514" s="747"/>
      <c r="D514" s="747"/>
      <c r="E514" s="747"/>
      <c r="F514" s="747"/>
      <c r="G514" s="747"/>
      <c r="H514" s="747"/>
      <c r="I514" s="747"/>
      <c r="J514" s="747"/>
      <c r="K514" s="747"/>
      <c r="AE514" s="666"/>
      <c r="AF514" s="666"/>
    </row>
    <row r="515" spans="3:32" s="65" customFormat="1" ht="11.25">
      <c r="C515" s="754" t="s">
        <v>2618</v>
      </c>
      <c r="D515" s="747"/>
      <c r="E515" s="747"/>
      <c r="F515" s="747"/>
      <c r="G515" s="747"/>
      <c r="H515" s="747"/>
      <c r="I515" s="747"/>
      <c r="J515" s="747"/>
      <c r="K515" s="754" t="s">
        <v>2619</v>
      </c>
      <c r="AE515" s="666"/>
      <c r="AF515" s="666"/>
    </row>
    <row r="516" spans="3:32" s="65" customFormat="1" ht="11.25">
      <c r="C516" s="747" t="s">
        <v>2617</v>
      </c>
      <c r="D516" s="747"/>
      <c r="E516" s="747"/>
      <c r="F516" s="747"/>
      <c r="G516" s="747"/>
      <c r="H516" s="747"/>
      <c r="I516" s="747"/>
      <c r="J516" s="747"/>
      <c r="K516" s="747" t="s">
        <v>2617</v>
      </c>
      <c r="AE516" s="666"/>
      <c r="AF516" s="666"/>
    </row>
    <row r="517" spans="3:32" s="65" customFormat="1" ht="11.25">
      <c r="C517" s="747" t="s">
        <v>1064</v>
      </c>
      <c r="D517" s="747"/>
      <c r="E517" s="747"/>
      <c r="F517" s="747"/>
      <c r="G517" s="747"/>
      <c r="H517" s="747"/>
      <c r="I517" s="747"/>
      <c r="J517" s="747"/>
      <c r="K517" s="747" t="s">
        <v>3866</v>
      </c>
      <c r="AE517" s="666"/>
      <c r="AF517" s="666"/>
    </row>
    <row r="518" spans="3:32" s="65" customFormat="1" ht="11.25">
      <c r="C518" s="747" t="s">
        <v>548</v>
      </c>
      <c r="D518" s="747"/>
      <c r="E518" s="747"/>
      <c r="F518" s="747"/>
      <c r="G518" s="747"/>
      <c r="H518" s="747"/>
      <c r="I518" s="747"/>
      <c r="J518" s="747"/>
      <c r="K518" s="747" t="s">
        <v>3434</v>
      </c>
      <c r="AE518" s="666"/>
      <c r="AF518" s="666"/>
    </row>
    <row r="519" spans="3:32" s="65" customFormat="1" ht="11.25">
      <c r="C519" s="747" t="s">
        <v>1065</v>
      </c>
      <c r="D519" s="747"/>
      <c r="E519" s="747"/>
      <c r="F519" s="747"/>
      <c r="G519" s="747"/>
      <c r="H519" s="747"/>
      <c r="I519" s="747"/>
      <c r="J519" s="747"/>
      <c r="K519" s="747" t="s">
        <v>486</v>
      </c>
      <c r="AE519" s="666"/>
      <c r="AF519" s="666"/>
    </row>
    <row r="520" spans="3:32" s="65" customFormat="1" ht="11.25">
      <c r="C520" s="747" t="s">
        <v>1243</v>
      </c>
      <c r="D520" s="747"/>
      <c r="E520" s="747"/>
      <c r="F520" s="747"/>
      <c r="G520" s="747"/>
      <c r="H520" s="747"/>
      <c r="I520" s="747"/>
      <c r="J520" s="747"/>
      <c r="K520" s="747" t="s">
        <v>1252</v>
      </c>
      <c r="AE520" s="666"/>
      <c r="AF520" s="666"/>
    </row>
    <row r="521" spans="3:32" s="65" customFormat="1" ht="11.25">
      <c r="C521" s="747" t="s">
        <v>3273</v>
      </c>
      <c r="D521" s="747"/>
      <c r="E521" s="747"/>
      <c r="F521" s="747"/>
      <c r="G521" s="747"/>
      <c r="H521" s="747"/>
      <c r="I521" s="747"/>
      <c r="J521" s="747"/>
      <c r="K521" s="747" t="s">
        <v>488</v>
      </c>
      <c r="AE521" s="666"/>
      <c r="AF521" s="666"/>
    </row>
    <row r="522" spans="3:32" s="65" customFormat="1" ht="11.25">
      <c r="C522" s="747" t="s">
        <v>908</v>
      </c>
      <c r="D522" s="747"/>
      <c r="E522" s="747"/>
      <c r="F522" s="747"/>
      <c r="G522" s="747"/>
      <c r="H522" s="747"/>
      <c r="I522" s="747"/>
      <c r="J522" s="747"/>
      <c r="K522" s="747" t="s">
        <v>4109</v>
      </c>
      <c r="AE522" s="666"/>
      <c r="AF522" s="666"/>
    </row>
    <row r="523" spans="3:32" s="65" customFormat="1" ht="11.25">
      <c r="C523" s="750" t="s">
        <v>4110</v>
      </c>
      <c r="D523" s="747"/>
      <c r="E523" s="747"/>
      <c r="F523" s="747"/>
      <c r="G523" s="747"/>
      <c r="H523" s="747"/>
      <c r="I523" s="747"/>
      <c r="J523" s="747"/>
      <c r="K523" s="747" t="s">
        <v>1457</v>
      </c>
      <c r="AE523" s="666"/>
      <c r="AF523" s="666"/>
    </row>
    <row r="524" spans="3:32" s="65" customFormat="1" ht="11.25">
      <c r="C524" s="747"/>
      <c r="D524" s="747"/>
      <c r="E524" s="747"/>
      <c r="F524" s="747"/>
      <c r="G524" s="747"/>
      <c r="H524" s="747"/>
      <c r="I524" s="747"/>
      <c r="J524" s="747"/>
      <c r="K524" s="747" t="s">
        <v>489</v>
      </c>
      <c r="AE524" s="666"/>
      <c r="AF524" s="666"/>
    </row>
    <row r="525" spans="3:32" s="65" customFormat="1" ht="11.25">
      <c r="C525" s="747"/>
      <c r="D525" s="747"/>
      <c r="E525" s="747"/>
      <c r="F525" s="747"/>
      <c r="G525" s="747"/>
      <c r="H525" s="747"/>
      <c r="I525" s="747"/>
      <c r="J525" s="747"/>
      <c r="K525" s="747" t="s">
        <v>2427</v>
      </c>
      <c r="AE525" s="666"/>
      <c r="AF525" s="666"/>
    </row>
    <row r="526" spans="3:32" s="65" customFormat="1" ht="11.25">
      <c r="C526" s="747"/>
      <c r="D526" s="747"/>
      <c r="E526" s="747"/>
      <c r="F526" s="747"/>
      <c r="G526" s="747"/>
      <c r="H526" s="747"/>
      <c r="I526" s="747"/>
      <c r="J526" s="747"/>
      <c r="K526" s="747" t="s">
        <v>1292</v>
      </c>
      <c r="AE526" s="666"/>
      <c r="AF526" s="666"/>
    </row>
    <row r="527" spans="3:32" s="65" customFormat="1" ht="11.25">
      <c r="C527" s="747"/>
      <c r="D527" s="747"/>
      <c r="E527" s="747"/>
      <c r="F527" s="747"/>
      <c r="G527" s="747"/>
      <c r="H527" s="747"/>
      <c r="I527" s="747"/>
      <c r="J527" s="747"/>
      <c r="K527" s="747" t="s">
        <v>3272</v>
      </c>
      <c r="AE527" s="666"/>
      <c r="AF527" s="666"/>
    </row>
    <row r="528" spans="3:32" s="65" customFormat="1" ht="11.25">
      <c r="C528" s="747"/>
      <c r="D528" s="747"/>
      <c r="E528" s="747"/>
      <c r="F528" s="747"/>
      <c r="G528" s="747"/>
      <c r="H528" s="747"/>
      <c r="I528" s="747"/>
      <c r="J528" s="747"/>
      <c r="K528" s="747" t="s">
        <v>1293</v>
      </c>
      <c r="AE528" s="666"/>
      <c r="AF528" s="666"/>
    </row>
    <row r="529" spans="1:32" s="65" customFormat="1" ht="11.25">
      <c r="C529" s="747"/>
      <c r="D529" s="747"/>
      <c r="E529" s="747"/>
      <c r="F529" s="747"/>
      <c r="G529" s="747"/>
      <c r="H529" s="747"/>
      <c r="I529" s="747"/>
      <c r="J529" s="747"/>
      <c r="K529" s="747" t="s">
        <v>3274</v>
      </c>
      <c r="AE529" s="666"/>
      <c r="AF529" s="666"/>
    </row>
    <row r="530" spans="1:32" s="65" customFormat="1" ht="11.25">
      <c r="C530" s="747"/>
      <c r="D530" s="747"/>
      <c r="E530" s="747"/>
      <c r="F530" s="747"/>
      <c r="G530" s="747"/>
      <c r="H530" s="747"/>
      <c r="I530" s="747"/>
      <c r="J530" s="747"/>
      <c r="K530" s="747" t="s">
        <v>3865</v>
      </c>
      <c r="AE530" s="666"/>
      <c r="AF530" s="666"/>
    </row>
    <row r="531" spans="1:32" s="65" customFormat="1" ht="11.25">
      <c r="C531" s="747"/>
      <c r="D531" s="747"/>
      <c r="E531" s="747"/>
      <c r="F531" s="747"/>
      <c r="G531" s="747"/>
      <c r="H531" s="747"/>
      <c r="I531" s="747"/>
      <c r="J531" s="747"/>
      <c r="K531" s="747"/>
      <c r="AE531" s="666"/>
      <c r="AF531" s="666"/>
    </row>
    <row r="532" spans="1:32" s="65" customFormat="1" ht="11.25">
      <c r="C532" s="747"/>
      <c r="D532" s="757" t="s">
        <v>1117</v>
      </c>
      <c r="E532" s="747"/>
      <c r="F532" s="747"/>
      <c r="G532" s="747"/>
      <c r="H532" s="747"/>
      <c r="I532" s="747"/>
      <c r="J532" s="747"/>
      <c r="K532" s="747"/>
      <c r="AE532" s="666"/>
      <c r="AF532" s="666"/>
    </row>
    <row r="533" spans="1:32" s="65" customFormat="1" ht="11.25">
      <c r="C533" s="747"/>
      <c r="D533" s="747"/>
      <c r="E533" s="747"/>
      <c r="F533" s="747"/>
      <c r="G533" s="747"/>
      <c r="H533" s="747"/>
      <c r="I533" s="747"/>
      <c r="J533" s="747"/>
      <c r="K533" s="747"/>
      <c r="AE533" s="666"/>
      <c r="AF533" s="666"/>
    </row>
    <row r="534" spans="1:32" s="199" customFormat="1">
      <c r="C534" s="758"/>
      <c r="D534" s="758"/>
      <c r="E534" s="758"/>
      <c r="F534" s="758"/>
      <c r="G534" s="758"/>
      <c r="H534" s="758"/>
      <c r="I534" s="758"/>
      <c r="J534" s="758"/>
      <c r="K534" s="758"/>
      <c r="AE534" s="808"/>
      <c r="AF534" s="808"/>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3"/>
  <sheetViews>
    <sheetView showGridLines="0" zoomScale="125"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42578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93" t="str">
        <f>CONCATENATE("PART NINE - SCORING CRITERIA","  -  ",'Part I-Project Information'!$O$4," ",'Part I-Project Information'!$F$22,", ",'Part I-Project Information'!F24,", ",'Part I-Project Information'!J25," County")</f>
        <v>PART NINE - SCORING CRITERIA  -  2012-042 Adair Court, Atlanta, Fulton County</v>
      </c>
      <c r="B1" s="994"/>
      <c r="C1" s="994"/>
      <c r="D1" s="994"/>
      <c r="E1" s="994"/>
      <c r="F1" s="994"/>
      <c r="G1" s="994"/>
      <c r="H1" s="994"/>
      <c r="I1" s="994"/>
      <c r="J1" s="994"/>
      <c r="K1" s="994"/>
      <c r="L1" s="994"/>
      <c r="M1" s="994"/>
      <c r="N1" s="994"/>
      <c r="O1" s="994"/>
      <c r="P1" s="995"/>
    </row>
    <row r="2" spans="1:19" s="43" customFormat="1" ht="4.3499999999999996"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953</v>
      </c>
      <c r="N3" s="90"/>
      <c r="O3" s="111" t="s">
        <v>952</v>
      </c>
      <c r="P3" s="245" t="s">
        <v>3790</v>
      </c>
    </row>
    <row r="4" spans="1:19" s="52" customFormat="1" ht="12.6" customHeight="1">
      <c r="A4" s="50"/>
      <c r="B4" s="50"/>
      <c r="C4" s="50"/>
      <c r="D4" s="50"/>
      <c r="E4" s="50"/>
      <c r="F4" s="50"/>
      <c r="G4" s="50"/>
      <c r="H4" s="50"/>
      <c r="I4" s="50"/>
      <c r="J4" s="50"/>
      <c r="K4" s="50"/>
      <c r="M4" s="247" t="s">
        <v>4060</v>
      </c>
      <c r="N4" s="113"/>
      <c r="O4" s="246" t="s">
        <v>953</v>
      </c>
      <c r="P4" s="112" t="s">
        <v>953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2287</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1154</v>
      </c>
      <c r="B8" s="145" t="s">
        <v>2535</v>
      </c>
      <c r="C8" s="5"/>
      <c r="D8" s="5"/>
      <c r="E8" s="5"/>
      <c r="F8" s="11"/>
      <c r="H8" s="57" t="s">
        <v>1691</v>
      </c>
      <c r="M8" s="3">
        <v>10</v>
      </c>
      <c r="N8" s="146"/>
      <c r="O8" s="77">
        <f>MIN($M8, $M8-O10-O11-O12)</f>
        <v>10</v>
      </c>
      <c r="P8" s="77">
        <f>MIN($M8, $M8-P10-P11-P12)</f>
        <v>10</v>
      </c>
      <c r="Q8" s="148" t="s">
        <v>3548</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1150</v>
      </c>
      <c r="B10" s="236" t="s">
        <v>1393</v>
      </c>
      <c r="D10" s="56"/>
      <c r="E10" s="56"/>
      <c r="F10" s="822" t="s">
        <v>416</v>
      </c>
      <c r="G10" s="38">
        <f>F16</f>
        <v>0</v>
      </c>
      <c r="H10" s="244" t="s">
        <v>3779</v>
      </c>
      <c r="M10" s="7">
        <v>7</v>
      </c>
      <c r="N10" s="78" t="s">
        <v>1150</v>
      </c>
      <c r="O10" s="1623"/>
      <c r="P10" s="66"/>
    </row>
    <row r="11" spans="1:19" s="50" customFormat="1" ht="11.25" customHeight="1">
      <c r="A11" s="255" t="s">
        <v>1153</v>
      </c>
      <c r="B11" s="236" t="s">
        <v>2996</v>
      </c>
      <c r="D11" s="56"/>
      <c r="E11" s="56"/>
      <c r="F11" s="822" t="s">
        <v>416</v>
      </c>
      <c r="G11" s="38">
        <f>K16</f>
        <v>0</v>
      </c>
      <c r="H11" s="244" t="s">
        <v>3658</v>
      </c>
      <c r="J11" s="57"/>
      <c r="M11" s="7">
        <v>0</v>
      </c>
      <c r="N11" s="78" t="s">
        <v>1153</v>
      </c>
      <c r="O11" s="1623"/>
      <c r="P11" s="66"/>
      <c r="Q11" s="148"/>
    </row>
    <row r="12" spans="1:19" s="51" customFormat="1" ht="11.25" customHeight="1">
      <c r="A12" s="255" t="s">
        <v>3012</v>
      </c>
      <c r="B12" s="236" t="s">
        <v>1218</v>
      </c>
      <c r="D12" s="56"/>
      <c r="E12" s="56"/>
      <c r="F12" s="822" t="s">
        <v>416</v>
      </c>
      <c r="G12" s="38">
        <f>P16</f>
        <v>0</v>
      </c>
      <c r="H12" s="244" t="s">
        <v>3780</v>
      </c>
      <c r="J12" s="57"/>
      <c r="M12" s="7">
        <v>1</v>
      </c>
      <c r="N12" s="78" t="s">
        <v>3012</v>
      </c>
      <c r="O12" s="1623"/>
      <c r="P12" s="66"/>
    </row>
    <row r="13" spans="1:19" s="50" customFormat="1" ht="11.25" customHeight="1">
      <c r="A13" s="57" t="s">
        <v>3789</v>
      </c>
      <c r="D13" s="56"/>
      <c r="E13" s="56"/>
      <c r="F13" s="56"/>
      <c r="G13" s="56"/>
      <c r="H13" s="44"/>
      <c r="I13" s="44"/>
      <c r="J13" s="44"/>
      <c r="K13" s="44"/>
      <c r="L13" s="51"/>
      <c r="M13" s="54"/>
      <c r="N13" s="74"/>
      <c r="O13" s="4"/>
      <c r="P13" s="854"/>
    </row>
    <row r="14" spans="1:19" s="50" customFormat="1" ht="12.6" customHeight="1">
      <c r="A14" s="1573"/>
      <c r="B14" s="1574"/>
      <c r="C14" s="1574"/>
      <c r="D14" s="1574"/>
      <c r="E14" s="1574"/>
      <c r="F14" s="1574"/>
      <c r="G14" s="1574"/>
      <c r="H14" s="1574"/>
      <c r="I14" s="1574"/>
      <c r="J14" s="1574"/>
      <c r="K14" s="1574"/>
      <c r="L14" s="1574"/>
      <c r="M14" s="1574"/>
      <c r="N14" s="1574"/>
      <c r="O14" s="1574"/>
      <c r="P14" s="1575"/>
      <c r="Q14" s="737" t="s">
        <v>2219</v>
      </c>
      <c r="R14" s="738"/>
    </row>
    <row r="15" spans="1:19" s="50" customFormat="1" ht="11.1" customHeight="1">
      <c r="A15" s="80" t="s">
        <v>1391</v>
      </c>
      <c r="C15" s="126"/>
      <c r="D15" s="126"/>
      <c r="F15" s="180" t="s">
        <v>1474</v>
      </c>
      <c r="K15" s="180" t="s">
        <v>1474</v>
      </c>
      <c r="P15" s="804" t="s">
        <v>1474</v>
      </c>
      <c r="R15" s="739"/>
      <c r="S15" s="215"/>
    </row>
    <row r="16" spans="1:19" s="50" customFormat="1" ht="12" customHeight="1">
      <c r="A16" s="1201" t="s">
        <v>799</v>
      </c>
      <c r="B16" s="1201"/>
      <c r="C16" s="1201"/>
      <c r="D16" s="1201"/>
      <c r="E16" s="79" t="s">
        <v>3393</v>
      </c>
      <c r="F16" s="93">
        <f>SUM(F17:F28)</f>
        <v>0</v>
      </c>
      <c r="G16" s="1202" t="s">
        <v>682</v>
      </c>
      <c r="H16" s="1201"/>
      <c r="I16" s="1201"/>
      <c r="J16" s="79" t="s">
        <v>3393</v>
      </c>
      <c r="K16" s="93">
        <f>SUM(K17:K28)</f>
        <v>0</v>
      </c>
      <c r="L16" s="860" t="s">
        <v>2014</v>
      </c>
      <c r="M16" s="126"/>
      <c r="N16" s="124"/>
      <c r="O16" s="79"/>
      <c r="P16" s="93">
        <f>SUM(P17:P28)</f>
        <v>0</v>
      </c>
      <c r="R16" s="739"/>
      <c r="S16" s="215"/>
    </row>
    <row r="17" spans="1:19" s="50" customFormat="1" ht="24.6" customHeight="1">
      <c r="A17" s="1198">
        <v>1</v>
      </c>
      <c r="B17" s="1199"/>
      <c r="C17" s="1199"/>
      <c r="D17" s="1199"/>
      <c r="E17" s="1200"/>
      <c r="F17" s="308"/>
      <c r="G17" s="1196">
        <v>1</v>
      </c>
      <c r="H17" s="1197"/>
      <c r="I17" s="1197"/>
      <c r="J17" s="1197"/>
      <c r="K17" s="308"/>
      <c r="L17" s="1196">
        <v>1</v>
      </c>
      <c r="M17" s="1197"/>
      <c r="N17" s="1197"/>
      <c r="O17" s="1197"/>
      <c r="P17" s="308"/>
      <c r="Q17" s="737" t="s">
        <v>2219</v>
      </c>
      <c r="R17" s="738"/>
      <c r="S17" s="215"/>
    </row>
    <row r="18" spans="1:19" s="50" customFormat="1" ht="24.6" customHeight="1">
      <c r="A18" s="1188">
        <v>2</v>
      </c>
      <c r="B18" s="1189"/>
      <c r="C18" s="1189"/>
      <c r="D18" s="1189"/>
      <c r="E18" s="1190"/>
      <c r="F18" s="309"/>
      <c r="G18" s="1180">
        <v>2</v>
      </c>
      <c r="H18" s="1181"/>
      <c r="I18" s="1181"/>
      <c r="J18" s="1181"/>
      <c r="K18" s="309"/>
      <c r="L18" s="1180">
        <v>2</v>
      </c>
      <c r="M18" s="1181"/>
      <c r="N18" s="1181"/>
      <c r="O18" s="1181"/>
      <c r="P18" s="309"/>
      <c r="Q18" s="737"/>
      <c r="R18" s="738"/>
      <c r="S18" s="215"/>
    </row>
    <row r="19" spans="1:19" s="50" customFormat="1" ht="24.6" customHeight="1">
      <c r="A19" s="1188">
        <v>3</v>
      </c>
      <c r="B19" s="1189"/>
      <c r="C19" s="1189"/>
      <c r="D19" s="1189"/>
      <c r="E19" s="1190"/>
      <c r="F19" s="309"/>
      <c r="G19" s="1180">
        <v>3</v>
      </c>
      <c r="H19" s="1181"/>
      <c r="I19" s="1181"/>
      <c r="J19" s="1181"/>
      <c r="K19" s="309"/>
      <c r="L19" s="1180">
        <v>3</v>
      </c>
      <c r="M19" s="1181"/>
      <c r="N19" s="1181"/>
      <c r="O19" s="1181"/>
      <c r="P19" s="309"/>
      <c r="Q19" s="737"/>
      <c r="R19" s="738"/>
      <c r="S19" s="215"/>
    </row>
    <row r="20" spans="1:19" s="50" customFormat="1" ht="24.6" customHeight="1">
      <c r="A20" s="1188">
        <v>4</v>
      </c>
      <c r="B20" s="1189"/>
      <c r="C20" s="1189"/>
      <c r="D20" s="1189"/>
      <c r="E20" s="1190"/>
      <c r="F20" s="309"/>
      <c r="G20" s="1180">
        <v>4</v>
      </c>
      <c r="H20" s="1181"/>
      <c r="I20" s="1181"/>
      <c r="J20" s="1181"/>
      <c r="K20" s="309"/>
      <c r="L20" s="1180">
        <v>4</v>
      </c>
      <c r="M20" s="1181"/>
      <c r="N20" s="1181"/>
      <c r="O20" s="1181"/>
      <c r="P20" s="309"/>
      <c r="Q20" s="737"/>
      <c r="R20" s="738"/>
      <c r="S20" s="215"/>
    </row>
    <row r="21" spans="1:19" s="50" customFormat="1" ht="24.6" customHeight="1">
      <c r="A21" s="1188">
        <v>5</v>
      </c>
      <c r="B21" s="1189"/>
      <c r="C21" s="1189"/>
      <c r="D21" s="1189"/>
      <c r="E21" s="1190"/>
      <c r="F21" s="309"/>
      <c r="G21" s="1180">
        <v>5</v>
      </c>
      <c r="H21" s="1181"/>
      <c r="I21" s="1181"/>
      <c r="J21" s="1181"/>
      <c r="K21" s="309"/>
      <c r="L21" s="1180">
        <v>5</v>
      </c>
      <c r="M21" s="1181"/>
      <c r="N21" s="1181"/>
      <c r="O21" s="1181"/>
      <c r="P21" s="309"/>
      <c r="R21" s="215"/>
      <c r="S21" s="215"/>
    </row>
    <row r="22" spans="1:19" s="50" customFormat="1" ht="24.6" customHeight="1">
      <c r="A22" s="1188">
        <v>6</v>
      </c>
      <c r="B22" s="1189"/>
      <c r="C22" s="1189"/>
      <c r="D22" s="1189"/>
      <c r="E22" s="1190"/>
      <c r="F22" s="309"/>
      <c r="G22" s="1180">
        <v>6</v>
      </c>
      <c r="H22" s="1181"/>
      <c r="I22" s="1181"/>
      <c r="J22" s="1181"/>
      <c r="K22" s="309"/>
      <c r="L22" s="1180">
        <v>6</v>
      </c>
      <c r="M22" s="1181"/>
      <c r="N22" s="1181"/>
      <c r="O22" s="1181"/>
      <c r="P22" s="309"/>
      <c r="R22" s="215"/>
      <c r="S22" s="215"/>
    </row>
    <row r="23" spans="1:19" s="50" customFormat="1" ht="24.6" customHeight="1">
      <c r="A23" s="1188">
        <v>7</v>
      </c>
      <c r="B23" s="1189"/>
      <c r="C23" s="1189"/>
      <c r="D23" s="1189"/>
      <c r="E23" s="1190"/>
      <c r="F23" s="309"/>
      <c r="G23" s="1180">
        <v>7</v>
      </c>
      <c r="H23" s="1181"/>
      <c r="I23" s="1181"/>
      <c r="J23" s="1181"/>
      <c r="K23" s="309"/>
      <c r="L23" s="1180">
        <v>7</v>
      </c>
      <c r="M23" s="1181"/>
      <c r="N23" s="1181"/>
      <c r="O23" s="1181"/>
      <c r="P23" s="309"/>
      <c r="R23" s="215"/>
      <c r="S23" s="215"/>
    </row>
    <row r="24" spans="1:19" s="50" customFormat="1" ht="24.6" customHeight="1">
      <c r="A24" s="1188">
        <v>8</v>
      </c>
      <c r="B24" s="1189"/>
      <c r="C24" s="1189"/>
      <c r="D24" s="1189"/>
      <c r="E24" s="1190"/>
      <c r="F24" s="309"/>
      <c r="G24" s="1180">
        <v>8</v>
      </c>
      <c r="H24" s="1181"/>
      <c r="I24" s="1181"/>
      <c r="J24" s="1181"/>
      <c r="K24" s="309"/>
      <c r="L24" s="1180">
        <v>8</v>
      </c>
      <c r="M24" s="1181"/>
      <c r="N24" s="1181"/>
      <c r="O24" s="1181"/>
      <c r="P24" s="309"/>
      <c r="R24" s="215"/>
      <c r="S24" s="215"/>
    </row>
    <row r="25" spans="1:19" s="50" customFormat="1" ht="24.6" customHeight="1">
      <c r="A25" s="1188">
        <v>9</v>
      </c>
      <c r="B25" s="1189"/>
      <c r="C25" s="1189"/>
      <c r="D25" s="1189"/>
      <c r="E25" s="1190"/>
      <c r="F25" s="309"/>
      <c r="G25" s="1180">
        <v>9</v>
      </c>
      <c r="H25" s="1181"/>
      <c r="I25" s="1181"/>
      <c r="J25" s="1181"/>
      <c r="K25" s="309"/>
      <c r="L25" s="1180">
        <v>9</v>
      </c>
      <c r="M25" s="1181"/>
      <c r="N25" s="1181"/>
      <c r="O25" s="1181"/>
      <c r="P25" s="309"/>
      <c r="R25" s="215"/>
      <c r="S25" s="215"/>
    </row>
    <row r="26" spans="1:19" s="50" customFormat="1" ht="24.6" customHeight="1">
      <c r="A26" s="1188">
        <v>10</v>
      </c>
      <c r="B26" s="1189"/>
      <c r="C26" s="1189"/>
      <c r="D26" s="1189"/>
      <c r="E26" s="1190"/>
      <c r="F26" s="309"/>
      <c r="G26" s="1180">
        <v>10</v>
      </c>
      <c r="H26" s="1181"/>
      <c r="I26" s="1181"/>
      <c r="J26" s="1181"/>
      <c r="K26" s="309"/>
      <c r="L26" s="1180">
        <v>10</v>
      </c>
      <c r="M26" s="1181"/>
      <c r="N26" s="1181"/>
      <c r="O26" s="1181"/>
      <c r="P26" s="309"/>
      <c r="R26" s="215"/>
      <c r="S26" s="215"/>
    </row>
    <row r="27" spans="1:19" s="50" customFormat="1" ht="24.6" customHeight="1">
      <c r="A27" s="1188">
        <v>11</v>
      </c>
      <c r="B27" s="1189"/>
      <c r="C27" s="1189"/>
      <c r="D27" s="1189"/>
      <c r="E27" s="1190"/>
      <c r="F27" s="309"/>
      <c r="G27" s="1180">
        <v>11</v>
      </c>
      <c r="H27" s="1181"/>
      <c r="I27" s="1181"/>
      <c r="J27" s="1181"/>
      <c r="K27" s="309"/>
      <c r="L27" s="1180">
        <v>11</v>
      </c>
      <c r="M27" s="1181"/>
      <c r="N27" s="1181"/>
      <c r="O27" s="1181"/>
      <c r="P27" s="309"/>
      <c r="R27" s="215"/>
      <c r="S27" s="215"/>
    </row>
    <row r="28" spans="1:19" s="50" customFormat="1" ht="24.6" customHeight="1">
      <c r="A28" s="1193">
        <v>12</v>
      </c>
      <c r="B28" s="1194"/>
      <c r="C28" s="1194"/>
      <c r="D28" s="1194"/>
      <c r="E28" s="1195"/>
      <c r="F28" s="310"/>
      <c r="G28" s="1191">
        <v>12</v>
      </c>
      <c r="H28" s="1192"/>
      <c r="I28" s="1192"/>
      <c r="J28" s="1192"/>
      <c r="K28" s="310"/>
      <c r="L28" s="1191">
        <v>12</v>
      </c>
      <c r="M28" s="1192"/>
      <c r="N28" s="1192"/>
      <c r="O28" s="1192"/>
      <c r="P28" s="310"/>
    </row>
    <row r="29" spans="1:19" s="51" customFormat="1" ht="5.0999999999999996" customHeight="1">
      <c r="D29" s="47"/>
      <c r="E29" s="44"/>
      <c r="F29" s="1"/>
      <c r="G29" s="1"/>
      <c r="H29" s="1"/>
      <c r="I29" s="1"/>
      <c r="J29" s="38"/>
      <c r="K29" s="38"/>
      <c r="L29" s="38"/>
      <c r="M29" s="72"/>
      <c r="N29" s="1"/>
      <c r="O29" s="854"/>
      <c r="P29" s="4"/>
    </row>
    <row r="30" spans="1:19" s="51" customFormat="1" ht="12.6" customHeight="1">
      <c r="A30" s="726" t="s">
        <v>1156</v>
      </c>
      <c r="B30" s="152" t="s">
        <v>2620</v>
      </c>
      <c r="E30" s="69"/>
      <c r="G30" s="116"/>
      <c r="H30" s="62"/>
      <c r="K30" s="150"/>
      <c r="L30" s="559" t="str">
        <f>IF($O30&gt;$M30,"* * Check Score! * *","")</f>
        <v/>
      </c>
      <c r="M30" s="1">
        <v>4</v>
      </c>
      <c r="N30" s="8"/>
      <c r="O30" s="204">
        <f>IF($L$32 &gt;= $P$32,$M$32,IF($L$31&gt;=$P$31,$M$31,0))</f>
        <v>3</v>
      </c>
      <c r="P30" s="204">
        <f>IF($L$32 &gt;= $P$32,$M$32,IF($L$31&gt;=$P$31,$M$31,0))</f>
        <v>3</v>
      </c>
      <c r="Q30" s="148" t="s">
        <v>3548</v>
      </c>
      <c r="R30" s="559" t="str">
        <f>IF(OR($O30=$M30,$O30=0,$O30=""),"","* * Check Score! * *")</f>
        <v>* * Check Score! * *</v>
      </c>
    </row>
    <row r="31" spans="1:19" s="689" customFormat="1" ht="11.25" customHeight="1">
      <c r="A31" s="688" t="s">
        <v>1150</v>
      </c>
      <c r="B31" s="155" t="s">
        <v>389</v>
      </c>
      <c r="E31" s="690"/>
      <c r="H31" s="661" t="s">
        <v>229</v>
      </c>
      <c r="I31" s="1624">
        <v>19</v>
      </c>
      <c r="K31" s="661" t="s">
        <v>193</v>
      </c>
      <c r="L31" s="692">
        <f>IF(OR('Part VI-Revenues &amp; Expenses'!$M$60="", 'Part VI-Revenues &amp; Expenses'!$M$60=0),0,I31/'Part VI-Revenues &amp; Expenses'!$M$60)</f>
        <v>0.2087912087912088</v>
      </c>
      <c r="M31" s="1">
        <v>3</v>
      </c>
      <c r="N31" s="691"/>
      <c r="O31" s="1185" t="s">
        <v>149</v>
      </c>
      <c r="P31" s="736">
        <v>0.15</v>
      </c>
    </row>
    <row r="32" spans="1:19" s="689" customFormat="1" ht="11.25" customHeight="1">
      <c r="A32" s="688" t="s">
        <v>1153</v>
      </c>
      <c r="B32" s="155" t="s">
        <v>390</v>
      </c>
      <c r="E32" s="690"/>
      <c r="H32" s="661" t="s">
        <v>391</v>
      </c>
      <c r="I32" s="1624"/>
      <c r="K32" s="661" t="s">
        <v>193</v>
      </c>
      <c r="L32" s="692">
        <f>IF(OR('Part VI-Revenues &amp; Expenses'!$M$60="", 'Part VI-Revenues &amp; Expenses'!$M$60=0),0,I32/'Part VI-Revenues &amp; Expenses'!$M$60)</f>
        <v>0</v>
      </c>
      <c r="M32" s="1">
        <v>4</v>
      </c>
      <c r="N32" s="691"/>
      <c r="O32" s="1186"/>
      <c r="P32" s="736">
        <v>0.3</v>
      </c>
    </row>
    <row r="33" spans="1:18" s="51" customFormat="1" ht="11.25" customHeight="1">
      <c r="A33" s="50"/>
      <c r="B33" s="57" t="s">
        <v>3789</v>
      </c>
      <c r="C33" s="50"/>
      <c r="D33" s="56"/>
      <c r="E33" s="56"/>
      <c r="F33" s="56"/>
      <c r="G33" s="56"/>
      <c r="H33" s="44"/>
      <c r="I33" s="44"/>
      <c r="J33" s="44"/>
      <c r="K33" s="44"/>
      <c r="M33" s="54"/>
      <c r="N33" s="74"/>
      <c r="O33" s="4"/>
      <c r="P33" s="854"/>
    </row>
    <row r="34" spans="1:18" s="51" customFormat="1" ht="12.6" customHeight="1">
      <c r="A34" s="1573"/>
      <c r="B34" s="1574"/>
      <c r="C34" s="1574"/>
      <c r="D34" s="1574"/>
      <c r="E34" s="1574"/>
      <c r="F34" s="1574"/>
      <c r="G34" s="1574"/>
      <c r="H34" s="1574"/>
      <c r="I34" s="1574"/>
      <c r="J34" s="1574"/>
      <c r="K34" s="1574"/>
      <c r="L34" s="1574"/>
      <c r="M34" s="1574"/>
      <c r="N34" s="1574"/>
      <c r="O34" s="1574"/>
      <c r="P34" s="1575"/>
    </row>
    <row r="35" spans="1:18" s="51" customFormat="1" ht="11.45" customHeight="1">
      <c r="A35" s="50"/>
      <c r="B35" s="129" t="s">
        <v>1391</v>
      </c>
      <c r="C35" s="50"/>
      <c r="D35" s="114"/>
      <c r="E35" s="856"/>
      <c r="F35" s="856"/>
      <c r="G35" s="856"/>
      <c r="H35" s="856"/>
      <c r="I35" s="856"/>
      <c r="J35" s="856"/>
      <c r="K35" s="856"/>
      <c r="L35" s="856"/>
      <c r="M35" s="856"/>
      <c r="N35" s="91"/>
      <c r="O35" s="86"/>
      <c r="P35" s="3"/>
    </row>
    <row r="36" spans="1:18" s="51" customFormat="1" ht="12.6" customHeight="1">
      <c r="A36" s="1109"/>
      <c r="B36" s="1110"/>
      <c r="C36" s="1110"/>
      <c r="D36" s="1110"/>
      <c r="E36" s="1110"/>
      <c r="F36" s="1110"/>
      <c r="G36" s="1110"/>
      <c r="H36" s="1110"/>
      <c r="I36" s="1110"/>
      <c r="J36" s="1110"/>
      <c r="K36" s="1110"/>
      <c r="L36" s="1110"/>
      <c r="M36" s="1110"/>
      <c r="N36" s="1110"/>
      <c r="O36" s="1110"/>
      <c r="P36" s="1111"/>
    </row>
    <row r="37" spans="1:18" ht="9.75" customHeight="1"/>
    <row r="38" spans="1:18" s="51" customFormat="1" ht="12.6" customHeight="1">
      <c r="A38" s="209" t="s">
        <v>527</v>
      </c>
      <c r="B38" s="144" t="s">
        <v>1288</v>
      </c>
      <c r="D38" s="49"/>
      <c r="H38" s="244" t="s">
        <v>3198</v>
      </c>
      <c r="I38" s="47"/>
      <c r="J38" s="56"/>
      <c r="K38" s="44"/>
      <c r="M38" s="3">
        <v>12</v>
      </c>
      <c r="N38" s="804"/>
      <c r="O38" s="204">
        <f>IF(OR($M$40-O$41&lt;0,O$40-O$41&lt;0),0,IF(O$40&lt;=$M$40,O$40-O$41,IF(O$40&gt;$M$40,$M$40-O$41,0)))</f>
        <v>11</v>
      </c>
      <c r="P38" s="204">
        <f>IF(OR($M$40-P$41&lt;0,P$40-P$41&lt;0),0,IF(P$40&lt;=$M$40,P$40-P$41,IF(P$40&gt;$M$40,$M$40-P$41,0)))</f>
        <v>0</v>
      </c>
      <c r="Q38" s="148" t="s">
        <v>3548</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1150</v>
      </c>
      <c r="B40" s="236" t="s">
        <v>1289</v>
      </c>
      <c r="C40" s="5"/>
      <c r="D40" s="5"/>
      <c r="E40" s="244" t="s">
        <v>1291</v>
      </c>
      <c r="F40" s="452"/>
      <c r="G40" s="452"/>
      <c r="H40" s="452"/>
      <c r="I40" s="47"/>
      <c r="K40" s="56"/>
      <c r="M40" s="3">
        <v>12</v>
      </c>
      <c r="N40" s="250" t="s">
        <v>1150</v>
      </c>
      <c r="O40" s="1625">
        <v>12</v>
      </c>
      <c r="P40" s="85"/>
      <c r="R40" s="559"/>
    </row>
    <row r="41" spans="1:18" s="51" customFormat="1" ht="12.6" customHeight="1">
      <c r="A41" s="189" t="s">
        <v>1153</v>
      </c>
      <c r="B41" s="236" t="s">
        <v>1290</v>
      </c>
      <c r="D41" s="49"/>
      <c r="E41" s="244" t="s">
        <v>3521</v>
      </c>
      <c r="F41" s="586"/>
      <c r="G41" s="586"/>
      <c r="H41" s="586"/>
      <c r="M41" s="180" t="s">
        <v>2300</v>
      </c>
      <c r="N41" s="804" t="s">
        <v>1153</v>
      </c>
      <c r="O41" s="1623">
        <v>1</v>
      </c>
      <c r="P41" s="85"/>
      <c r="Q41" s="148"/>
      <c r="R41" s="559"/>
    </row>
    <row r="42" spans="1:18" s="51" customFormat="1" ht="12" customHeight="1">
      <c r="A42" s="50"/>
      <c r="D42" s="49"/>
      <c r="E42" s="49"/>
      <c r="F42" s="49"/>
      <c r="G42" s="49"/>
      <c r="I42" s="47"/>
      <c r="K42" s="56"/>
    </row>
    <row r="43" spans="1:18" s="51" customFormat="1" ht="11.25" customHeight="1">
      <c r="A43" s="50"/>
      <c r="B43" s="57" t="s">
        <v>3789</v>
      </c>
      <c r="C43" s="50"/>
      <c r="D43" s="56"/>
      <c r="E43" s="56"/>
      <c r="F43" s="56"/>
      <c r="G43" s="56"/>
      <c r="H43" s="44"/>
      <c r="I43" s="44"/>
      <c r="J43" s="44"/>
      <c r="K43" s="44"/>
      <c r="M43" s="54"/>
      <c r="N43" s="74"/>
      <c r="O43" s="4"/>
      <c r="P43" s="854"/>
    </row>
    <row r="44" spans="1:18" s="51" customFormat="1" ht="23.45" customHeight="1">
      <c r="A44" s="1573"/>
      <c r="B44" s="1574"/>
      <c r="C44" s="1574"/>
      <c r="D44" s="1574"/>
      <c r="E44" s="1574"/>
      <c r="F44" s="1574"/>
      <c r="G44" s="1574"/>
      <c r="H44" s="1574"/>
      <c r="I44" s="1574"/>
      <c r="J44" s="1574"/>
      <c r="K44" s="1574"/>
      <c r="L44" s="1574"/>
      <c r="M44" s="1574"/>
      <c r="N44" s="1574"/>
      <c r="O44" s="1574"/>
      <c r="P44" s="1575"/>
      <c r="Q44" s="737" t="s">
        <v>2219</v>
      </c>
      <c r="R44" s="738"/>
    </row>
    <row r="45" spans="1:18" s="51" customFormat="1" ht="11.45" customHeight="1">
      <c r="A45" s="50"/>
      <c r="B45" s="80" t="s">
        <v>1391</v>
      </c>
      <c r="C45" s="50"/>
      <c r="D45" s="187"/>
      <c r="E45" s="856"/>
      <c r="F45" s="856"/>
      <c r="G45" s="856"/>
      <c r="H45" s="856"/>
      <c r="I45" s="856"/>
      <c r="J45" s="856"/>
      <c r="K45" s="856"/>
      <c r="L45" s="856"/>
      <c r="M45" s="856"/>
      <c r="N45" s="91"/>
      <c r="O45" s="86"/>
      <c r="P45" s="3"/>
      <c r="Q45" s="689"/>
      <c r="R45" s="689"/>
    </row>
    <row r="46" spans="1:18" s="51" customFormat="1" ht="23.45" customHeight="1">
      <c r="A46" s="1109"/>
      <c r="B46" s="1110"/>
      <c r="C46" s="1110"/>
      <c r="D46" s="1110"/>
      <c r="E46" s="1110"/>
      <c r="F46" s="1110"/>
      <c r="G46" s="1110"/>
      <c r="H46" s="1110"/>
      <c r="I46" s="1110"/>
      <c r="J46" s="1110"/>
      <c r="K46" s="1110"/>
      <c r="L46" s="1110"/>
      <c r="M46" s="1110"/>
      <c r="N46" s="1110"/>
      <c r="O46" s="1110"/>
      <c r="P46" s="1111"/>
      <c r="Q46" s="737" t="s">
        <v>2219</v>
      </c>
      <c r="R46" s="738"/>
    </row>
    <row r="47" spans="1:18" ht="3.6" customHeight="1">
      <c r="M47" s="40"/>
      <c r="N47" s="157"/>
      <c r="O47" s="205"/>
      <c r="P47" s="205"/>
    </row>
    <row r="48" spans="1:18" ht="3" customHeight="1"/>
    <row r="49" spans="1:18" s="51" customFormat="1" ht="12.6" customHeight="1">
      <c r="A49" s="209" t="s">
        <v>2285</v>
      </c>
      <c r="B49" s="144" t="s">
        <v>307</v>
      </c>
      <c r="D49" s="49"/>
      <c r="H49" s="53" t="s">
        <v>194</v>
      </c>
      <c r="I49" s="57" t="s">
        <v>1297</v>
      </c>
      <c r="J49" s="56"/>
      <c r="K49" s="56"/>
      <c r="M49" s="3">
        <v>3</v>
      </c>
      <c r="N49" s="804"/>
      <c r="O49" s="204">
        <f>MIN($M49,(O50+O51+O52))</f>
        <v>2</v>
      </c>
      <c r="P49" s="204">
        <f>MIN($M49,(P50+P51+P52))</f>
        <v>0</v>
      </c>
      <c r="Q49" s="148" t="s">
        <v>3548</v>
      </c>
    </row>
    <row r="50" spans="1:18" s="51" customFormat="1" ht="12" customHeight="1">
      <c r="A50" s="189" t="s">
        <v>1150</v>
      </c>
      <c r="B50" s="236" t="s">
        <v>397</v>
      </c>
      <c r="C50" s="5"/>
      <c r="D50" s="5"/>
      <c r="E50" s="44"/>
      <c r="F50" s="5"/>
      <c r="G50" s="47"/>
      <c r="I50" s="47"/>
      <c r="K50" s="56"/>
      <c r="L50" s="559" t="str">
        <f>IF(OR($O50=$M50,$O50=0,$O50=""),"","* * Check Score! * *")</f>
        <v/>
      </c>
      <c r="M50" s="3">
        <v>3</v>
      </c>
      <c r="N50" s="250" t="s">
        <v>1150</v>
      </c>
      <c r="O50" s="1625"/>
      <c r="P50" s="85"/>
      <c r="R50" s="559"/>
    </row>
    <row r="51" spans="1:18" s="51" customFormat="1" ht="12.6" customHeight="1">
      <c r="A51" s="189" t="s">
        <v>1153</v>
      </c>
      <c r="B51" s="236" t="s">
        <v>398</v>
      </c>
      <c r="E51" s="49"/>
      <c r="K51" s="56"/>
      <c r="L51" s="559" t="str">
        <f>IF(OR($O51=$M51,$O51=0,$O51=""),"","* * Check Score! * *")</f>
        <v/>
      </c>
      <c r="M51" s="3">
        <v>2</v>
      </c>
      <c r="N51" s="804" t="s">
        <v>1153</v>
      </c>
      <c r="O51" s="1625">
        <v>2</v>
      </c>
      <c r="P51" s="85"/>
      <c r="R51" s="559"/>
    </row>
    <row r="52" spans="1:18" s="51" customFormat="1" ht="12.6" customHeight="1">
      <c r="A52" s="189" t="s">
        <v>3012</v>
      </c>
      <c r="B52" s="236" t="s">
        <v>312</v>
      </c>
      <c r="E52" s="49"/>
      <c r="K52" s="56"/>
      <c r="L52" s="559" t="str">
        <f>IF(OR($O52=$M52,$O52=0,$O52=""),"","* * Check Score! * *")</f>
        <v/>
      </c>
      <c r="M52" s="3">
        <v>1</v>
      </c>
      <c r="N52" s="250" t="s">
        <v>3012</v>
      </c>
      <c r="O52" s="1625"/>
      <c r="P52" s="85"/>
      <c r="R52" s="559"/>
    </row>
    <row r="53" spans="1:18" s="134" customFormat="1" ht="11.45" customHeight="1">
      <c r="A53" s="50"/>
      <c r="B53" s="57" t="s">
        <v>3789</v>
      </c>
      <c r="C53" s="50"/>
      <c r="D53" s="56"/>
      <c r="E53" s="56"/>
      <c r="F53" s="56"/>
      <c r="G53" s="56"/>
      <c r="H53" s="44"/>
      <c r="I53" s="44"/>
      <c r="J53" s="44"/>
      <c r="K53" s="44"/>
      <c r="M53" s="54"/>
      <c r="N53" s="7"/>
      <c r="O53" s="4"/>
      <c r="P53" s="3"/>
    </row>
    <row r="54" spans="1:18" s="51" customFormat="1" ht="23.45" customHeight="1">
      <c r="A54" s="1573"/>
      <c r="B54" s="1574"/>
      <c r="C54" s="1574"/>
      <c r="D54" s="1574"/>
      <c r="E54" s="1574"/>
      <c r="F54" s="1574"/>
      <c r="G54" s="1574"/>
      <c r="H54" s="1574"/>
      <c r="I54" s="1574"/>
      <c r="J54" s="1574"/>
      <c r="K54" s="1574"/>
      <c r="L54" s="1574"/>
      <c r="M54" s="1574"/>
      <c r="N54" s="1574"/>
      <c r="O54" s="1574"/>
      <c r="P54" s="1575"/>
    </row>
    <row r="55" spans="1:18" s="134" customFormat="1" ht="11.45" customHeight="1">
      <c r="A55" s="50"/>
      <c r="B55" s="129" t="s">
        <v>1391</v>
      </c>
      <c r="C55" s="50"/>
      <c r="D55" s="129"/>
      <c r="E55" s="853"/>
      <c r="F55" s="853"/>
      <c r="G55" s="853"/>
      <c r="H55" s="853"/>
      <c r="I55" s="853"/>
      <c r="J55" s="853"/>
      <c r="K55" s="853"/>
      <c r="L55" s="853"/>
      <c r="M55" s="853"/>
      <c r="N55" s="124"/>
      <c r="O55" s="257"/>
      <c r="P55" s="3"/>
    </row>
    <row r="56" spans="1:18" s="51" customFormat="1" ht="23.45" customHeight="1">
      <c r="A56" s="1109"/>
      <c r="B56" s="1110"/>
      <c r="C56" s="1110"/>
      <c r="D56" s="1110"/>
      <c r="E56" s="1110"/>
      <c r="F56" s="1110"/>
      <c r="G56" s="1110"/>
      <c r="H56" s="1110"/>
      <c r="I56" s="1110"/>
      <c r="J56" s="1110"/>
      <c r="K56" s="1110"/>
      <c r="L56" s="1110"/>
      <c r="M56" s="1110"/>
      <c r="N56" s="1110"/>
      <c r="O56" s="1110"/>
      <c r="P56" s="1111"/>
    </row>
    <row r="57" spans="1:18" s="51" customFormat="1" ht="3" customHeight="1">
      <c r="A57" s="251"/>
      <c r="B57" s="59"/>
      <c r="G57" s="49"/>
      <c r="J57" s="56"/>
      <c r="K57" s="56"/>
      <c r="M57" s="134"/>
      <c r="N57" s="59"/>
      <c r="O57" s="134"/>
      <c r="P57" s="134"/>
    </row>
    <row r="58" spans="1:18" s="51" customFormat="1" ht="12.6" customHeight="1">
      <c r="A58" s="209" t="s">
        <v>2286</v>
      </c>
      <c r="B58" s="144" t="s">
        <v>308</v>
      </c>
      <c r="D58" s="49"/>
      <c r="E58" s="587" t="s">
        <v>609</v>
      </c>
      <c r="I58" s="57" t="s">
        <v>1297</v>
      </c>
      <c r="M58" s="3">
        <v>1</v>
      </c>
      <c r="N58" s="602" t="str">
        <f>IF(OR($O58=$M58,$O58=0,$O58=""),"","***")</f>
        <v/>
      </c>
      <c r="O58" s="1625">
        <v>0</v>
      </c>
      <c r="P58" s="85"/>
      <c r="Q58" s="148" t="s">
        <v>3548</v>
      </c>
    </row>
    <row r="59" spans="1:18" s="51" customFormat="1" ht="12.6" customHeight="1">
      <c r="A59" s="209"/>
      <c r="B59" s="587" t="s">
        <v>2994</v>
      </c>
      <c r="D59" s="49"/>
      <c r="H59" s="57"/>
      <c r="I59" s="57"/>
      <c r="J59" s="57"/>
      <c r="K59" s="57"/>
      <c r="L59" s="57"/>
      <c r="M59" s="3"/>
      <c r="N59" s="602"/>
      <c r="O59" s="1569"/>
      <c r="P59" s="232"/>
      <c r="Q59" s="148"/>
    </row>
    <row r="60" spans="1:18" s="51" customFormat="1" ht="12.6" customHeight="1">
      <c r="A60" s="209"/>
      <c r="B60" s="587" t="s">
        <v>2993</v>
      </c>
      <c r="D60" s="49"/>
      <c r="H60" s="57"/>
      <c r="I60" s="1626"/>
      <c r="J60" s="1627"/>
      <c r="K60" s="1627"/>
      <c r="L60" s="1628"/>
      <c r="M60" s="3"/>
      <c r="N60" s="602"/>
      <c r="O60" s="602"/>
      <c r="P60" s="602"/>
      <c r="Q60" s="148"/>
    </row>
    <row r="61" spans="1:18" s="51" customFormat="1" ht="12.6" customHeight="1">
      <c r="A61" s="209"/>
      <c r="B61" s="587" t="s">
        <v>2995</v>
      </c>
      <c r="D61" s="49"/>
      <c r="H61" s="57"/>
      <c r="I61" s="57"/>
      <c r="J61" s="57"/>
      <c r="K61" s="57"/>
      <c r="L61" s="57"/>
      <c r="M61" s="3"/>
      <c r="N61" s="602"/>
      <c r="O61" s="1569"/>
      <c r="P61" s="232"/>
      <c r="Q61" s="148"/>
    </row>
    <row r="62" spans="1:18" s="134" customFormat="1" ht="11.45" customHeight="1">
      <c r="A62" s="50"/>
      <c r="B62" s="57" t="s">
        <v>3789</v>
      </c>
      <c r="C62" s="50"/>
      <c r="D62" s="56"/>
      <c r="E62" s="56"/>
      <c r="F62" s="56"/>
      <c r="G62" s="56"/>
      <c r="I62" s="44"/>
      <c r="J62" s="44"/>
      <c r="K62" s="44"/>
      <c r="M62" s="54"/>
      <c r="N62" s="7"/>
      <c r="O62" s="4"/>
      <c r="P62" s="3"/>
    </row>
    <row r="63" spans="1:18" s="51" customFormat="1" ht="12.75" customHeight="1">
      <c r="A63" s="1573"/>
      <c r="B63" s="1574"/>
      <c r="C63" s="1574"/>
      <c r="D63" s="1574"/>
      <c r="E63" s="1574"/>
      <c r="F63" s="1574"/>
      <c r="G63" s="1574"/>
      <c r="H63" s="1574"/>
      <c r="I63" s="1574"/>
      <c r="J63" s="1574"/>
      <c r="K63" s="1574"/>
      <c r="L63" s="1574"/>
      <c r="M63" s="1574"/>
      <c r="N63" s="1574"/>
      <c r="O63" s="1574"/>
      <c r="P63" s="1575"/>
      <c r="Q63" s="737" t="s">
        <v>2219</v>
      </c>
    </row>
    <row r="64" spans="1:18" s="134" customFormat="1" ht="11.45" customHeight="1">
      <c r="A64" s="50"/>
      <c r="B64" s="129" t="s">
        <v>1391</v>
      </c>
      <c r="C64" s="50"/>
      <c r="D64" s="129"/>
      <c r="E64" s="853"/>
      <c r="F64" s="853"/>
      <c r="G64" s="853"/>
      <c r="H64" s="853"/>
      <c r="I64" s="853"/>
      <c r="J64" s="853"/>
      <c r="K64" s="853"/>
      <c r="L64" s="853"/>
      <c r="M64" s="853"/>
      <c r="N64" s="124"/>
      <c r="O64" s="257"/>
      <c r="P64" s="3"/>
      <c r="Q64" s="689"/>
    </row>
    <row r="65" spans="1:18" s="51" customFormat="1" ht="12.75" customHeight="1">
      <c r="A65" s="1109"/>
      <c r="B65" s="1110"/>
      <c r="C65" s="1110"/>
      <c r="D65" s="1110"/>
      <c r="E65" s="1110"/>
      <c r="F65" s="1110"/>
      <c r="G65" s="1110"/>
      <c r="H65" s="1110"/>
      <c r="I65" s="1110"/>
      <c r="J65" s="1110"/>
      <c r="K65" s="1110"/>
      <c r="L65" s="1110"/>
      <c r="M65" s="1110"/>
      <c r="N65" s="1110"/>
      <c r="O65" s="1110"/>
      <c r="P65" s="1111"/>
      <c r="Q65" s="737" t="s">
        <v>2219</v>
      </c>
    </row>
    <row r="66" spans="1:18" s="51" customFormat="1" ht="9" customHeight="1">
      <c r="A66" s="251"/>
      <c r="B66" s="59"/>
      <c r="G66" s="49"/>
      <c r="J66" s="56"/>
      <c r="K66" s="56"/>
      <c r="M66" s="134"/>
      <c r="N66" s="59"/>
      <c r="O66" s="134"/>
      <c r="P66" s="134"/>
    </row>
    <row r="67" spans="1:18" s="51" customFormat="1" ht="12.6" customHeight="1">
      <c r="A67" s="209" t="s">
        <v>1299</v>
      </c>
      <c r="B67" s="144" t="s">
        <v>309</v>
      </c>
      <c r="D67" s="49"/>
      <c r="E67" s="44" t="s">
        <v>2075</v>
      </c>
      <c r="I67" s="57" t="s">
        <v>1297</v>
      </c>
      <c r="M67" s="3">
        <v>2</v>
      </c>
      <c r="N67" s="602" t="str">
        <f>IF(OR($O67=$M67,$O67=0,$O67=""),"","***")</f>
        <v/>
      </c>
      <c r="O67" s="1625">
        <v>2</v>
      </c>
      <c r="P67" s="85"/>
      <c r="Q67" s="148" t="s">
        <v>3548</v>
      </c>
    </row>
    <row r="68" spans="1:18" s="51" customFormat="1" ht="12.6" customHeight="1">
      <c r="A68" s="209"/>
      <c r="B68" s="587" t="s">
        <v>392</v>
      </c>
      <c r="D68" s="49"/>
      <c r="E68" s="44"/>
      <c r="I68" s="1545" t="s">
        <v>112</v>
      </c>
      <c r="J68" s="1627"/>
      <c r="K68" s="1627"/>
      <c r="L68" s="1628"/>
      <c r="M68" s="3"/>
      <c r="N68" s="804"/>
      <c r="O68" s="804"/>
      <c r="P68" s="804"/>
      <c r="Q68" s="148"/>
    </row>
    <row r="69" spans="1:18" s="134" customFormat="1" ht="11.45" customHeight="1">
      <c r="A69" s="50"/>
      <c r="B69" s="57" t="s">
        <v>3789</v>
      </c>
      <c r="C69" s="50"/>
      <c r="D69" s="56"/>
      <c r="E69" s="56"/>
      <c r="F69" s="56"/>
      <c r="G69" s="56"/>
      <c r="I69" s="44"/>
      <c r="J69" s="44"/>
      <c r="K69" s="44"/>
      <c r="M69" s="54"/>
      <c r="N69" s="7"/>
      <c r="O69" s="4"/>
      <c r="P69" s="3"/>
    </row>
    <row r="70" spans="1:18" s="51" customFormat="1" ht="12.75" customHeight="1">
      <c r="A70" s="1573"/>
      <c r="B70" s="1574"/>
      <c r="C70" s="1574"/>
      <c r="D70" s="1574"/>
      <c r="E70" s="1574"/>
      <c r="F70" s="1574"/>
      <c r="G70" s="1574"/>
      <c r="H70" s="1574"/>
      <c r="I70" s="1574"/>
      <c r="J70" s="1574"/>
      <c r="K70" s="1574"/>
      <c r="L70" s="1574"/>
      <c r="M70" s="1574"/>
      <c r="N70" s="1574"/>
      <c r="O70" s="1574"/>
      <c r="P70" s="1575"/>
    </row>
    <row r="71" spans="1:18" s="134" customFormat="1" ht="11.45" customHeight="1">
      <c r="A71" s="50"/>
      <c r="B71" s="129" t="s">
        <v>1391</v>
      </c>
      <c r="C71" s="50"/>
      <c r="D71" s="129"/>
      <c r="E71" s="853"/>
      <c r="F71" s="853"/>
      <c r="G71" s="853"/>
      <c r="H71" s="853"/>
      <c r="I71" s="853"/>
      <c r="J71" s="853"/>
      <c r="K71" s="853"/>
      <c r="L71" s="853"/>
      <c r="M71" s="853"/>
      <c r="N71" s="124"/>
      <c r="O71" s="257"/>
      <c r="P71" s="3"/>
    </row>
    <row r="72" spans="1:18" s="51" customFormat="1" ht="12.75" customHeight="1">
      <c r="A72" s="1109"/>
      <c r="B72" s="1110"/>
      <c r="C72" s="1110"/>
      <c r="D72" s="1110"/>
      <c r="E72" s="1110"/>
      <c r="F72" s="1110"/>
      <c r="G72" s="1110"/>
      <c r="H72" s="1110"/>
      <c r="I72" s="1110"/>
      <c r="J72" s="1110"/>
      <c r="K72" s="1110"/>
      <c r="L72" s="1110"/>
      <c r="M72" s="1110"/>
      <c r="N72" s="1110"/>
      <c r="O72" s="1110"/>
      <c r="P72" s="1111"/>
    </row>
    <row r="73" spans="1:18" ht="9" customHeight="1">
      <c r="B73" s="160"/>
      <c r="C73" s="160"/>
      <c r="D73" s="160"/>
      <c r="E73" s="160"/>
      <c r="R73" s="51"/>
    </row>
    <row r="74" spans="1:18" s="51" customFormat="1" ht="12.6" customHeight="1">
      <c r="A74" s="209" t="s">
        <v>3356</v>
      </c>
      <c r="B74" s="145" t="s">
        <v>3850</v>
      </c>
      <c r="D74" s="47"/>
      <c r="E74" s="44"/>
      <c r="I74" s="734" t="s">
        <v>256</v>
      </c>
      <c r="J74" s="1629" t="s">
        <v>113</v>
      </c>
      <c r="K74" s="1630"/>
      <c r="L74" s="1631"/>
      <c r="M74" s="3">
        <v>3</v>
      </c>
      <c r="N74" s="602"/>
      <c r="O74" s="93">
        <f>IF(OR(J74="Earth Craft Communities",J74="LEED-ND"),$M$75,IF(OR(J74="Earth Craft House Multifamily",J74="Earth Craft House Single Family",J74="Earth Craft House Renovation",J74="LEED for Homes",J74="EF Green Communities"),$M$83,0))</f>
        <v>3</v>
      </c>
      <c r="P74" s="85"/>
      <c r="Q74" s="148" t="s">
        <v>3548</v>
      </c>
    </row>
    <row r="75" spans="1:18" ht="11.45" customHeight="1">
      <c r="A75" s="189" t="s">
        <v>1150</v>
      </c>
      <c r="B75" s="254" t="s">
        <v>767</v>
      </c>
      <c r="D75" s="40"/>
      <c r="H75" s="73"/>
      <c r="I75" s="40"/>
      <c r="J75" s="40"/>
      <c r="M75" s="157">
        <v>3</v>
      </c>
      <c r="N75" s="31"/>
      <c r="O75" s="162" t="s">
        <v>598</v>
      </c>
      <c r="P75" s="162" t="s">
        <v>598</v>
      </c>
    </row>
    <row r="76" spans="1:18" s="51" customFormat="1" ht="12.6" customHeight="1">
      <c r="A76" s="209"/>
      <c r="B76" s="694" t="s">
        <v>164</v>
      </c>
      <c r="D76" s="49"/>
      <c r="M76" s="3"/>
      <c r="N76" s="250" t="s">
        <v>1150</v>
      </c>
      <c r="O76" s="1569" t="s">
        <v>63</v>
      </c>
      <c r="P76" s="232"/>
      <c r="Q76" s="148"/>
    </row>
    <row r="77" spans="1:18" ht="11.45" customHeight="1">
      <c r="A77" s="551" t="str">
        <f>IF($I$90="Stable Communities &lt; 10%", "X","")</f>
        <v/>
      </c>
      <c r="B77" s="552" t="s">
        <v>1154</v>
      </c>
      <c r="C77" s="569" t="s">
        <v>393</v>
      </c>
      <c r="E77" s="160"/>
      <c r="N77" s="31"/>
      <c r="O77" s="31"/>
      <c r="P77" s="31"/>
    </row>
    <row r="78" spans="1:18" ht="23.25" customHeight="1">
      <c r="B78" s="576" t="s">
        <v>719</v>
      </c>
      <c r="C78" s="1187" t="s">
        <v>395</v>
      </c>
      <c r="D78" s="1187"/>
      <c r="E78" s="1187"/>
      <c r="F78" s="1187"/>
      <c r="G78" s="1187"/>
      <c r="H78" s="1187"/>
      <c r="I78" s="1187"/>
      <c r="J78" s="1187"/>
      <c r="K78" s="1187"/>
      <c r="L78" s="1187"/>
      <c r="M78" s="573" t="str">
        <f>IF(AND($I$90="Stable Communities &lt; 10%",O78=""), "X","")</f>
        <v/>
      </c>
      <c r="N78" s="575" t="s">
        <v>349</v>
      </c>
      <c r="O78" s="1632" t="s">
        <v>2019</v>
      </c>
      <c r="P78" s="355"/>
    </row>
    <row r="79" spans="1:18" ht="23.25" customHeight="1">
      <c r="B79" s="576" t="s">
        <v>720</v>
      </c>
      <c r="C79" s="1117" t="s">
        <v>347</v>
      </c>
      <c r="D79" s="1117"/>
      <c r="E79" s="1117"/>
      <c r="F79" s="1117"/>
      <c r="G79" s="1117"/>
      <c r="H79" s="1117"/>
      <c r="I79" s="1117"/>
      <c r="J79" s="1117"/>
      <c r="K79" s="1117"/>
      <c r="L79" s="1117"/>
      <c r="M79" s="573" t="str">
        <f>IF(AND($I$90="Stable Communities &lt; 10%",O79=""), "X","")</f>
        <v/>
      </c>
      <c r="N79" s="575" t="s">
        <v>350</v>
      </c>
      <c r="O79" s="1633" t="s">
        <v>61</v>
      </c>
      <c r="P79" s="356"/>
    </row>
    <row r="80" spans="1:18" ht="11.45" customHeight="1">
      <c r="A80" s="551" t="str">
        <f>IF($I$90="Stable Communities &lt; 20%", "X","")</f>
        <v/>
      </c>
      <c r="B80" s="552" t="s">
        <v>1156</v>
      </c>
      <c r="C80" s="569" t="s">
        <v>394</v>
      </c>
      <c r="E80" s="160"/>
      <c r="M80" s="574"/>
      <c r="N80" s="31"/>
      <c r="O80" s="162" t="s">
        <v>598</v>
      </c>
      <c r="P80" s="162" t="s">
        <v>598</v>
      </c>
    </row>
    <row r="81" spans="1:18" ht="23.25" customHeight="1">
      <c r="B81" s="576" t="s">
        <v>719</v>
      </c>
      <c r="C81" s="1187" t="s">
        <v>396</v>
      </c>
      <c r="D81" s="1187"/>
      <c r="E81" s="1187"/>
      <c r="F81" s="1187"/>
      <c r="G81" s="1187"/>
      <c r="H81" s="1187"/>
      <c r="I81" s="1187"/>
      <c r="J81" s="1187"/>
      <c r="K81" s="1187"/>
      <c r="L81" s="1187"/>
      <c r="M81" s="573" t="str">
        <f>IF(AND($I$90="Stable Communities &lt; 10%",O81=""), "X","")</f>
        <v/>
      </c>
      <c r="N81" s="693" t="s">
        <v>351</v>
      </c>
      <c r="O81" s="1632" t="s">
        <v>63</v>
      </c>
      <c r="P81" s="355"/>
    </row>
    <row r="82" spans="1:18">
      <c r="B82" s="576" t="s">
        <v>720</v>
      </c>
      <c r="C82" s="1117" t="s">
        <v>348</v>
      </c>
      <c r="D82" s="1117"/>
      <c r="E82" s="1117"/>
      <c r="F82" s="1117"/>
      <c r="G82" s="1117"/>
      <c r="H82" s="1117"/>
      <c r="I82" s="1117"/>
      <c r="J82" s="1117"/>
      <c r="K82" s="1117"/>
      <c r="L82" s="1117"/>
      <c r="M82" s="573" t="str">
        <f>IF(AND($I$90="Stable Communities &lt; 10%",O82=""), "X","")</f>
        <v/>
      </c>
      <c r="N82" s="693" t="s">
        <v>352</v>
      </c>
      <c r="O82" s="1633" t="s">
        <v>61</v>
      </c>
      <c r="P82" s="356"/>
    </row>
    <row r="83" spans="1:18" ht="11.45" customHeight="1">
      <c r="A83" s="189" t="s">
        <v>1153</v>
      </c>
      <c r="B83" s="254" t="s">
        <v>3733</v>
      </c>
      <c r="D83" s="40"/>
      <c r="E83" s="40"/>
      <c r="F83" s="40"/>
      <c r="M83" s="67">
        <v>2</v>
      </c>
      <c r="N83" s="31"/>
      <c r="O83" s="162" t="s">
        <v>598</v>
      </c>
      <c r="P83" s="162" t="s">
        <v>598</v>
      </c>
    </row>
    <row r="84" spans="1:18" s="51" customFormat="1" ht="12.6" customHeight="1">
      <c r="A84" s="209"/>
      <c r="B84" s="694" t="s">
        <v>464</v>
      </c>
      <c r="D84" s="49"/>
      <c r="M84" s="3"/>
      <c r="N84" s="804" t="s">
        <v>1153</v>
      </c>
      <c r="O84" s="1569" t="s">
        <v>63</v>
      </c>
      <c r="P84" s="232"/>
      <c r="Q84" s="148"/>
    </row>
    <row r="85" spans="1:18" s="134" customFormat="1" ht="11.45" customHeight="1">
      <c r="A85" s="50"/>
      <c r="B85" s="57" t="s">
        <v>3789</v>
      </c>
      <c r="C85" s="50"/>
      <c r="D85" s="56"/>
      <c r="E85" s="56"/>
      <c r="F85" s="56"/>
      <c r="G85" s="56"/>
      <c r="K85" s="44"/>
      <c r="M85" s="54"/>
      <c r="N85" s="7"/>
      <c r="O85" s="4"/>
      <c r="P85" s="3"/>
    </row>
    <row r="86" spans="1:18" s="51" customFormat="1" ht="12.75" customHeight="1">
      <c r="A86" s="1634"/>
      <c r="B86" s="1635"/>
      <c r="C86" s="1635"/>
      <c r="D86" s="1635"/>
      <c r="E86" s="1635"/>
      <c r="F86" s="1635"/>
      <c r="G86" s="1635"/>
      <c r="H86" s="1635"/>
      <c r="I86" s="1635"/>
      <c r="J86" s="1635"/>
      <c r="K86" s="1635"/>
      <c r="L86" s="1635"/>
      <c r="M86" s="1635"/>
      <c r="N86" s="1635"/>
      <c r="O86" s="1635"/>
      <c r="P86" s="1636"/>
      <c r="Q86" s="737" t="s">
        <v>2219</v>
      </c>
    </row>
    <row r="87" spans="1:18" s="51" customFormat="1" ht="11.25" customHeight="1">
      <c r="A87" s="50"/>
      <c r="B87" s="129" t="s">
        <v>1391</v>
      </c>
      <c r="C87" s="50"/>
      <c r="D87" s="114"/>
      <c r="E87" s="856"/>
      <c r="F87" s="856"/>
      <c r="G87" s="856"/>
      <c r="H87" s="856"/>
      <c r="I87" s="856"/>
      <c r="J87" s="856"/>
      <c r="K87" s="856"/>
      <c r="L87" s="856"/>
      <c r="M87" s="856"/>
      <c r="N87" s="91"/>
      <c r="O87" s="86"/>
      <c r="P87" s="3"/>
      <c r="Q87" s="689"/>
    </row>
    <row r="88" spans="1:18" s="51" customFormat="1" ht="12.75" customHeight="1">
      <c r="A88" s="1182"/>
      <c r="B88" s="1183"/>
      <c r="C88" s="1183"/>
      <c r="D88" s="1183"/>
      <c r="E88" s="1183"/>
      <c r="F88" s="1183"/>
      <c r="G88" s="1183"/>
      <c r="H88" s="1183"/>
      <c r="I88" s="1183"/>
      <c r="J88" s="1183"/>
      <c r="K88" s="1183"/>
      <c r="L88" s="1183"/>
      <c r="M88" s="1183"/>
      <c r="N88" s="1183"/>
      <c r="O88" s="1183"/>
      <c r="P88" s="1184"/>
      <c r="Q88" s="737" t="s">
        <v>2219</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3357</v>
      </c>
      <c r="B90" s="145" t="s">
        <v>683</v>
      </c>
      <c r="C90" s="123"/>
      <c r="D90" s="71"/>
      <c r="E90" s="71"/>
      <c r="I90" s="1282" t="s">
        <v>48</v>
      </c>
      <c r="J90" s="1283"/>
      <c r="K90" s="1283"/>
      <c r="L90" s="1284"/>
      <c r="M90" s="3">
        <v>6</v>
      </c>
      <c r="N90" s="8"/>
      <c r="O90" s="93">
        <f>IF(OR(I90="HOPE VI or Choice Neighborhoods Initiative"),6,IF(I90="Stable Communities &lt; 10%",4,IF(OR(I90="Stable Communities &lt; 20%",I90="Statutory Redevelopment Plan"),2,IF(OR(I90="Redevelopment Zone",I90="Local Redevelopment Plan"),1,0))))</f>
        <v>2</v>
      </c>
      <c r="P90" s="85"/>
      <c r="Q90" s="148" t="s">
        <v>3548</v>
      </c>
      <c r="R90" s="51"/>
    </row>
    <row r="91" spans="1:18" ht="12" customHeight="1">
      <c r="A91" s="1179" t="s">
        <v>3553</v>
      </c>
      <c r="B91" s="1179"/>
      <c r="C91" s="1179"/>
      <c r="D91" s="1179"/>
      <c r="E91" s="1179"/>
      <c r="F91" s="1179"/>
      <c r="G91" s="1179"/>
      <c r="H91" s="1179"/>
      <c r="I91" s="1179"/>
      <c r="J91" s="1179"/>
      <c r="K91" s="1179"/>
      <c r="L91" s="1179"/>
      <c r="M91" s="1179"/>
      <c r="N91" s="1179"/>
      <c r="O91" s="1179"/>
      <c r="P91" s="1179"/>
    </row>
    <row r="92" spans="1:18" ht="11.45" customHeight="1">
      <c r="A92" s="189" t="s">
        <v>1150</v>
      </c>
      <c r="B92" s="254" t="s">
        <v>597</v>
      </c>
      <c r="D92" s="40"/>
      <c r="H92" s="73"/>
      <c r="I92" s="40"/>
      <c r="J92" s="40"/>
      <c r="M92" s="157"/>
      <c r="N92" s="31"/>
      <c r="O92" s="31"/>
      <c r="P92" s="31"/>
    </row>
    <row r="93" spans="1:18" ht="11.45" customHeight="1">
      <c r="A93" s="551" t="str">
        <f>IF($I$90="Stable Communities &lt; 10%", "X","")</f>
        <v/>
      </c>
      <c r="B93" s="552" t="s">
        <v>1154</v>
      </c>
      <c r="C93" s="722" t="s">
        <v>205</v>
      </c>
      <c r="E93" s="160"/>
      <c r="M93" s="108">
        <v>4</v>
      </c>
      <c r="N93" s="31"/>
      <c r="O93" s="162" t="s">
        <v>598</v>
      </c>
      <c r="P93" s="162" t="s">
        <v>598</v>
      </c>
    </row>
    <row r="94" spans="1:18" ht="11.45" customHeight="1">
      <c r="B94" s="231" t="s">
        <v>719</v>
      </c>
      <c r="C94" s="722" t="s">
        <v>782</v>
      </c>
      <c r="E94" s="160"/>
      <c r="G94" s="132" t="s">
        <v>783</v>
      </c>
      <c r="M94" s="695" t="str">
        <f>IF(AND($I$90="Stable Communities &lt; 10%",O94=""), "X","")</f>
        <v/>
      </c>
      <c r="N94" s="231" t="s">
        <v>719</v>
      </c>
      <c r="O94" s="1632" t="s">
        <v>61</v>
      </c>
      <c r="P94" s="355"/>
    </row>
    <row r="95" spans="1:18" ht="11.45" customHeight="1">
      <c r="B95" s="231" t="s">
        <v>720</v>
      </c>
      <c r="C95" s="666" t="s">
        <v>784</v>
      </c>
      <c r="E95" s="160"/>
      <c r="G95" s="132" t="s">
        <v>785</v>
      </c>
      <c r="M95" s="695" t="str">
        <f>IF(AND($I$90="Stable Communities &lt; 10%",O95=""), "X","")</f>
        <v/>
      </c>
      <c r="N95" s="231" t="s">
        <v>720</v>
      </c>
      <c r="O95" s="1637" t="s">
        <v>61</v>
      </c>
      <c r="P95" s="542"/>
    </row>
    <row r="96" spans="1:18" ht="11.45" customHeight="1">
      <c r="B96" s="231" t="s">
        <v>721</v>
      </c>
      <c r="C96" s="666" t="s">
        <v>345</v>
      </c>
      <c r="E96" s="160"/>
      <c r="M96" s="695" t="str">
        <f>IF(AND($I$90="Stable Communities &lt; 10%",O96=""), "X","")</f>
        <v/>
      </c>
      <c r="N96" s="231" t="s">
        <v>721</v>
      </c>
      <c r="O96" s="1633" t="s">
        <v>61</v>
      </c>
      <c r="P96" s="356"/>
    </row>
    <row r="97" spans="1:18" ht="3" customHeight="1">
      <c r="B97" s="160"/>
      <c r="C97" s="160"/>
      <c r="D97" s="160"/>
      <c r="E97" s="160"/>
      <c r="R97" s="51"/>
    </row>
    <row r="98" spans="1:18" ht="11.45" customHeight="1">
      <c r="A98" s="551" t="str">
        <f>IF($I$90="Stable Communities &lt; 20%", "X","")</f>
        <v/>
      </c>
      <c r="B98" s="552" t="s">
        <v>1156</v>
      </c>
      <c r="C98" s="722" t="s">
        <v>205</v>
      </c>
      <c r="E98" s="160"/>
      <c r="M98" s="696">
        <v>2</v>
      </c>
      <c r="N98" s="31"/>
      <c r="O98" s="162"/>
      <c r="P98" s="162"/>
    </row>
    <row r="99" spans="1:18" ht="11.45" customHeight="1">
      <c r="B99" s="231" t="s">
        <v>719</v>
      </c>
      <c r="C99" s="722" t="s">
        <v>610</v>
      </c>
      <c r="E99" s="160"/>
      <c r="G99" s="132" t="s">
        <v>783</v>
      </c>
      <c r="M99" s="573" t="str">
        <f>IF(AND($I$90="Stable Communities &lt; 20%",O99=""), "X","")</f>
        <v/>
      </c>
      <c r="N99" s="231" t="s">
        <v>719</v>
      </c>
      <c r="O99" s="1632" t="s">
        <v>61</v>
      </c>
      <c r="P99" s="355"/>
    </row>
    <row r="100" spans="1:18" ht="11.45" customHeight="1">
      <c r="B100" s="231" t="s">
        <v>720</v>
      </c>
      <c r="C100" s="666" t="s">
        <v>784</v>
      </c>
      <c r="E100" s="160"/>
      <c r="G100" s="132" t="s">
        <v>785</v>
      </c>
      <c r="M100" s="573" t="str">
        <f>IF(AND($I$90="Stable Communities &lt; 20%",O100=""), "X","")</f>
        <v/>
      </c>
      <c r="N100" s="231" t="s">
        <v>720</v>
      </c>
      <c r="O100" s="1637" t="s">
        <v>61</v>
      </c>
      <c r="P100" s="542"/>
    </row>
    <row r="101" spans="1:18" ht="11.45" customHeight="1">
      <c r="B101" s="231" t="s">
        <v>721</v>
      </c>
      <c r="C101" s="666" t="s">
        <v>345</v>
      </c>
      <c r="E101" s="160"/>
      <c r="M101" s="573" t="str">
        <f>IF(AND($I$90="Stable Communities &lt; 20%",O101=""), "X","")</f>
        <v/>
      </c>
      <c r="N101" s="231" t="s">
        <v>721</v>
      </c>
      <c r="O101" s="1633"/>
      <c r="P101" s="356"/>
    </row>
    <row r="102" spans="1:18" ht="3" customHeight="1">
      <c r="B102" s="160"/>
      <c r="C102" s="160"/>
      <c r="D102" s="160"/>
      <c r="E102" s="160"/>
      <c r="R102" s="51"/>
    </row>
    <row r="103" spans="1:18" ht="11.45" customHeight="1">
      <c r="A103" s="189" t="s">
        <v>1153</v>
      </c>
      <c r="B103" s="254" t="s">
        <v>3801</v>
      </c>
      <c r="D103" s="40"/>
      <c r="E103" s="40"/>
      <c r="F103" s="40"/>
      <c r="H103" s="73"/>
      <c r="M103" s="67"/>
      <c r="N103" s="31"/>
      <c r="O103" s="31"/>
      <c r="P103" s="31"/>
    </row>
    <row r="104" spans="1:18" s="51" customFormat="1" ht="11.45" customHeight="1">
      <c r="A104" s="551" t="str">
        <f>IF($I$90="HOPE VI or Choice Neighborhoods Initiative", "X","")</f>
        <v/>
      </c>
      <c r="B104" s="552" t="s">
        <v>1154</v>
      </c>
      <c r="C104" s="115" t="s">
        <v>611</v>
      </c>
      <c r="D104" s="134"/>
      <c r="G104" s="195"/>
      <c r="K104" s="134"/>
      <c r="L104" s="134"/>
      <c r="M104" s="665">
        <v>6</v>
      </c>
      <c r="N104" s="31"/>
      <c r="O104" s="162" t="s">
        <v>598</v>
      </c>
      <c r="P104" s="162" t="s">
        <v>598</v>
      </c>
    </row>
    <row r="105" spans="1:18" ht="11.1" customHeight="1">
      <c r="B105" s="553" t="s">
        <v>719</v>
      </c>
      <c r="C105" s="554" t="s">
        <v>3280</v>
      </c>
      <c r="D105" s="132"/>
      <c r="M105" s="861" t="str">
        <f>IF(AND($I$90="HOPE VI Initiative",O105=""), "X","")</f>
        <v/>
      </c>
      <c r="N105" s="231" t="s">
        <v>719</v>
      </c>
      <c r="O105" s="1632" t="s">
        <v>61</v>
      </c>
      <c r="P105" s="355"/>
    </row>
    <row r="106" spans="1:18" ht="11.1" customHeight="1">
      <c r="B106" s="553" t="s">
        <v>720</v>
      </c>
      <c r="C106" s="554" t="s">
        <v>3281</v>
      </c>
      <c r="M106" s="861" t="str">
        <f>IF(AND($I$90="HOPE VI Initiative",O106=""), "X","")</f>
        <v/>
      </c>
      <c r="N106" s="231" t="s">
        <v>720</v>
      </c>
      <c r="O106" s="1637" t="s">
        <v>61</v>
      </c>
      <c r="P106" s="542"/>
    </row>
    <row r="107" spans="1:18" ht="11.1" customHeight="1">
      <c r="B107" s="553" t="s">
        <v>721</v>
      </c>
      <c r="C107" s="554" t="s">
        <v>3191</v>
      </c>
      <c r="M107" s="861" t="str">
        <f>IF(AND($I$90="HOPE VI Initiative",O107=""), "X","")</f>
        <v/>
      </c>
      <c r="N107" s="231" t="s">
        <v>721</v>
      </c>
      <c r="O107" s="1637" t="s">
        <v>61</v>
      </c>
      <c r="P107" s="542"/>
    </row>
    <row r="108" spans="1:18" ht="11.1" customHeight="1">
      <c r="B108" s="553" t="s">
        <v>722</v>
      </c>
      <c r="C108" s="69" t="s">
        <v>3192</v>
      </c>
      <c r="M108" s="861" t="str">
        <f>IF(AND($I$90="HOPE VI Initiative",O108=""), "X","")</f>
        <v/>
      </c>
      <c r="N108" s="231" t="s">
        <v>722</v>
      </c>
      <c r="O108" s="1633" t="s">
        <v>61</v>
      </c>
      <c r="P108" s="356"/>
    </row>
    <row r="109" spans="1:18" ht="3" customHeight="1">
      <c r="B109" s="160"/>
      <c r="C109" s="160"/>
      <c r="D109" s="160"/>
      <c r="E109" s="160"/>
      <c r="R109" s="51"/>
    </row>
    <row r="110" spans="1:18" s="51" customFormat="1" ht="11.45" customHeight="1">
      <c r="A110" s="551"/>
      <c r="B110" s="552" t="s">
        <v>1156</v>
      </c>
      <c r="C110" s="154" t="s">
        <v>3476</v>
      </c>
      <c r="D110" s="134"/>
      <c r="E110" s="48"/>
      <c r="G110" s="580" t="s">
        <v>150</v>
      </c>
      <c r="M110" s="697">
        <v>2</v>
      </c>
      <c r="N110" s="552" t="s">
        <v>1156</v>
      </c>
      <c r="O110" s="1569" t="s">
        <v>63</v>
      </c>
      <c r="P110" s="232"/>
    </row>
    <row r="111" spans="1:18" ht="3" customHeight="1">
      <c r="B111" s="160"/>
      <c r="C111" s="160"/>
      <c r="D111" s="160"/>
      <c r="E111" s="160"/>
      <c r="R111" s="51"/>
    </row>
    <row r="112" spans="1:18" s="51" customFormat="1" ht="11.45" customHeight="1">
      <c r="A112" s="551" t="str">
        <f>IF($I$90="Redevelopment Zone", "X","")</f>
        <v/>
      </c>
      <c r="B112" s="552" t="s">
        <v>527</v>
      </c>
      <c r="C112" s="154" t="s">
        <v>3582</v>
      </c>
      <c r="D112" s="134"/>
      <c r="F112" s="572"/>
      <c r="G112" s="48" t="s">
        <v>2514</v>
      </c>
      <c r="H112" s="1638" t="s">
        <v>49</v>
      </c>
      <c r="I112" s="162" t="s">
        <v>2653</v>
      </c>
      <c r="J112" s="1639">
        <v>58</v>
      </c>
      <c r="K112" s="1640"/>
      <c r="L112" s="1641"/>
      <c r="M112" s="697">
        <v>1</v>
      </c>
      <c r="N112" s="552" t="s">
        <v>527</v>
      </c>
      <c r="O112" s="1569" t="s">
        <v>61</v>
      </c>
      <c r="P112" s="232"/>
    </row>
    <row r="113" spans="1:18" ht="3" customHeight="1">
      <c r="B113" s="160"/>
      <c r="C113" s="160"/>
      <c r="D113" s="160"/>
      <c r="E113" s="160"/>
      <c r="R113" s="51"/>
    </row>
    <row r="114" spans="1:18" s="51" customFormat="1" ht="11.45" customHeight="1">
      <c r="A114" s="551" t="str">
        <f>IF($I$90="Local Redevelopment Plan", "X","")</f>
        <v/>
      </c>
      <c r="B114" s="552" t="s">
        <v>2285</v>
      </c>
      <c r="C114" s="154" t="s">
        <v>3193</v>
      </c>
      <c r="D114" s="134"/>
      <c r="E114" s="48"/>
      <c r="F114" s="572"/>
      <c r="G114" s="48" t="s">
        <v>3533</v>
      </c>
      <c r="H114" s="1642"/>
      <c r="I114" s="1336"/>
      <c r="J114" s="1336"/>
      <c r="K114" s="1336"/>
      <c r="L114" s="1337"/>
      <c r="M114" s="697">
        <v>1</v>
      </c>
      <c r="N114" s="552" t="s">
        <v>2285</v>
      </c>
      <c r="O114" s="1569" t="s">
        <v>1</v>
      </c>
      <c r="P114" s="232"/>
    </row>
    <row r="115" spans="1:18" ht="11.45" customHeight="1">
      <c r="B115" s="553" t="s">
        <v>719</v>
      </c>
      <c r="C115" s="48" t="s">
        <v>344</v>
      </c>
      <c r="D115" s="132"/>
      <c r="G115" s="132" t="s">
        <v>3195</v>
      </c>
      <c r="H115" s="1643"/>
      <c r="M115" s="572" t="str">
        <f>IF(AND($I$90="Local Redevelopment Plan",O115=""), "X","")</f>
        <v/>
      </c>
      <c r="N115" s="553" t="s">
        <v>719</v>
      </c>
      <c r="O115" s="1632" t="s">
        <v>61</v>
      </c>
      <c r="P115" s="355"/>
    </row>
    <row r="116" spans="1:18" ht="11.1" customHeight="1">
      <c r="B116" s="553" t="s">
        <v>720</v>
      </c>
      <c r="C116" s="554" t="s">
        <v>528</v>
      </c>
      <c r="D116" s="132"/>
      <c r="M116" s="572"/>
      <c r="N116" s="553" t="s">
        <v>720</v>
      </c>
      <c r="O116" s="1644" t="s">
        <v>61</v>
      </c>
      <c r="P116" s="603"/>
    </row>
    <row r="117" spans="1:18" ht="11.1" customHeight="1">
      <c r="B117" s="553" t="s">
        <v>721</v>
      </c>
      <c r="C117" s="554" t="s">
        <v>614</v>
      </c>
      <c r="M117" s="572" t="str">
        <f t="shared" ref="M117:M121" si="0">IF(AND($I$90="Local Redevelopment Plan",O117=""), "X","")</f>
        <v/>
      </c>
      <c r="N117" s="553" t="s">
        <v>721</v>
      </c>
      <c r="O117" s="1637" t="s">
        <v>61</v>
      </c>
      <c r="P117" s="542"/>
    </row>
    <row r="118" spans="1:18" ht="11.1" customHeight="1">
      <c r="B118" s="553" t="s">
        <v>722</v>
      </c>
      <c r="C118" s="554" t="s">
        <v>615</v>
      </c>
      <c r="M118" s="572" t="str">
        <f t="shared" si="0"/>
        <v/>
      </c>
      <c r="N118" s="553" t="s">
        <v>722</v>
      </c>
      <c r="O118" s="1637" t="s">
        <v>61</v>
      </c>
      <c r="P118" s="542"/>
    </row>
    <row r="119" spans="1:18" ht="11.1" customHeight="1">
      <c r="B119" s="553" t="s">
        <v>723</v>
      </c>
      <c r="C119" s="69" t="s">
        <v>529</v>
      </c>
      <c r="M119" s="572" t="str">
        <f t="shared" si="0"/>
        <v/>
      </c>
      <c r="N119" s="553" t="s">
        <v>723</v>
      </c>
      <c r="O119" s="1637" t="s">
        <v>61</v>
      </c>
      <c r="P119" s="542"/>
    </row>
    <row r="120" spans="1:18" ht="11.1" customHeight="1">
      <c r="B120" s="553" t="s">
        <v>612</v>
      </c>
      <c r="C120" s="554" t="s">
        <v>530</v>
      </c>
      <c r="D120" s="132"/>
      <c r="M120" s="572" t="str">
        <f t="shared" si="0"/>
        <v/>
      </c>
      <c r="N120" s="553" t="s">
        <v>612</v>
      </c>
      <c r="O120" s="1637" t="s">
        <v>61</v>
      </c>
      <c r="P120" s="542"/>
    </row>
    <row r="121" spans="1:18" ht="11.1" customHeight="1">
      <c r="B121" s="553" t="s">
        <v>613</v>
      </c>
      <c r="C121" s="554" t="s">
        <v>531</v>
      </c>
      <c r="M121" s="572" t="str">
        <f t="shared" si="0"/>
        <v/>
      </c>
      <c r="N121" s="553" t="s">
        <v>613</v>
      </c>
      <c r="O121" s="1633" t="s">
        <v>61</v>
      </c>
      <c r="P121" s="356"/>
    </row>
    <row r="122" spans="1:18" ht="11.45" customHeight="1">
      <c r="A122" s="551" t="str">
        <f>IF($I$90="Stable Communities &lt; 20%", "X","")</f>
        <v/>
      </c>
      <c r="C122" s="569" t="s">
        <v>535</v>
      </c>
      <c r="E122" s="160"/>
      <c r="M122" s="574"/>
      <c r="N122" s="31"/>
      <c r="O122" s="162"/>
      <c r="P122" s="162"/>
    </row>
    <row r="123" spans="1:18" ht="11.1" customHeight="1">
      <c r="B123" s="553" t="s">
        <v>532</v>
      </c>
      <c r="C123" s="554" t="s">
        <v>536</v>
      </c>
      <c r="M123" s="572"/>
      <c r="O123" s="553" t="s">
        <v>532</v>
      </c>
      <c r="P123" s="355"/>
    </row>
    <row r="124" spans="1:18" ht="11.1" customHeight="1">
      <c r="B124" s="553" t="s">
        <v>533</v>
      </c>
      <c r="C124" s="69" t="s">
        <v>537</v>
      </c>
      <c r="M124" s="572"/>
      <c r="O124" s="553" t="s">
        <v>533</v>
      </c>
      <c r="P124" s="542"/>
    </row>
    <row r="125" spans="1:18" ht="11.1" customHeight="1">
      <c r="B125" s="553" t="s">
        <v>534</v>
      </c>
      <c r="C125" s="554" t="s">
        <v>538</v>
      </c>
      <c r="M125" s="572"/>
      <c r="O125" s="553" t="s">
        <v>534</v>
      </c>
      <c r="P125" s="542"/>
    </row>
    <row r="126" spans="1:18" ht="11.1" customHeight="1">
      <c r="B126" s="553" t="s">
        <v>3194</v>
      </c>
      <c r="C126" s="69" t="s">
        <v>539</v>
      </c>
      <c r="M126" s="572"/>
      <c r="O126" s="553" t="s">
        <v>3194</v>
      </c>
      <c r="P126" s="356"/>
    </row>
    <row r="127" spans="1:18" s="51" customFormat="1" ht="14.1" customHeight="1">
      <c r="A127" s="50"/>
      <c r="B127" s="57" t="s">
        <v>3789</v>
      </c>
      <c r="C127" s="50"/>
      <c r="D127" s="56"/>
      <c r="E127" s="56"/>
      <c r="F127" s="56"/>
      <c r="G127" s="56"/>
      <c r="H127" s="44"/>
      <c r="I127" s="44"/>
      <c r="J127" s="44"/>
      <c r="K127" s="44"/>
      <c r="M127" s="54"/>
      <c r="N127" s="74"/>
      <c r="O127" s="4"/>
      <c r="P127" s="854"/>
    </row>
    <row r="128" spans="1:18" s="51" customFormat="1" ht="23.45" customHeight="1">
      <c r="A128" s="1634" t="s">
        <v>2</v>
      </c>
      <c r="B128" s="1635"/>
      <c r="C128" s="1635"/>
      <c r="D128" s="1635"/>
      <c r="E128" s="1635"/>
      <c r="F128" s="1635"/>
      <c r="G128" s="1635"/>
      <c r="H128" s="1635"/>
      <c r="I128" s="1635"/>
      <c r="J128" s="1635"/>
      <c r="K128" s="1635"/>
      <c r="L128" s="1635"/>
      <c r="M128" s="1635"/>
      <c r="N128" s="1635"/>
      <c r="O128" s="1635"/>
      <c r="P128" s="1636"/>
    </row>
    <row r="129" spans="1:17" s="51" customFormat="1" ht="11.25" customHeight="1">
      <c r="A129" s="50"/>
      <c r="B129" s="114" t="s">
        <v>1391</v>
      </c>
      <c r="C129" s="50"/>
      <c r="D129" s="114"/>
      <c r="E129" s="856"/>
      <c r="F129" s="856"/>
      <c r="G129" s="856"/>
      <c r="H129" s="856"/>
      <c r="I129" s="856"/>
      <c r="J129" s="856"/>
      <c r="K129" s="856"/>
      <c r="L129" s="856"/>
      <c r="M129" s="856"/>
      <c r="N129" s="91"/>
      <c r="O129" s="86"/>
      <c r="P129" s="3"/>
    </row>
    <row r="130" spans="1:17" s="51" customFormat="1" ht="23.45" customHeight="1">
      <c r="A130" s="1182"/>
      <c r="B130" s="1183"/>
      <c r="C130" s="1183"/>
      <c r="D130" s="1183"/>
      <c r="E130" s="1183"/>
      <c r="F130" s="1183"/>
      <c r="G130" s="1183"/>
      <c r="H130" s="1183"/>
      <c r="I130" s="1183"/>
      <c r="J130" s="1183"/>
      <c r="K130" s="1183"/>
      <c r="L130" s="1183"/>
      <c r="M130" s="1183"/>
      <c r="N130" s="1183"/>
      <c r="O130" s="1183"/>
      <c r="P130" s="1184"/>
    </row>
    <row r="131" spans="1:17" ht="3.6" customHeight="1">
      <c r="B131" s="160"/>
      <c r="C131" s="160"/>
      <c r="D131" s="160"/>
      <c r="E131" s="160"/>
    </row>
    <row r="132" spans="1:17" s="51" customFormat="1" ht="12" customHeight="1">
      <c r="A132" s="209" t="s">
        <v>3852</v>
      </c>
      <c r="B132" s="144" t="s">
        <v>540</v>
      </c>
      <c r="D132" s="49"/>
      <c r="E132" s="49"/>
      <c r="F132" s="49"/>
      <c r="H132" s="73"/>
      <c r="J132" s="73" t="s">
        <v>3549</v>
      </c>
      <c r="K132" s="56"/>
      <c r="M132" s="3">
        <v>3</v>
      </c>
      <c r="N132" s="7"/>
      <c r="O132" s="93">
        <f>MIN($M132,(O133+O139))</f>
        <v>0</v>
      </c>
      <c r="P132" s="93">
        <f>MIN($M132,(P133+P139))</f>
        <v>0</v>
      </c>
      <c r="Q132" s="148" t="s">
        <v>3548</v>
      </c>
    </row>
    <row r="133" spans="1:17" ht="12" customHeight="1">
      <c r="B133" s="848" t="s">
        <v>1150</v>
      </c>
      <c r="C133" s="254" t="s">
        <v>986</v>
      </c>
      <c r="D133" s="40"/>
      <c r="E133" s="40"/>
      <c r="F133" s="40"/>
      <c r="G133" s="31" t="str">
        <f>IF(AND(O133&lt;0,M140&lt;0),"Select either A or B but not both!&gt;","")</f>
        <v/>
      </c>
      <c r="H133" s="40"/>
      <c r="I133" s="40"/>
      <c r="J133" s="40"/>
      <c r="K133" s="40"/>
      <c r="L133" s="559" t="str">
        <f>IF(OR($O133=$M133,$O133=0,$O133=""),"","* * Check Score! * *")</f>
        <v/>
      </c>
      <c r="M133" s="3">
        <v>3</v>
      </c>
      <c r="N133" s="804" t="s">
        <v>1150</v>
      </c>
      <c r="O133" s="1645"/>
      <c r="P133" s="659"/>
    </row>
    <row r="134" spans="1:17" s="132" customFormat="1" ht="23.1" customHeight="1">
      <c r="B134" s="582" t="s">
        <v>1154</v>
      </c>
      <c r="C134" s="1208" t="s">
        <v>2654</v>
      </c>
      <c r="D134" s="1162"/>
      <c r="E134" s="1162"/>
      <c r="F134" s="1162"/>
      <c r="G134" s="1162"/>
      <c r="H134" s="1162"/>
      <c r="I134" s="1162"/>
      <c r="J134" s="1162"/>
      <c r="K134" s="1162"/>
      <c r="L134" s="1162"/>
      <c r="M134" s="658"/>
      <c r="N134" s="582" t="s">
        <v>1154</v>
      </c>
      <c r="O134" s="1569"/>
      <c r="P134" s="232"/>
    </row>
    <row r="135" spans="1:17" s="132" customFormat="1" ht="11.45" customHeight="1">
      <c r="B135" s="250"/>
      <c r="C135" s="161" t="s">
        <v>2552</v>
      </c>
      <c r="H135" s="705" t="s">
        <v>416</v>
      </c>
      <c r="I135" s="1638"/>
      <c r="J135" s="705" t="s">
        <v>830</v>
      </c>
      <c r="K135" s="1646"/>
      <c r="L135" s="1647"/>
      <c r="M135" s="1648"/>
    </row>
    <row r="136" spans="1:17" s="132" customFormat="1" ht="11.45" customHeight="1">
      <c r="B136" s="250" t="s">
        <v>1156</v>
      </c>
      <c r="C136" s="161" t="s">
        <v>2553</v>
      </c>
      <c r="M136" s="8"/>
      <c r="N136" s="250" t="s">
        <v>1156</v>
      </c>
      <c r="O136" s="1632"/>
      <c r="P136" s="355"/>
    </row>
    <row r="137" spans="1:17" s="132" customFormat="1" ht="11.45" customHeight="1">
      <c r="B137" s="250" t="s">
        <v>527</v>
      </c>
      <c r="C137" s="161" t="s">
        <v>2661</v>
      </c>
      <c r="M137" s="8"/>
      <c r="N137" s="250" t="s">
        <v>527</v>
      </c>
      <c r="O137" s="1637"/>
      <c r="P137" s="542"/>
    </row>
    <row r="138" spans="1:17" s="132" customFormat="1" ht="11.45" customHeight="1">
      <c r="B138" s="250" t="s">
        <v>2285</v>
      </c>
      <c r="C138" s="161" t="s">
        <v>2662</v>
      </c>
      <c r="M138" s="8"/>
      <c r="N138" s="250" t="s">
        <v>2285</v>
      </c>
      <c r="O138" s="1633"/>
      <c r="P138" s="356"/>
    </row>
    <row r="139" spans="1:17" ht="12" customHeight="1">
      <c r="A139" s="254" t="s">
        <v>2185</v>
      </c>
      <c r="B139" s="848" t="s">
        <v>1153</v>
      </c>
      <c r="C139" s="254" t="s">
        <v>987</v>
      </c>
      <c r="D139" s="160"/>
      <c r="E139" s="667" t="s">
        <v>512</v>
      </c>
      <c r="M139" s="3">
        <v>3</v>
      </c>
      <c r="N139" s="804" t="s">
        <v>1153</v>
      </c>
      <c r="O139" s="660">
        <f>IF($M140=5,3,IF($M140=4,2,0))</f>
        <v>0</v>
      </c>
      <c r="P139" s="85"/>
    </row>
    <row r="140" spans="1:17" ht="12" customHeight="1">
      <c r="B140" s="122"/>
      <c r="D140" s="40"/>
      <c r="E140" s="40"/>
      <c r="F140" s="40"/>
      <c r="G140" s="48"/>
      <c r="H140" s="48"/>
      <c r="I140" s="48"/>
      <c r="J140" s="48"/>
      <c r="L140" s="575" t="s">
        <v>3347</v>
      </c>
      <c r="M140" s="1569" t="s">
        <v>3709</v>
      </c>
      <c r="N140" s="184" t="s">
        <v>3348</v>
      </c>
      <c r="O140" s="134"/>
      <c r="P140" s="134"/>
    </row>
    <row r="141" spans="1:17" s="51" customFormat="1" ht="11.45" customHeight="1">
      <c r="A141" s="50"/>
      <c r="B141" s="57" t="s">
        <v>3789</v>
      </c>
      <c r="C141" s="50"/>
      <c r="D141" s="56"/>
      <c r="E141" s="56"/>
      <c r="F141" s="56"/>
      <c r="G141" s="56"/>
      <c r="H141" s="44"/>
      <c r="I141" s="44"/>
      <c r="J141" s="44"/>
      <c r="K141" s="44"/>
      <c r="M141" s="54"/>
      <c r="N141" s="74"/>
      <c r="O141" s="4"/>
      <c r="P141" s="854"/>
    </row>
    <row r="142" spans="1:17" s="51" customFormat="1" ht="11.45" customHeight="1">
      <c r="A142" s="1573"/>
      <c r="B142" s="1574"/>
      <c r="C142" s="1574"/>
      <c r="D142" s="1574"/>
      <c r="E142" s="1574"/>
      <c r="F142" s="1574"/>
      <c r="G142" s="1574"/>
      <c r="H142" s="1574"/>
      <c r="I142" s="1574"/>
      <c r="J142" s="1574"/>
      <c r="K142" s="1574"/>
      <c r="L142" s="1574"/>
      <c r="M142" s="1574"/>
      <c r="N142" s="1574"/>
      <c r="O142" s="1574"/>
      <c r="P142" s="1575"/>
      <c r="Q142" s="737" t="s">
        <v>2219</v>
      </c>
    </row>
    <row r="143" spans="1:17" s="51" customFormat="1" ht="11.45" customHeight="1">
      <c r="B143" s="114" t="s">
        <v>1391</v>
      </c>
      <c r="C143" s="130"/>
      <c r="D143" s="114"/>
      <c r="E143" s="131"/>
      <c r="F143" s="856"/>
      <c r="G143" s="856"/>
      <c r="H143" s="856"/>
      <c r="I143" s="856"/>
      <c r="J143" s="856"/>
      <c r="K143" s="856"/>
      <c r="L143" s="856"/>
      <c r="M143" s="856"/>
      <c r="N143" s="91"/>
      <c r="O143" s="86"/>
      <c r="P143" s="3"/>
      <c r="Q143" s="689"/>
    </row>
    <row r="144" spans="1:17" s="51" customFormat="1" ht="11.45" customHeight="1">
      <c r="A144" s="1109"/>
      <c r="B144" s="1110"/>
      <c r="C144" s="1110"/>
      <c r="D144" s="1110"/>
      <c r="E144" s="1110"/>
      <c r="F144" s="1110"/>
      <c r="G144" s="1110"/>
      <c r="H144" s="1110"/>
      <c r="I144" s="1110"/>
      <c r="J144" s="1110"/>
      <c r="K144" s="1110"/>
      <c r="L144" s="1110"/>
      <c r="M144" s="1110"/>
      <c r="N144" s="1110"/>
      <c r="O144" s="1110"/>
      <c r="P144" s="1111"/>
      <c r="Q144" s="737" t="s">
        <v>2219</v>
      </c>
    </row>
    <row r="145" spans="1:17" ht="12" customHeight="1">
      <c r="B145" s="160"/>
      <c r="C145" s="160"/>
      <c r="D145" s="160"/>
      <c r="E145" s="160"/>
    </row>
    <row r="146" spans="1:17" s="51" customFormat="1" ht="12" customHeight="1">
      <c r="A146" s="209" t="s">
        <v>3853</v>
      </c>
      <c r="B146" s="144" t="s">
        <v>541</v>
      </c>
      <c r="D146" s="49"/>
      <c r="E146" s="49"/>
      <c r="F146" s="49"/>
      <c r="H146" s="73"/>
      <c r="K146" s="56"/>
      <c r="L146" s="559" t="str">
        <f>IF(OR($O146=$M146,$O146=0,$O146=""),"","* * Check Score! * *")</f>
        <v/>
      </c>
      <c r="M146" s="3">
        <v>2</v>
      </c>
      <c r="N146" s="602" t="str">
        <f>IF(OR($O146=$M146,$O146=0,$O146=""),"","***")</f>
        <v/>
      </c>
      <c r="O146" s="1625">
        <v>2</v>
      </c>
      <c r="P146" s="85"/>
      <c r="Q146" s="148" t="s">
        <v>3548</v>
      </c>
    </row>
    <row r="147" spans="1:17" ht="11.45" customHeight="1">
      <c r="B147" s="233" t="s">
        <v>1546</v>
      </c>
      <c r="E147" s="160"/>
      <c r="M147" s="574"/>
      <c r="N147" s="31"/>
      <c r="O147" s="31"/>
      <c r="P147" s="162" t="s">
        <v>598</v>
      </c>
    </row>
    <row r="148" spans="1:17" s="584" customFormat="1" ht="11.45" customHeight="1">
      <c r="A148" s="576" t="s">
        <v>719</v>
      </c>
      <c r="B148" s="717" t="s">
        <v>638</v>
      </c>
      <c r="D148" s="718"/>
      <c r="M148" s="719"/>
      <c r="N148" s="576"/>
      <c r="O148" s="576" t="s">
        <v>719</v>
      </c>
      <c r="P148" s="357"/>
    </row>
    <row r="149" spans="1:17" s="584" customFormat="1">
      <c r="A149" s="576" t="s">
        <v>720</v>
      </c>
      <c r="B149" s="1170" t="s">
        <v>346</v>
      </c>
      <c r="C149" s="1006"/>
      <c r="D149" s="1006"/>
      <c r="E149" s="1006"/>
      <c r="F149" s="1006"/>
      <c r="G149" s="1006"/>
      <c r="H149" s="1006"/>
      <c r="I149" s="1006"/>
      <c r="J149" s="1006"/>
      <c r="K149" s="1006"/>
      <c r="L149" s="1006"/>
      <c r="M149" s="1006"/>
      <c r="N149" s="1006"/>
      <c r="O149" s="576" t="s">
        <v>720</v>
      </c>
      <c r="P149" s="720"/>
    </row>
    <row r="150" spans="1:17" s="584" customFormat="1">
      <c r="A150" s="576" t="s">
        <v>721</v>
      </c>
      <c r="B150" s="1170" t="s">
        <v>305</v>
      </c>
      <c r="C150" s="1175"/>
      <c r="D150" s="1175"/>
      <c r="E150" s="1175"/>
      <c r="F150" s="1175"/>
      <c r="G150" s="1175"/>
      <c r="H150" s="1175"/>
      <c r="I150" s="1175"/>
      <c r="J150" s="1175"/>
      <c r="K150" s="1175"/>
      <c r="L150" s="1175"/>
      <c r="M150" s="1175"/>
      <c r="N150" s="1175"/>
      <c r="O150" s="576" t="s">
        <v>721</v>
      </c>
      <c r="P150" s="720"/>
    </row>
    <row r="151" spans="1:17" s="584" customFormat="1">
      <c r="A151" s="576" t="s">
        <v>722</v>
      </c>
      <c r="B151" s="1112" t="s">
        <v>306</v>
      </c>
      <c r="C151" s="1174"/>
      <c r="D151" s="1174"/>
      <c r="E151" s="1174"/>
      <c r="F151" s="1174"/>
      <c r="G151" s="1174"/>
      <c r="H151" s="1174"/>
      <c r="I151" s="1174"/>
      <c r="J151" s="1174"/>
      <c r="K151" s="1174"/>
      <c r="L151" s="1174"/>
      <c r="M151" s="1174"/>
      <c r="N151" s="1174"/>
      <c r="O151" s="576" t="s">
        <v>722</v>
      </c>
      <c r="P151" s="720"/>
    </row>
    <row r="152" spans="1:17" s="584" customFormat="1" ht="23.45" customHeight="1">
      <c r="A152" s="576" t="s">
        <v>723</v>
      </c>
      <c r="B152" s="1175" t="s">
        <v>850</v>
      </c>
      <c r="C152" s="1006"/>
      <c r="D152" s="1006"/>
      <c r="E152" s="1006"/>
      <c r="F152" s="1006"/>
      <c r="G152" s="1006"/>
      <c r="H152" s="1006"/>
      <c r="I152" s="1006"/>
      <c r="J152" s="1006"/>
      <c r="K152" s="1006"/>
      <c r="L152" s="1006"/>
      <c r="M152" s="1006"/>
      <c r="N152" s="1006"/>
      <c r="O152" s="576" t="s">
        <v>723</v>
      </c>
      <c r="P152" s="720"/>
    </row>
    <row r="153" spans="1:17" s="584" customFormat="1" ht="12.75" customHeight="1">
      <c r="A153" s="576" t="s">
        <v>612</v>
      </c>
      <c r="B153" s="717" t="s">
        <v>851</v>
      </c>
      <c r="M153" s="719"/>
      <c r="N153" s="576"/>
      <c r="O153" s="576" t="s">
        <v>612</v>
      </c>
      <c r="P153" s="720"/>
    </row>
    <row r="154" spans="1:17" s="584" customFormat="1" ht="12.75" customHeight="1">
      <c r="A154" s="576" t="s">
        <v>613</v>
      </c>
      <c r="B154" s="717" t="s">
        <v>1547</v>
      </c>
      <c r="M154" s="719"/>
      <c r="N154" s="576"/>
      <c r="O154" s="576" t="s">
        <v>613</v>
      </c>
      <c r="P154" s="720"/>
    </row>
    <row r="155" spans="1:17" s="584" customFormat="1" ht="12.75" customHeight="1">
      <c r="A155" s="576" t="s">
        <v>532</v>
      </c>
      <c r="B155" s="295" t="s">
        <v>1548</v>
      </c>
      <c r="M155" s="719"/>
      <c r="N155" s="576"/>
      <c r="O155" s="576" t="s">
        <v>532</v>
      </c>
      <c r="P155" s="358"/>
    </row>
    <row r="156" spans="1:17" s="51" customFormat="1" ht="12.75" customHeight="1">
      <c r="A156" s="50"/>
      <c r="B156" s="57" t="s">
        <v>3789</v>
      </c>
      <c r="C156" s="50"/>
      <c r="D156" s="56"/>
      <c r="E156" s="56"/>
      <c r="F156" s="56"/>
      <c r="G156" s="56"/>
      <c r="H156" s="44"/>
      <c r="I156" s="44"/>
      <c r="J156" s="44"/>
      <c r="K156" s="44"/>
      <c r="M156" s="54"/>
      <c r="N156" s="74"/>
      <c r="O156" s="4"/>
      <c r="P156" s="854"/>
    </row>
    <row r="157" spans="1:17" s="51" customFormat="1" ht="24.6" customHeight="1">
      <c r="A157" s="1573"/>
      <c r="B157" s="1574"/>
      <c r="C157" s="1574"/>
      <c r="D157" s="1574"/>
      <c r="E157" s="1574"/>
      <c r="F157" s="1574"/>
      <c r="G157" s="1574"/>
      <c r="H157" s="1574"/>
      <c r="I157" s="1574"/>
      <c r="J157" s="1574"/>
      <c r="K157" s="1574"/>
      <c r="L157" s="1574"/>
      <c r="M157" s="1574"/>
      <c r="N157" s="1574"/>
      <c r="O157" s="1574"/>
      <c r="P157" s="1575"/>
    </row>
    <row r="158" spans="1:17" s="51" customFormat="1" ht="11.25" customHeight="1">
      <c r="A158" s="50"/>
      <c r="B158" s="114" t="s">
        <v>1391</v>
      </c>
      <c r="C158" s="50"/>
      <c r="D158" s="114"/>
      <c r="E158" s="856"/>
      <c r="F158" s="856"/>
      <c r="G158" s="856"/>
      <c r="H158" s="856"/>
      <c r="I158" s="856"/>
      <c r="J158" s="856"/>
      <c r="K158" s="856"/>
      <c r="L158" s="856"/>
      <c r="M158" s="856"/>
      <c r="N158" s="91"/>
      <c r="O158" s="86"/>
      <c r="P158" s="3"/>
    </row>
    <row r="159" spans="1:17" s="51" customFormat="1" ht="40.5" customHeight="1">
      <c r="A159" s="1109"/>
      <c r="B159" s="1110"/>
      <c r="C159" s="1110"/>
      <c r="D159" s="1110"/>
      <c r="E159" s="1110"/>
      <c r="F159" s="1110"/>
      <c r="G159" s="1110"/>
      <c r="H159" s="1110"/>
      <c r="I159" s="1110"/>
      <c r="J159" s="1110"/>
      <c r="K159" s="1110"/>
      <c r="L159" s="1110"/>
      <c r="M159" s="1110"/>
      <c r="N159" s="1110"/>
      <c r="O159" s="1110"/>
      <c r="P159" s="1111"/>
    </row>
    <row r="160" spans="1:17" ht="3" customHeight="1">
      <c r="B160" s="160"/>
      <c r="C160" s="160"/>
      <c r="D160" s="160"/>
      <c r="E160" s="160"/>
    </row>
    <row r="161" spans="1:18" s="51" customFormat="1" ht="12" customHeight="1">
      <c r="A161" s="210" t="s">
        <v>3854</v>
      </c>
      <c r="B161" s="145" t="s">
        <v>988</v>
      </c>
      <c r="C161" s="64"/>
      <c r="D161" s="159"/>
      <c r="E161" s="159"/>
      <c r="F161" s="49"/>
      <c r="H161" s="47"/>
      <c r="J161" s="73" t="s">
        <v>3549</v>
      </c>
      <c r="K161" s="56"/>
      <c r="M161" s="3">
        <v>1</v>
      </c>
      <c r="N161" s="7"/>
      <c r="O161" s="93">
        <f>MIN($M161,SUM(O162:O163))</f>
        <v>1</v>
      </c>
      <c r="P161" s="93">
        <f>MIN($M161,SUM(P162:P163))</f>
        <v>0</v>
      </c>
      <c r="Q161" s="148" t="s">
        <v>3548</v>
      </c>
    </row>
    <row r="162" spans="1:18" s="134" customFormat="1" ht="12" customHeight="1">
      <c r="A162" s="189" t="s">
        <v>1150</v>
      </c>
      <c r="B162" s="236" t="s">
        <v>989</v>
      </c>
      <c r="D162" s="73"/>
      <c r="E162" s="73"/>
      <c r="F162" s="52"/>
      <c r="G162" s="31"/>
      <c r="K162" s="804" t="s">
        <v>119</v>
      </c>
      <c r="L162" s="1569" t="s">
        <v>63</v>
      </c>
      <c r="M162" s="8">
        <v>1</v>
      </c>
      <c r="N162" s="804" t="s">
        <v>1150</v>
      </c>
      <c r="O162" s="1625">
        <v>1</v>
      </c>
      <c r="P162" s="85"/>
      <c r="Q162" s="148"/>
      <c r="R162" s="559" t="str">
        <f>IF(OR($O162=$M162,$O162=0,$O162=""),"","* * Check Score! * *")</f>
        <v/>
      </c>
    </row>
    <row r="163" spans="1:18" s="51" customFormat="1" ht="12" customHeight="1">
      <c r="A163" s="189" t="s">
        <v>1153</v>
      </c>
      <c r="B163" s="236" t="s">
        <v>990</v>
      </c>
      <c r="D163" s="69"/>
      <c r="E163" s="38"/>
      <c r="F163" s="62" t="s">
        <v>206</v>
      </c>
      <c r="K163" s="62"/>
      <c r="L163" s="559"/>
      <c r="M163" s="8">
        <v>1</v>
      </c>
      <c r="N163" s="804" t="s">
        <v>1153</v>
      </c>
      <c r="O163" s="1625"/>
      <c r="P163" s="85"/>
      <c r="R163" s="559" t="str">
        <f>IF(OR($O163=$M163,$O163=0,$O163=""),"","* * Check Score! * *")</f>
        <v/>
      </c>
    </row>
    <row r="164" spans="1:18" s="51" customFormat="1" ht="11.25" customHeight="1">
      <c r="A164" s="50"/>
      <c r="B164" s="57" t="s">
        <v>3789</v>
      </c>
      <c r="C164" s="50"/>
      <c r="D164" s="56"/>
      <c r="E164" s="56"/>
      <c r="F164" s="56"/>
      <c r="G164" s="56"/>
      <c r="H164" s="44"/>
      <c r="I164" s="44"/>
      <c r="J164" s="44"/>
      <c r="K164" s="44"/>
      <c r="M164" s="54"/>
      <c r="N164" s="74"/>
      <c r="O164" s="4"/>
      <c r="P164" s="854"/>
    </row>
    <row r="165" spans="1:18" s="51" customFormat="1" ht="12.6" customHeight="1">
      <c r="A165" s="1573"/>
      <c r="B165" s="1574"/>
      <c r="C165" s="1574"/>
      <c r="D165" s="1574"/>
      <c r="E165" s="1574"/>
      <c r="F165" s="1574"/>
      <c r="G165" s="1574"/>
      <c r="H165" s="1574"/>
      <c r="I165" s="1574"/>
      <c r="J165" s="1574"/>
      <c r="K165" s="1574"/>
      <c r="L165" s="1574"/>
      <c r="M165" s="1574"/>
      <c r="N165" s="1574"/>
      <c r="O165" s="1574"/>
      <c r="P165" s="1575"/>
      <c r="Q165" s="737" t="s">
        <v>2219</v>
      </c>
    </row>
    <row r="166" spans="1:18" s="51" customFormat="1" ht="11.25" customHeight="1">
      <c r="A166" s="50"/>
      <c r="B166" s="114" t="s">
        <v>1391</v>
      </c>
      <c r="C166" s="130"/>
      <c r="D166" s="114"/>
      <c r="E166" s="131"/>
      <c r="F166" s="856"/>
      <c r="G166" s="856"/>
      <c r="H166" s="856"/>
      <c r="I166" s="856"/>
      <c r="J166" s="856"/>
      <c r="K166" s="856"/>
      <c r="L166" s="856"/>
      <c r="M166" s="856"/>
      <c r="N166" s="91"/>
      <c r="O166" s="86"/>
      <c r="P166" s="3"/>
      <c r="Q166" s="689"/>
    </row>
    <row r="167" spans="1:18" s="51" customFormat="1" ht="12.6" customHeight="1">
      <c r="A167" s="1109"/>
      <c r="B167" s="1110"/>
      <c r="C167" s="1110"/>
      <c r="D167" s="1110"/>
      <c r="E167" s="1110"/>
      <c r="F167" s="1110"/>
      <c r="G167" s="1110"/>
      <c r="H167" s="1110"/>
      <c r="I167" s="1110"/>
      <c r="J167" s="1110"/>
      <c r="K167" s="1110"/>
      <c r="L167" s="1110"/>
      <c r="M167" s="1110"/>
      <c r="N167" s="1110"/>
      <c r="O167" s="1110"/>
      <c r="P167" s="1111"/>
      <c r="Q167" s="737" t="s">
        <v>2219</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3762</v>
      </c>
      <c r="B169" s="152" t="s">
        <v>212</v>
      </c>
      <c r="C169" s="116"/>
      <c r="D169" s="70"/>
      <c r="E169" s="62"/>
      <c r="J169" s="73"/>
      <c r="K169" s="734" t="s">
        <v>153</v>
      </c>
      <c r="L169" s="801" t="str">
        <f>'Part I-Project Information'!E81</f>
        <v>Yes</v>
      </c>
      <c r="M169" s="3">
        <v>3</v>
      </c>
      <c r="N169" s="7"/>
      <c r="O169" s="7"/>
      <c r="P169" s="85"/>
      <c r="Q169" s="148" t="s">
        <v>3548</v>
      </c>
    </row>
    <row r="170" spans="1:18" s="51" customFormat="1" ht="12" customHeight="1">
      <c r="A170" s="189"/>
      <c r="B170" s="65" t="s">
        <v>695</v>
      </c>
      <c r="D170" s="40"/>
      <c r="N170" s="804"/>
      <c r="O170" s="1569" t="s">
        <v>63</v>
      </c>
      <c r="P170" s="232"/>
      <c r="R170" s="559"/>
    </row>
    <row r="171" spans="1:18" s="51" customFormat="1" ht="12" customHeight="1">
      <c r="A171" s="189"/>
      <c r="B171" s="65" t="s">
        <v>165</v>
      </c>
      <c r="D171" s="40"/>
      <c r="N171" s="804"/>
      <c r="O171" s="1569" t="s">
        <v>63</v>
      </c>
      <c r="P171" s="232"/>
      <c r="R171" s="559"/>
    </row>
    <row r="172" spans="1:18" s="51" customFormat="1" ht="12" customHeight="1">
      <c r="A172" s="50"/>
      <c r="B172" s="57" t="s">
        <v>3789</v>
      </c>
      <c r="C172" s="50"/>
      <c r="D172" s="56"/>
      <c r="E172" s="56"/>
      <c r="F172" s="56"/>
      <c r="G172" s="56"/>
      <c r="H172" s="44"/>
      <c r="I172" s="44"/>
      <c r="J172" s="44"/>
      <c r="K172" s="44"/>
      <c r="M172" s="54"/>
      <c r="N172" s="74"/>
      <c r="O172" s="4"/>
      <c r="P172" s="854"/>
    </row>
    <row r="173" spans="1:18" s="51" customFormat="1" ht="12.75" customHeight="1">
      <c r="A173" s="1573"/>
      <c r="B173" s="1574"/>
      <c r="C173" s="1574"/>
      <c r="D173" s="1574"/>
      <c r="E173" s="1574"/>
      <c r="F173" s="1574"/>
      <c r="G173" s="1574"/>
      <c r="H173" s="1574"/>
      <c r="I173" s="1574"/>
      <c r="J173" s="1574"/>
      <c r="K173" s="1574"/>
      <c r="L173" s="1574"/>
      <c r="M173" s="1574"/>
      <c r="N173" s="1574"/>
      <c r="O173" s="1574"/>
      <c r="P173" s="1575"/>
    </row>
    <row r="174" spans="1:18" s="51" customFormat="1" ht="12" customHeight="1">
      <c r="B174" s="114" t="s">
        <v>1391</v>
      </c>
      <c r="C174" s="130"/>
      <c r="D174" s="114"/>
      <c r="E174" s="131"/>
      <c r="F174" s="856"/>
      <c r="G174" s="856"/>
      <c r="H174" s="856"/>
      <c r="I174" s="856"/>
      <c r="J174" s="856"/>
      <c r="K174" s="856"/>
      <c r="L174" s="856"/>
      <c r="M174" s="856"/>
      <c r="N174" s="91"/>
      <c r="O174" s="86"/>
      <c r="P174" s="3"/>
    </row>
    <row r="175" spans="1:18" s="51" customFormat="1" ht="12.75" customHeight="1">
      <c r="A175" s="1109"/>
      <c r="B175" s="1110"/>
      <c r="C175" s="1110"/>
      <c r="D175" s="1110"/>
      <c r="E175" s="1110"/>
      <c r="F175" s="1110"/>
      <c r="G175" s="1110"/>
      <c r="H175" s="1110"/>
      <c r="I175" s="1110"/>
      <c r="J175" s="1110"/>
      <c r="K175" s="1110"/>
      <c r="L175" s="1110"/>
      <c r="M175" s="1110"/>
      <c r="N175" s="1110"/>
      <c r="O175" s="1110"/>
      <c r="P175" s="1111"/>
    </row>
    <row r="176" spans="1:18" ht="6" customHeight="1"/>
    <row r="177" spans="1:18" s="75" customFormat="1" ht="12.6" customHeight="1">
      <c r="A177" s="209" t="s">
        <v>3763</v>
      </c>
      <c r="B177" s="144" t="s">
        <v>3114</v>
      </c>
      <c r="E177" s="259" t="s">
        <v>129</v>
      </c>
      <c r="G177" s="159"/>
      <c r="H177" s="666"/>
      <c r="I177" s="159"/>
      <c r="J177" s="802">
        <f>'Part VI-Revenues &amp; Expenses'!$M$74</f>
        <v>91</v>
      </c>
      <c r="K177" s="159"/>
      <c r="L177" s="803" t="str">
        <f>IF(AND(J177=0,O177&gt;0),"&lt;&lt;&lt; Check NC units!","")</f>
        <v/>
      </c>
      <c r="M177" s="3">
        <v>3</v>
      </c>
      <c r="N177" s="602" t="str">
        <f>IF(OR($O177=$M177,$O177=0,$O177=""),"","***")</f>
        <v/>
      </c>
      <c r="O177" s="1625"/>
      <c r="P177" s="85"/>
      <c r="Q177" s="148" t="s">
        <v>3548</v>
      </c>
      <c r="R177" s="31"/>
    </row>
    <row r="178" spans="1:18" s="75" customFormat="1" ht="25.35" customHeight="1">
      <c r="A178" s="209"/>
      <c r="B178" s="1096" t="s">
        <v>128</v>
      </c>
      <c r="C178" s="1207"/>
      <c r="D178" s="1207"/>
      <c r="E178" s="1207"/>
      <c r="F178" s="1207"/>
      <c r="G178" s="1207"/>
      <c r="H178" s="1207"/>
      <c r="I178" s="1207"/>
      <c r="J178" s="1207"/>
      <c r="K178" s="1207"/>
      <c r="L178" s="1207"/>
      <c r="M178" s="1207"/>
      <c r="N178" s="3"/>
      <c r="O178" s="3"/>
      <c r="P178" s="3"/>
      <c r="Q178" s="148"/>
      <c r="R178" s="559"/>
    </row>
    <row r="179" spans="1:18" s="51" customFormat="1" ht="14.1" customHeight="1">
      <c r="A179" s="50"/>
      <c r="B179" s="57" t="s">
        <v>3789</v>
      </c>
      <c r="C179" s="50"/>
      <c r="D179" s="56"/>
      <c r="E179" s="56"/>
      <c r="F179" s="56"/>
      <c r="G179" s="56"/>
      <c r="H179" s="44"/>
      <c r="I179" s="44"/>
      <c r="J179" s="114" t="s">
        <v>1391</v>
      </c>
      <c r="M179" s="54"/>
      <c r="N179" s="74"/>
      <c r="O179" s="4"/>
      <c r="P179" s="854"/>
    </row>
    <row r="180" spans="1:18" s="51" customFormat="1" ht="12" customHeight="1">
      <c r="A180" s="1573"/>
      <c r="B180" s="1574"/>
      <c r="C180" s="1574"/>
      <c r="D180" s="1574"/>
      <c r="E180" s="1574"/>
      <c r="F180" s="1574"/>
      <c r="G180" s="1574"/>
      <c r="H180" s="1574"/>
      <c r="I180" s="1575"/>
      <c r="J180" s="1109"/>
      <c r="K180" s="1110"/>
      <c r="L180" s="1110"/>
      <c r="M180" s="1110"/>
      <c r="N180" s="1110"/>
      <c r="O180" s="1110"/>
      <c r="P180" s="1111"/>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2097</v>
      </c>
      <c r="B182" s="153" t="s">
        <v>1552</v>
      </c>
      <c r="D182" s="117"/>
      <c r="E182" s="117"/>
      <c r="F182" s="62"/>
      <c r="G182" s="62"/>
      <c r="H182" s="62"/>
      <c r="I182" s="62"/>
      <c r="J182" s="64"/>
      <c r="K182" s="72"/>
      <c r="L182" s="559" t="str">
        <f>IF(OR($O182=$M182,$O182=0,$O182=""),"","* * Check Score! * *")</f>
        <v/>
      </c>
      <c r="M182" s="1">
        <v>1</v>
      </c>
      <c r="N182" s="602" t="str">
        <f>IF(OR($O182=$M182,$O182=0,$O182=""),"","***")</f>
        <v/>
      </c>
      <c r="O182" s="1625"/>
      <c r="P182" s="85"/>
      <c r="Q182" s="148" t="s">
        <v>3548</v>
      </c>
    </row>
    <row r="183" spans="1:18" s="51" customFormat="1" ht="12.6" customHeight="1">
      <c r="A183" s="50"/>
      <c r="B183" s="154" t="s">
        <v>1367</v>
      </c>
      <c r="D183" s="134"/>
      <c r="E183" s="1629" t="s">
        <v>1409</v>
      </c>
      <c r="F183" s="1630"/>
      <c r="G183" s="1649"/>
      <c r="H183" s="1650"/>
      <c r="I183" s="61" t="s">
        <v>1366</v>
      </c>
      <c r="O183" s="162" t="s">
        <v>598</v>
      </c>
      <c r="P183" s="162" t="s">
        <v>598</v>
      </c>
    </row>
    <row r="184" spans="1:18" s="132" customFormat="1" ht="11.45" customHeight="1">
      <c r="A184" s="189" t="s">
        <v>1150</v>
      </c>
      <c r="B184" s="161" t="s">
        <v>1554</v>
      </c>
      <c r="D184" s="161"/>
      <c r="E184" s="161"/>
      <c r="F184" s="161"/>
      <c r="G184" s="1651" t="s">
        <v>737</v>
      </c>
      <c r="H184" s="1652"/>
      <c r="I184" s="1653"/>
      <c r="J184" s="1651" t="s">
        <v>2352</v>
      </c>
      <c r="K184" s="1652"/>
      <c r="L184" s="1653"/>
      <c r="N184" s="804" t="s">
        <v>1150</v>
      </c>
      <c r="O184" s="1569"/>
      <c r="P184" s="232"/>
    </row>
    <row r="185" spans="1:18" s="132" customFormat="1" ht="11.45" customHeight="1">
      <c r="A185" s="189" t="s">
        <v>1153</v>
      </c>
      <c r="B185" s="161" t="s">
        <v>3550</v>
      </c>
      <c r="D185" s="161"/>
      <c r="E185" s="161"/>
      <c r="F185" s="161"/>
      <c r="G185" s="161"/>
      <c r="L185" s="161"/>
      <c r="M185" s="161"/>
      <c r="N185" s="804" t="s">
        <v>1153</v>
      </c>
      <c r="O185" s="1569"/>
      <c r="P185" s="232"/>
    </row>
    <row r="186" spans="1:18" s="132" customFormat="1" ht="11.45" customHeight="1">
      <c r="A186" s="189" t="s">
        <v>3012</v>
      </c>
      <c r="B186" s="161" t="s">
        <v>1642</v>
      </c>
      <c r="D186" s="161"/>
      <c r="E186" s="161"/>
      <c r="F186" s="161"/>
      <c r="G186" s="161"/>
      <c r="H186" s="161"/>
      <c r="L186" s="161"/>
      <c r="M186" s="161"/>
      <c r="N186" s="804" t="s">
        <v>3012</v>
      </c>
      <c r="O186" s="1569"/>
      <c r="P186" s="232"/>
    </row>
    <row r="187" spans="1:18" s="132" customFormat="1" ht="11.45" customHeight="1">
      <c r="A187" s="189" t="s">
        <v>1220</v>
      </c>
      <c r="B187" s="184" t="s">
        <v>257</v>
      </c>
      <c r="D187" s="161"/>
      <c r="E187" s="161"/>
      <c r="F187" s="161"/>
      <c r="G187" s="161"/>
      <c r="H187" s="161"/>
      <c r="I187" s="161"/>
      <c r="J187" s="161"/>
      <c r="K187" s="161"/>
      <c r="L187" s="161"/>
      <c r="M187" s="161"/>
      <c r="N187" s="804" t="s">
        <v>1220</v>
      </c>
      <c r="O187" s="1569"/>
      <c r="P187" s="232"/>
    </row>
    <row r="188" spans="1:18" s="51" customFormat="1" ht="11.25" customHeight="1">
      <c r="A188" s="50"/>
      <c r="B188" s="57" t="s">
        <v>3789</v>
      </c>
      <c r="C188" s="50"/>
      <c r="D188" s="56"/>
      <c r="E188" s="56"/>
      <c r="F188" s="56"/>
      <c r="G188" s="56"/>
      <c r="H188" s="44"/>
      <c r="I188" s="44"/>
      <c r="J188" s="44"/>
      <c r="K188" s="44"/>
      <c r="M188" s="54"/>
      <c r="N188" s="74"/>
      <c r="O188" s="4"/>
      <c r="P188" s="854"/>
    </row>
    <row r="189" spans="1:18" s="51" customFormat="1" ht="12.75" customHeight="1">
      <c r="A189" s="1573"/>
      <c r="B189" s="1574"/>
      <c r="C189" s="1574"/>
      <c r="D189" s="1574"/>
      <c r="E189" s="1574"/>
      <c r="F189" s="1574"/>
      <c r="G189" s="1574"/>
      <c r="H189" s="1574"/>
      <c r="I189" s="1574"/>
      <c r="J189" s="1574"/>
      <c r="K189" s="1574"/>
      <c r="L189" s="1574"/>
      <c r="M189" s="1574"/>
      <c r="N189" s="1574"/>
      <c r="O189" s="1574"/>
      <c r="P189" s="1575"/>
      <c r="Q189" s="737" t="s">
        <v>2219</v>
      </c>
    </row>
    <row r="190" spans="1:18" s="51" customFormat="1" ht="11.25" customHeight="1">
      <c r="A190" s="50"/>
      <c r="B190" s="114" t="s">
        <v>1391</v>
      </c>
      <c r="C190" s="130"/>
      <c r="D190" s="114"/>
      <c r="E190" s="131"/>
      <c r="F190" s="856"/>
      <c r="G190" s="856"/>
      <c r="H190" s="856"/>
      <c r="I190" s="856"/>
      <c r="J190" s="856"/>
      <c r="K190" s="856"/>
      <c r="L190" s="856"/>
      <c r="M190" s="856"/>
      <c r="N190" s="91"/>
      <c r="O190" s="86"/>
      <c r="P190" s="3"/>
      <c r="Q190" s="689"/>
    </row>
    <row r="191" spans="1:18" s="51" customFormat="1" ht="12.75" customHeight="1">
      <c r="A191" s="1109"/>
      <c r="B191" s="1110"/>
      <c r="C191" s="1110"/>
      <c r="D191" s="1110"/>
      <c r="E191" s="1110"/>
      <c r="F191" s="1110"/>
      <c r="G191" s="1110"/>
      <c r="H191" s="1110"/>
      <c r="I191" s="1110"/>
      <c r="J191" s="1110"/>
      <c r="K191" s="1110"/>
      <c r="L191" s="1110"/>
      <c r="M191" s="1110"/>
      <c r="N191" s="1110"/>
      <c r="O191" s="1110"/>
      <c r="P191" s="1111"/>
      <c r="Q191" s="737" t="s">
        <v>2219</v>
      </c>
    </row>
    <row r="192" spans="1:18" ht="3" customHeight="1"/>
    <row r="193" spans="1:18" s="51" customFormat="1" ht="15">
      <c r="A193" s="209" t="s">
        <v>1551</v>
      </c>
      <c r="B193" s="153" t="s">
        <v>1368</v>
      </c>
      <c r="D193" s="117"/>
      <c r="E193" s="117"/>
      <c r="F193" s="62"/>
      <c r="G193" s="62"/>
      <c r="H193" s="62"/>
      <c r="I193" s="62"/>
      <c r="J193" s="64"/>
      <c r="K193" s="72"/>
      <c r="L193" s="68" t="str">
        <f>IF(M193&gt;14,"Over limit!","")</f>
        <v/>
      </c>
      <c r="M193" s="4">
        <v>7</v>
      </c>
      <c r="N193" s="7"/>
      <c r="O193" s="77">
        <f>O201+O216+O218</f>
        <v>3</v>
      </c>
      <c r="P193" s="77">
        <f>P201+P216+P218</f>
        <v>0</v>
      </c>
      <c r="Q193" s="148" t="s">
        <v>3548</v>
      </c>
    </row>
    <row r="194" spans="1:18" s="51" customFormat="1" ht="12.75" customHeight="1">
      <c r="A194" s="50"/>
      <c r="B194" s="154" t="s">
        <v>232</v>
      </c>
      <c r="E194" s="117"/>
      <c r="F194" s="62"/>
      <c r="G194" s="62"/>
      <c r="H194" s="62"/>
      <c r="I194" s="62"/>
      <c r="J194" s="64"/>
      <c r="K194" s="72"/>
      <c r="L194" s="68"/>
      <c r="O194" s="162" t="s">
        <v>598</v>
      </c>
      <c r="P194" s="162" t="s">
        <v>598</v>
      </c>
    </row>
    <row r="195" spans="1:18" s="132" customFormat="1" ht="11.25" customHeight="1">
      <c r="B195" s="716" t="s">
        <v>1154</v>
      </c>
      <c r="C195" s="132" t="s">
        <v>3241</v>
      </c>
      <c r="E195" s="117"/>
      <c r="F195" s="62"/>
      <c r="G195" s="62"/>
      <c r="H195" s="62"/>
      <c r="I195" s="62"/>
      <c r="J195" s="64"/>
      <c r="K195" s="72"/>
      <c r="L195" s="68" t="str">
        <f>IF(M195&gt;14,"Over limit!","")</f>
        <v/>
      </c>
      <c r="N195" s="250" t="s">
        <v>1154</v>
      </c>
      <c r="O195" s="1632" t="s">
        <v>63</v>
      </c>
      <c r="P195" s="355"/>
    </row>
    <row r="196" spans="1:18" s="132" customFormat="1" ht="11.25" customHeight="1">
      <c r="B196" s="716" t="s">
        <v>1156</v>
      </c>
      <c r="C196" s="132" t="s">
        <v>3242</v>
      </c>
      <c r="N196" s="250" t="s">
        <v>1156</v>
      </c>
      <c r="O196" s="1637" t="s">
        <v>63</v>
      </c>
      <c r="P196" s="542"/>
    </row>
    <row r="197" spans="1:18" s="132" customFormat="1" ht="11.25" customHeight="1">
      <c r="B197" s="716" t="s">
        <v>527</v>
      </c>
      <c r="C197" s="132" t="s">
        <v>3243</v>
      </c>
      <c r="N197" s="250" t="s">
        <v>527</v>
      </c>
      <c r="O197" s="1637" t="s">
        <v>63</v>
      </c>
      <c r="P197" s="542"/>
    </row>
    <row r="198" spans="1:18" s="132" customFormat="1" ht="11.25" customHeight="1">
      <c r="B198" s="716" t="s">
        <v>2285</v>
      </c>
      <c r="C198" s="132" t="s">
        <v>3244</v>
      </c>
      <c r="N198" s="250" t="s">
        <v>2285</v>
      </c>
      <c r="O198" s="1637" t="s">
        <v>63</v>
      </c>
      <c r="P198" s="542"/>
    </row>
    <row r="199" spans="1:18" s="132" customFormat="1" ht="11.25" customHeight="1">
      <c r="B199" s="716" t="s">
        <v>2286</v>
      </c>
      <c r="C199" s="132" t="s">
        <v>3252</v>
      </c>
      <c r="N199" s="250" t="s">
        <v>2286</v>
      </c>
      <c r="O199" s="1633" t="s">
        <v>63</v>
      </c>
      <c r="P199" s="356"/>
    </row>
    <row r="200" spans="1:18" s="132" customFormat="1" ht="6" customHeight="1">
      <c r="B200" s="716"/>
    </row>
    <row r="201" spans="1:18" s="51" customFormat="1" ht="11.25" customHeight="1">
      <c r="A201" s="189" t="s">
        <v>1150</v>
      </c>
      <c r="B201" s="256" t="s">
        <v>1369</v>
      </c>
      <c r="D201" s="48"/>
      <c r="E201" s="48"/>
      <c r="F201" s="40"/>
      <c r="G201" s="134"/>
      <c r="H201" s="134"/>
      <c r="I201" s="134"/>
      <c r="J201" s="48"/>
      <c r="K201" s="134"/>
      <c r="L201" s="40"/>
      <c r="M201" s="697">
        <v>4</v>
      </c>
      <c r="N201" s="804" t="s">
        <v>1150</v>
      </c>
      <c r="O201" s="204">
        <f>IF($I$214&gt;=0.15, 4,IF($I$214&gt;=0.1, 3,IF($I$214&gt;=0.05, 2,IF($I$214&gt;=0.02, 1,0))))</f>
        <v>3</v>
      </c>
      <c r="P201" s="204">
        <f>IF($L$214&gt;=0.15, 4,IF($L$214&gt;=0.1, 3,IF($L$214&gt;=0.05, 2,IF($L$214&gt;=0.02, 1,0))))</f>
        <v>0</v>
      </c>
    </row>
    <row r="202" spans="1:18" ht="12" customHeight="1">
      <c r="B202" s="552" t="s">
        <v>1154</v>
      </c>
      <c r="C202" s="723" t="s">
        <v>354</v>
      </c>
      <c r="I202" s="1209" t="s">
        <v>1158</v>
      </c>
      <c r="J202" s="1209"/>
      <c r="L202" s="858" t="s">
        <v>1158</v>
      </c>
      <c r="M202" s="216"/>
      <c r="N202" s="250" t="s">
        <v>1154</v>
      </c>
    </row>
    <row r="203" spans="1:18" s="51" customFormat="1" ht="11.25" customHeight="1">
      <c r="A203" s="251"/>
      <c r="B203" s="150"/>
      <c r="C203" s="553" t="s">
        <v>719</v>
      </c>
      <c r="D203" s="44" t="s">
        <v>1989</v>
      </c>
      <c r="H203" s="65"/>
      <c r="I203" s="1654">
        <v>252890</v>
      </c>
      <c r="J203" s="1655"/>
      <c r="K203" s="253"/>
      <c r="L203" s="706"/>
      <c r="M203" s="89"/>
      <c r="N203" s="553" t="s">
        <v>719</v>
      </c>
      <c r="O203" s="1632"/>
      <c r="P203" s="355"/>
      <c r="R203" s="559"/>
    </row>
    <row r="204" spans="1:18" ht="11.25" customHeight="1">
      <c r="A204" s="252"/>
      <c r="B204" s="108"/>
      <c r="C204" s="576" t="s">
        <v>720</v>
      </c>
      <c r="D204" s="44" t="s">
        <v>1990</v>
      </c>
      <c r="H204" s="65"/>
      <c r="I204" s="1654"/>
      <c r="J204" s="1655"/>
      <c r="L204" s="706"/>
      <c r="M204" s="89"/>
      <c r="N204" s="576" t="s">
        <v>720</v>
      </c>
      <c r="O204" s="1637"/>
      <c r="P204" s="542"/>
      <c r="R204" s="559"/>
    </row>
    <row r="205" spans="1:18" ht="11.25" customHeight="1">
      <c r="B205" s="716"/>
      <c r="C205" s="553" t="s">
        <v>721</v>
      </c>
      <c r="D205" s="44" t="s">
        <v>399</v>
      </c>
      <c r="H205" s="65"/>
      <c r="I205" s="1654"/>
      <c r="J205" s="1655"/>
      <c r="L205" s="706"/>
      <c r="M205" s="89"/>
      <c r="N205" s="553" t="s">
        <v>721</v>
      </c>
      <c r="O205" s="1637"/>
      <c r="P205" s="542"/>
      <c r="R205" s="559"/>
    </row>
    <row r="206" spans="1:18" ht="11.25" customHeight="1">
      <c r="A206" s="252"/>
      <c r="B206" s="716"/>
      <c r="C206" s="553" t="s">
        <v>722</v>
      </c>
      <c r="D206" s="44" t="s">
        <v>400</v>
      </c>
      <c r="I206" s="1654"/>
      <c r="J206" s="1655"/>
      <c r="L206" s="706"/>
      <c r="M206" s="89"/>
      <c r="N206" s="553" t="s">
        <v>722</v>
      </c>
      <c r="O206" s="1637"/>
      <c r="P206" s="542"/>
      <c r="R206" s="559"/>
    </row>
    <row r="207" spans="1:18" s="51" customFormat="1" ht="11.25" customHeight="1">
      <c r="A207" s="251"/>
      <c r="B207" s="716"/>
      <c r="C207" s="576" t="s">
        <v>723</v>
      </c>
      <c r="D207" s="44" t="s">
        <v>1991</v>
      </c>
      <c r="H207" s="65"/>
      <c r="I207" s="1654">
        <v>1100000</v>
      </c>
      <c r="J207" s="1655"/>
      <c r="K207" s="253"/>
      <c r="L207" s="706"/>
      <c r="M207" s="89"/>
      <c r="N207" s="576" t="s">
        <v>723</v>
      </c>
      <c r="O207" s="1637"/>
      <c r="P207" s="542"/>
      <c r="R207" s="559"/>
    </row>
    <row r="208" spans="1:18" ht="11.25" customHeight="1">
      <c r="A208" s="252"/>
      <c r="B208" s="716"/>
      <c r="C208" s="553" t="s">
        <v>612</v>
      </c>
      <c r="D208" s="44" t="s">
        <v>1992</v>
      </c>
      <c r="H208" s="65"/>
      <c r="I208" s="1654"/>
      <c r="J208" s="1655"/>
      <c r="L208" s="706"/>
      <c r="M208" s="89"/>
      <c r="N208" s="553" t="s">
        <v>612</v>
      </c>
      <c r="O208" s="1637"/>
      <c r="P208" s="542"/>
      <c r="R208" s="559"/>
    </row>
    <row r="209" spans="1:18" ht="11.25" customHeight="1">
      <c r="A209" s="252"/>
      <c r="B209" s="716"/>
      <c r="C209" s="553" t="s">
        <v>613</v>
      </c>
      <c r="D209" s="44" t="s">
        <v>1993</v>
      </c>
      <c r="H209" s="65"/>
      <c r="I209" s="1654"/>
      <c r="J209" s="1655"/>
      <c r="L209" s="706"/>
      <c r="M209" s="89"/>
      <c r="N209" s="553" t="s">
        <v>613</v>
      </c>
      <c r="O209" s="1637"/>
      <c r="P209" s="542"/>
      <c r="R209" s="559"/>
    </row>
    <row r="210" spans="1:18" ht="11.25" customHeight="1" thickBot="1">
      <c r="A210" s="252"/>
      <c r="B210" s="716"/>
      <c r="C210" s="553" t="s">
        <v>532</v>
      </c>
      <c r="D210" s="702" t="s">
        <v>353</v>
      </c>
      <c r="E210" s="703"/>
      <c r="F210" s="703"/>
      <c r="G210" s="703"/>
      <c r="H210" s="704"/>
      <c r="I210" s="1656"/>
      <c r="J210" s="1657"/>
      <c r="L210" s="710"/>
      <c r="M210" s="89"/>
      <c r="N210" s="553" t="s">
        <v>532</v>
      </c>
      <c r="O210" s="1633"/>
      <c r="P210" s="356"/>
      <c r="R210" s="559"/>
    </row>
    <row r="211" spans="1:18" ht="12" customHeight="1" thickBot="1">
      <c r="A211" s="252"/>
      <c r="B211" s="716"/>
      <c r="D211" s="700" t="s">
        <v>356</v>
      </c>
      <c r="H211" s="65"/>
      <c r="I211" s="1658">
        <f>SUM(I203:J210)</f>
        <v>1352890</v>
      </c>
      <c r="J211" s="1659"/>
      <c r="L211" s="707">
        <f>SUM($L$203:$L$210)</f>
        <v>0</v>
      </c>
      <c r="M211" s="708"/>
      <c r="N211" s="559"/>
      <c r="O211" s="559"/>
      <c r="P211" s="559"/>
      <c r="R211" s="559"/>
    </row>
    <row r="212" spans="1:18" s="51" customFormat="1" ht="5.25" customHeight="1">
      <c r="A212" s="50"/>
      <c r="B212" s="150"/>
      <c r="D212" s="47"/>
      <c r="E212" s="44"/>
      <c r="F212" s="1"/>
      <c r="G212" s="1"/>
      <c r="H212" s="1"/>
      <c r="I212" s="1"/>
      <c r="J212" s="38"/>
      <c r="K212" s="38"/>
      <c r="L212" s="38"/>
      <c r="M212" s="822"/>
      <c r="N212" s="1"/>
      <c r="O212" s="854"/>
      <c r="P212" s="4"/>
    </row>
    <row r="213" spans="1:18" ht="12" customHeight="1">
      <c r="B213" s="552" t="s">
        <v>1156</v>
      </c>
      <c r="C213" s="723" t="s">
        <v>355</v>
      </c>
      <c r="D213" s="700" t="s">
        <v>359</v>
      </c>
      <c r="I213" s="1203">
        <f>'Part IV-Uses of Funds'!$G$123</f>
        <v>13170768</v>
      </c>
      <c r="J213" s="1204"/>
      <c r="M213" s="216"/>
      <c r="N213" s="31"/>
      <c r="O213" s="31"/>
      <c r="P213" s="31"/>
    </row>
    <row r="214" spans="1:18" ht="12" customHeight="1">
      <c r="B214" s="250"/>
      <c r="C214" s="699"/>
      <c r="D214" s="721" t="s">
        <v>360</v>
      </c>
      <c r="G214" s="709"/>
      <c r="H214" s="709"/>
      <c r="I214" s="1177">
        <f>IF($I$213=0,0,$I$211/$I$213)</f>
        <v>0.10271914287762111</v>
      </c>
      <c r="J214" s="1178"/>
      <c r="L214" s="701">
        <f>IF($I$213=0,0,$L$211/$I$213)</f>
        <v>0</v>
      </c>
      <c r="M214" s="216"/>
      <c r="N214" s="31"/>
      <c r="O214" s="31"/>
      <c r="P214" s="31"/>
    </row>
    <row r="215" spans="1:18" s="132" customFormat="1" ht="5.25" customHeight="1">
      <c r="B215" s="716"/>
    </row>
    <row r="216" spans="1:18" s="51" customFormat="1" ht="12.75" customHeight="1">
      <c r="A216" s="189" t="s">
        <v>1153</v>
      </c>
      <c r="B216" s="256" t="s">
        <v>166</v>
      </c>
      <c r="D216" s="47"/>
      <c r="E216" s="44"/>
      <c r="F216" s="1"/>
      <c r="G216" s="38" t="s">
        <v>167</v>
      </c>
      <c r="H216" s="44"/>
      <c r="I216" s="1"/>
      <c r="J216" s="38"/>
      <c r="K216" s="38"/>
      <c r="L216" s="38"/>
      <c r="M216" s="89">
        <v>1</v>
      </c>
      <c r="N216" s="804" t="s">
        <v>1153</v>
      </c>
      <c r="O216" s="1569"/>
      <c r="P216" s="85"/>
    </row>
    <row r="217" spans="1:18" s="132" customFormat="1" ht="6" customHeight="1">
      <c r="B217" s="716"/>
    </row>
    <row r="218" spans="1:18" s="51" customFormat="1" ht="12.75" customHeight="1">
      <c r="A218" s="189" t="s">
        <v>3012</v>
      </c>
      <c r="B218" s="256" t="s">
        <v>3157</v>
      </c>
      <c r="D218" s="47"/>
      <c r="E218" s="44"/>
      <c r="F218" s="1"/>
      <c r="G218" s="1"/>
      <c r="H218" s="1"/>
      <c r="I218" s="1"/>
      <c r="J218" s="38"/>
      <c r="K218" s="38"/>
      <c r="L218" s="38"/>
      <c r="M218" s="697">
        <v>2</v>
      </c>
      <c r="N218" s="804" t="s">
        <v>3012</v>
      </c>
      <c r="O218" s="204">
        <f>IF($K$221&gt;=0.1, 2,IF($K$221&gt;=0.05, 1,0))</f>
        <v>0</v>
      </c>
      <c r="P218" s="204">
        <f>IF($M$221&gt;=0.1, 2,IF($M$221&gt;=0.05, 1,0))</f>
        <v>0</v>
      </c>
      <c r="R218" s="559" t="str">
        <f>IF(OR($O218=$M218,$O218=0,$O218=""),"","* * Check Score! * *")</f>
        <v/>
      </c>
    </row>
    <row r="219" spans="1:18" s="51" customFormat="1" ht="12.6" customHeight="1">
      <c r="A219" s="251"/>
      <c r="B219" s="44" t="s">
        <v>3158</v>
      </c>
      <c r="E219" s="1660"/>
      <c r="F219" s="1661"/>
      <c r="G219" s="1661"/>
      <c r="H219" s="1662"/>
      <c r="K219" s="253"/>
      <c r="M219" s="7"/>
      <c r="N219" s="7"/>
      <c r="O219" s="7"/>
      <c r="P219" s="7"/>
    </row>
    <row r="220" spans="1:18" ht="12" customHeight="1">
      <c r="A220" s="252"/>
      <c r="B220" s="583" t="s">
        <v>747</v>
      </c>
      <c r="D220" s="584"/>
      <c r="E220" s="1663"/>
      <c r="F220" s="1664"/>
      <c r="G220" s="1664"/>
      <c r="H220" s="1664"/>
      <c r="I220" s="1664"/>
      <c r="J220" s="1664"/>
      <c r="K220" s="1664"/>
      <c r="L220" s="1664"/>
      <c r="M220" s="1664"/>
      <c r="N220" s="1664"/>
      <c r="O220" s="1664"/>
      <c r="P220" s="1308"/>
    </row>
    <row r="221" spans="1:18" ht="12.6" customHeight="1">
      <c r="B221" s="44" t="s">
        <v>195</v>
      </c>
      <c r="E221" s="705"/>
      <c r="I221" s="1665"/>
      <c r="J221" s="1666"/>
      <c r="K221" s="701">
        <f>IF($I$221=0,0,$I$221/$I$213)</f>
        <v>0</v>
      </c>
      <c r="L221" s="706"/>
      <c r="M221" s="1177">
        <f>IF($L$221=0,0,$L$221/$I$213)</f>
        <v>0</v>
      </c>
      <c r="N221" s="1178"/>
      <c r="O221" s="122"/>
      <c r="P221" s="122"/>
    </row>
    <row r="222" spans="1:18" s="132" customFormat="1" ht="6" customHeight="1">
      <c r="B222" s="716"/>
    </row>
    <row r="223" spans="1:18" s="51" customFormat="1" ht="11.25" customHeight="1">
      <c r="A223" s="50"/>
      <c r="B223" s="57" t="s">
        <v>3789</v>
      </c>
      <c r="C223" s="50"/>
      <c r="D223" s="56"/>
      <c r="E223" s="56"/>
      <c r="F223" s="56"/>
      <c r="G223" s="56"/>
      <c r="H223" s="44"/>
      <c r="I223" s="44"/>
      <c r="J223" s="44"/>
      <c r="K223" s="44"/>
      <c r="M223" s="54"/>
      <c r="N223" s="74"/>
      <c r="O223" s="4"/>
      <c r="P223" s="854"/>
    </row>
    <row r="224" spans="1:18" s="51" customFormat="1" ht="24" customHeight="1">
      <c r="A224" s="1573"/>
      <c r="B224" s="1574"/>
      <c r="C224" s="1574"/>
      <c r="D224" s="1574"/>
      <c r="E224" s="1574"/>
      <c r="F224" s="1574"/>
      <c r="G224" s="1574"/>
      <c r="H224" s="1574"/>
      <c r="I224" s="1574"/>
      <c r="J224" s="1574"/>
      <c r="K224" s="1574"/>
      <c r="L224" s="1574"/>
      <c r="M224" s="1574"/>
      <c r="N224" s="1574"/>
      <c r="O224" s="1574"/>
      <c r="P224" s="1575"/>
    </row>
    <row r="225" spans="1:18" s="134" customFormat="1" ht="11.1" customHeight="1">
      <c r="A225" s="50"/>
      <c r="B225" s="129" t="s">
        <v>1391</v>
      </c>
      <c r="C225" s="130"/>
      <c r="D225" s="129"/>
      <c r="E225" s="258"/>
      <c r="F225" s="853"/>
      <c r="G225" s="853"/>
      <c r="H225" s="853"/>
      <c r="I225" s="853"/>
      <c r="J225" s="853"/>
      <c r="K225" s="853"/>
      <c r="L225" s="853"/>
      <c r="M225" s="853"/>
      <c r="N225" s="124"/>
      <c r="O225" s="257"/>
      <c r="P225" s="3"/>
    </row>
    <row r="226" spans="1:18" s="51" customFormat="1" ht="23.25" customHeight="1">
      <c r="A226" s="1109"/>
      <c r="B226" s="1110"/>
      <c r="C226" s="1110"/>
      <c r="D226" s="1110"/>
      <c r="E226" s="1110"/>
      <c r="F226" s="1110"/>
      <c r="G226" s="1110"/>
      <c r="H226" s="1110"/>
      <c r="I226" s="1110"/>
      <c r="J226" s="1110"/>
      <c r="K226" s="1110"/>
      <c r="L226" s="1110"/>
      <c r="M226" s="1110"/>
      <c r="N226" s="1110"/>
      <c r="O226" s="1110"/>
      <c r="P226" s="1111"/>
    </row>
    <row r="227" spans="1:18" ht="3" customHeight="1"/>
    <row r="228" spans="1:18" s="51" customFormat="1" ht="15">
      <c r="A228" s="209" t="s">
        <v>1553</v>
      </c>
      <c r="B228" s="144" t="s">
        <v>1557</v>
      </c>
      <c r="C228" s="79"/>
      <c r="E228" s="49"/>
      <c r="G228" s="44"/>
      <c r="H228" s="44"/>
      <c r="I228" s="47"/>
      <c r="J228" s="56"/>
      <c r="K228" s="56"/>
      <c r="L228" s="559" t="str">
        <f>IF(OR($O228=$M228,$O228=0,$O228=""),"","* * Check Score! * *")</f>
        <v/>
      </c>
      <c r="M228" s="3">
        <v>6</v>
      </c>
      <c r="N228" s="134"/>
      <c r="O228" s="54"/>
      <c r="P228" s="85"/>
      <c r="Q228" s="148" t="s">
        <v>3548</v>
      </c>
      <c r="R228" s="559"/>
    </row>
    <row r="229" spans="1:18" s="51" customFormat="1" ht="12" customHeight="1">
      <c r="A229" s="189" t="s">
        <v>1150</v>
      </c>
      <c r="B229" s="236" t="s">
        <v>441</v>
      </c>
      <c r="D229" s="40"/>
      <c r="H229" s="65" t="s">
        <v>695</v>
      </c>
      <c r="N229" s="804" t="s">
        <v>1150</v>
      </c>
      <c r="O229" s="1632" t="s">
        <v>63</v>
      </c>
      <c r="P229" s="355"/>
      <c r="R229" s="559"/>
    </row>
    <row r="230" spans="1:18" s="51" customFormat="1" ht="24.6" customHeight="1">
      <c r="A230" s="50"/>
      <c r="B230" s="1205" t="s">
        <v>505</v>
      </c>
      <c r="C230" s="1206"/>
      <c r="D230" s="1206"/>
      <c r="E230" s="1206"/>
      <c r="F230" s="1206"/>
      <c r="G230" s="1206"/>
      <c r="H230" s="1206"/>
      <c r="I230" s="1206"/>
      <c r="J230" s="1206"/>
      <c r="K230" s="1206"/>
      <c r="L230" s="1206"/>
      <c r="M230" s="54"/>
      <c r="N230" s="74"/>
      <c r="O230" s="1633" t="s">
        <v>63</v>
      </c>
      <c r="P230" s="356"/>
    </row>
    <row r="231" spans="1:18" s="51" customFormat="1" ht="12" customHeight="1">
      <c r="A231" s="189" t="s">
        <v>1153</v>
      </c>
      <c r="B231" s="236" t="s">
        <v>361</v>
      </c>
      <c r="D231" s="40"/>
      <c r="E231" s="40"/>
      <c r="F231" s="40"/>
      <c r="H231" s="65" t="s">
        <v>695</v>
      </c>
      <c r="N231" s="804" t="s">
        <v>1153</v>
      </c>
      <c r="O231" s="1569" t="s">
        <v>63</v>
      </c>
      <c r="P231" s="232"/>
      <c r="R231" s="559"/>
    </row>
    <row r="232" spans="1:18" s="51" customFormat="1" ht="12" customHeight="1">
      <c r="A232" s="50"/>
      <c r="B232" s="65" t="s">
        <v>316</v>
      </c>
      <c r="D232" s="47"/>
      <c r="E232" s="44"/>
      <c r="F232" s="1"/>
      <c r="G232" s="1"/>
      <c r="H232" s="1"/>
      <c r="I232" s="1"/>
      <c r="J232" s="38"/>
      <c r="K232" s="38"/>
      <c r="L232" s="38"/>
      <c r="M232" s="822"/>
      <c r="N232" s="1"/>
      <c r="O232" s="854"/>
      <c r="P232" s="4"/>
    </row>
    <row r="233" spans="1:18" s="132" customFormat="1" ht="11.25" customHeight="1">
      <c r="B233" s="552" t="s">
        <v>1154</v>
      </c>
      <c r="C233" s="698" t="s">
        <v>314</v>
      </c>
      <c r="E233" s="117"/>
      <c r="F233" s="62"/>
      <c r="G233" s="62"/>
      <c r="H233" s="62"/>
      <c r="I233" s="62"/>
      <c r="J233" s="64"/>
      <c r="K233" s="72"/>
      <c r="L233" s="68" t="str">
        <f>IF(M233&gt;14,"Over limit!","")</f>
        <v/>
      </c>
      <c r="N233" s="250" t="s">
        <v>1154</v>
      </c>
      <c r="O233" s="1632" t="s">
        <v>63</v>
      </c>
      <c r="P233" s="355"/>
    </row>
    <row r="234" spans="1:18" s="132" customFormat="1" ht="11.25" customHeight="1">
      <c r="B234" s="552" t="s">
        <v>1156</v>
      </c>
      <c r="C234" s="698" t="s">
        <v>315</v>
      </c>
      <c r="N234" s="250" t="s">
        <v>1156</v>
      </c>
      <c r="O234" s="1637" t="s">
        <v>63</v>
      </c>
      <c r="P234" s="542"/>
    </row>
    <row r="235" spans="1:18" s="132" customFormat="1" ht="11.25" customHeight="1">
      <c r="B235" s="552" t="s">
        <v>527</v>
      </c>
      <c r="C235" s="698" t="s">
        <v>364</v>
      </c>
      <c r="N235" s="250" t="s">
        <v>527</v>
      </c>
      <c r="O235" s="1637" t="s">
        <v>63</v>
      </c>
      <c r="P235" s="542"/>
    </row>
    <row r="236" spans="1:18" s="132" customFormat="1" ht="11.25" customHeight="1">
      <c r="B236" s="552" t="s">
        <v>2285</v>
      </c>
      <c r="C236" s="698" t="s">
        <v>365</v>
      </c>
      <c r="N236" s="250" t="s">
        <v>2285</v>
      </c>
      <c r="O236" s="1633" t="s">
        <v>63</v>
      </c>
      <c r="P236" s="356"/>
    </row>
    <row r="237" spans="1:18" s="51" customFormat="1" ht="10.5" customHeight="1">
      <c r="A237" s="50"/>
      <c r="B237" s="57" t="s">
        <v>3789</v>
      </c>
      <c r="C237" s="50"/>
      <c r="D237" s="56"/>
      <c r="E237" s="56"/>
      <c r="F237" s="56"/>
      <c r="G237" s="56"/>
      <c r="H237" s="44"/>
      <c r="I237" s="44"/>
      <c r="J237" s="44"/>
      <c r="K237" s="44"/>
      <c r="M237" s="54"/>
      <c r="N237" s="74"/>
      <c r="O237" s="4"/>
      <c r="P237" s="854"/>
    </row>
    <row r="238" spans="1:18" s="51" customFormat="1" ht="12.75" customHeight="1">
      <c r="A238" s="1573"/>
      <c r="B238" s="1574"/>
      <c r="C238" s="1574"/>
      <c r="D238" s="1574"/>
      <c r="E238" s="1574"/>
      <c r="F238" s="1574"/>
      <c r="G238" s="1574"/>
      <c r="H238" s="1574"/>
      <c r="I238" s="1574"/>
      <c r="J238" s="1574"/>
      <c r="K238" s="1574"/>
      <c r="L238" s="1574"/>
      <c r="M238" s="1574"/>
      <c r="N238" s="1574"/>
      <c r="O238" s="1574"/>
      <c r="P238" s="1575"/>
      <c r="Q238" s="737" t="s">
        <v>2219</v>
      </c>
    </row>
    <row r="239" spans="1:18" s="134" customFormat="1" ht="10.5" customHeight="1">
      <c r="A239" s="50"/>
      <c r="B239" s="129" t="s">
        <v>1391</v>
      </c>
      <c r="C239" s="130"/>
      <c r="D239" s="129"/>
      <c r="E239" s="258"/>
      <c r="F239" s="853"/>
      <c r="G239" s="853"/>
      <c r="H239" s="853"/>
      <c r="I239" s="853"/>
      <c r="J239" s="853"/>
      <c r="K239" s="853"/>
      <c r="L239" s="853"/>
      <c r="M239" s="853"/>
      <c r="N239" s="124"/>
      <c r="O239" s="257"/>
      <c r="P239" s="3"/>
      <c r="Q239" s="689"/>
    </row>
    <row r="240" spans="1:18" s="51" customFormat="1" ht="23.45" customHeight="1">
      <c r="A240" s="1109"/>
      <c r="B240" s="1110"/>
      <c r="C240" s="1110"/>
      <c r="D240" s="1110"/>
      <c r="E240" s="1110"/>
      <c r="F240" s="1110"/>
      <c r="G240" s="1110"/>
      <c r="H240" s="1110"/>
      <c r="I240" s="1110"/>
      <c r="J240" s="1110"/>
      <c r="K240" s="1110"/>
      <c r="L240" s="1110"/>
      <c r="M240" s="1110"/>
      <c r="N240" s="1110"/>
      <c r="O240" s="1110"/>
      <c r="P240" s="1111"/>
      <c r="Q240" s="737" t="s">
        <v>2219</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1555</v>
      </c>
      <c r="B242" s="152" t="s">
        <v>1559</v>
      </c>
      <c r="C242" s="116"/>
      <c r="D242" s="70"/>
      <c r="E242" s="62"/>
      <c r="J242" s="73"/>
      <c r="M242" s="3">
        <v>5</v>
      </c>
      <c r="N242" s="7"/>
      <c r="O242" s="93">
        <f>MIN($M242,O243+O246)</f>
        <v>3</v>
      </c>
      <c r="P242" s="93">
        <f>MIN($M242,P243+P246)</f>
        <v>0</v>
      </c>
      <c r="Q242" s="148" t="s">
        <v>3548</v>
      </c>
    </row>
    <row r="243" spans="1:18" s="51" customFormat="1" ht="12" customHeight="1">
      <c r="A243" s="189" t="s">
        <v>1150</v>
      </c>
      <c r="B243" s="236" t="s">
        <v>366</v>
      </c>
      <c r="D243" s="40"/>
      <c r="E243" s="40"/>
      <c r="F243" s="40"/>
      <c r="L243" s="559" t="str">
        <f>IF(OR($O243=$M243,$O243=0,$O243=""),"","* * Check Score! * *")</f>
        <v/>
      </c>
      <c r="M243" s="7">
        <v>3</v>
      </c>
      <c r="N243" s="804" t="s">
        <v>1150</v>
      </c>
      <c r="O243" s="1667">
        <v>3</v>
      </c>
      <c r="P243" s="744"/>
      <c r="Q243" s="148"/>
      <c r="R243" s="559" t="str">
        <f>IF(OR($O243=$M243,$O243=0,$O243=""),"","* * Check Score! * *")</f>
        <v/>
      </c>
    </row>
    <row r="244" spans="1:18" s="51" customFormat="1" ht="36" customHeight="1">
      <c r="A244" s="189"/>
      <c r="B244" s="1176" t="s">
        <v>368</v>
      </c>
      <c r="C244" s="1176"/>
      <c r="D244" s="1176"/>
      <c r="E244" s="1176"/>
      <c r="F244" s="1176"/>
      <c r="G244" s="1176"/>
      <c r="H244" s="1176"/>
      <c r="I244" s="1176"/>
      <c r="J244" s="1176"/>
      <c r="K244" s="1176"/>
      <c r="L244" s="1176"/>
      <c r="M244" s="559"/>
      <c r="N244" s="559"/>
      <c r="O244" s="1668"/>
      <c r="P244" s="745"/>
      <c r="Q244" s="148"/>
      <c r="R244" s="559"/>
    </row>
    <row r="245" spans="1:18" s="51" customFormat="1" ht="3" customHeight="1">
      <c r="A245" s="189"/>
      <c r="B245" s="236"/>
      <c r="D245" s="40"/>
      <c r="E245" s="40"/>
      <c r="F245" s="40"/>
      <c r="L245" s="559"/>
      <c r="M245" s="559"/>
      <c r="N245" s="559"/>
      <c r="O245" s="559"/>
      <c r="P245" s="559"/>
      <c r="Q245" s="148"/>
      <c r="R245" s="559"/>
    </row>
    <row r="246" spans="1:18" s="51" customFormat="1" ht="12" customHeight="1">
      <c r="A246" s="189" t="s">
        <v>1153</v>
      </c>
      <c r="B246" s="236" t="s">
        <v>367</v>
      </c>
      <c r="D246" s="48"/>
      <c r="F246" s="38"/>
      <c r="G246" s="134"/>
      <c r="H246" s="73" t="s">
        <v>3549</v>
      </c>
      <c r="K246" s="134"/>
      <c r="L246" s="44"/>
      <c r="M246" s="7">
        <v>2</v>
      </c>
      <c r="N246" s="804" t="s">
        <v>1153</v>
      </c>
      <c r="O246" s="711">
        <f>MIN($M246,O247+O248)</f>
        <v>0</v>
      </c>
      <c r="P246" s="711">
        <f>MIN($M246,P247+P248)</f>
        <v>0</v>
      </c>
      <c r="R246" s="559" t="str">
        <f>IF(OR($O247=$M246,$O247=0,$O247=""),"","* * Check Score! * *")</f>
        <v/>
      </c>
    </row>
    <row r="247" spans="1:18" s="656" customFormat="1" ht="36" customHeight="1">
      <c r="A247" s="655"/>
      <c r="B247" s="724" t="s">
        <v>1154</v>
      </c>
      <c r="C247" s="1120" t="s">
        <v>3871</v>
      </c>
      <c r="D247" s="1120"/>
      <c r="E247" s="1120"/>
      <c r="F247" s="1120"/>
      <c r="G247" s="1120"/>
      <c r="H247" s="1120"/>
      <c r="I247" s="1120"/>
      <c r="J247" s="1120"/>
      <c r="K247" s="1120"/>
      <c r="L247" s="1120"/>
      <c r="M247" s="657">
        <v>2</v>
      </c>
      <c r="O247" s="1667"/>
      <c r="P247" s="744"/>
    </row>
    <row r="248" spans="1:18" s="656" customFormat="1" ht="24" customHeight="1">
      <c r="A248" s="712" t="s">
        <v>2185</v>
      </c>
      <c r="B248" s="724" t="s">
        <v>1156</v>
      </c>
      <c r="C248" s="1120" t="s">
        <v>313</v>
      </c>
      <c r="D248" s="1120"/>
      <c r="E248" s="1120"/>
      <c r="F248" s="1120"/>
      <c r="G248" s="1120"/>
      <c r="H248" s="1120"/>
      <c r="I248" s="1120"/>
      <c r="J248" s="1120"/>
      <c r="K248" s="1120"/>
      <c r="L248" s="1120"/>
      <c r="M248" s="657">
        <v>1</v>
      </c>
      <c r="O248" s="1668"/>
      <c r="P248" s="745"/>
    </row>
    <row r="249" spans="1:18" s="51" customFormat="1" ht="12" customHeight="1">
      <c r="A249" s="50"/>
      <c r="B249" s="57" t="s">
        <v>3789</v>
      </c>
      <c r="C249" s="50"/>
      <c r="D249" s="56"/>
      <c r="E249" s="56"/>
      <c r="F249" s="56"/>
      <c r="G249" s="56"/>
      <c r="H249" s="44"/>
      <c r="I249" s="44"/>
      <c r="J249" s="44"/>
      <c r="K249" s="44"/>
      <c r="M249" s="54"/>
      <c r="N249" s="74"/>
      <c r="O249" s="4"/>
      <c r="P249" s="854"/>
    </row>
    <row r="250" spans="1:18" s="51" customFormat="1" ht="12" customHeight="1">
      <c r="A250" s="1573"/>
      <c r="B250" s="1574"/>
      <c r="C250" s="1574"/>
      <c r="D250" s="1574"/>
      <c r="E250" s="1574"/>
      <c r="F250" s="1574"/>
      <c r="G250" s="1574"/>
      <c r="H250" s="1574"/>
      <c r="I250" s="1574"/>
      <c r="J250" s="1574"/>
      <c r="K250" s="1574"/>
      <c r="L250" s="1574"/>
      <c r="M250" s="1574"/>
      <c r="N250" s="1574"/>
      <c r="O250" s="1574"/>
      <c r="P250" s="1575"/>
    </row>
    <row r="251" spans="1:18" s="51" customFormat="1" ht="12" customHeight="1">
      <c r="B251" s="114" t="s">
        <v>1391</v>
      </c>
      <c r="C251" s="130"/>
      <c r="D251" s="114"/>
      <c r="E251" s="131"/>
      <c r="F251" s="856"/>
      <c r="G251" s="856"/>
      <c r="H251" s="856"/>
      <c r="I251" s="856"/>
      <c r="J251" s="856"/>
      <c r="K251" s="856"/>
      <c r="L251" s="856"/>
      <c r="M251" s="856"/>
      <c r="N251" s="91"/>
      <c r="O251" s="86"/>
      <c r="P251" s="3"/>
    </row>
    <row r="252" spans="1:18" s="51" customFormat="1" ht="12" customHeight="1">
      <c r="A252" s="1109"/>
      <c r="B252" s="1110"/>
      <c r="C252" s="1110"/>
      <c r="D252" s="1110"/>
      <c r="E252" s="1110"/>
      <c r="F252" s="1110"/>
      <c r="G252" s="1110"/>
      <c r="H252" s="1110"/>
      <c r="I252" s="1110"/>
      <c r="J252" s="1110"/>
      <c r="K252" s="1110"/>
      <c r="L252" s="1110"/>
      <c r="M252" s="1110"/>
      <c r="N252" s="1110"/>
      <c r="O252" s="1110"/>
      <c r="P252" s="1111"/>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1556</v>
      </c>
      <c r="B254" s="144" t="s">
        <v>1560</v>
      </c>
      <c r="D254" s="53"/>
      <c r="E254" s="53"/>
      <c r="F254" s="47"/>
      <c r="G254" s="44"/>
      <c r="H254" s="44"/>
      <c r="I254" s="44"/>
      <c r="J254" s="44"/>
      <c r="K254" s="44"/>
      <c r="L254" s="559" t="str">
        <f>IF(OR($O254=$M254,$O254&lt;=0,$O254=""),"","* * Check Score! * *")</f>
        <v>* * Check Score! * *</v>
      </c>
      <c r="M254" s="3">
        <v>10</v>
      </c>
      <c r="N254" s="7"/>
      <c r="O254" s="77">
        <f>O256</f>
        <v>9</v>
      </c>
      <c r="P254" s="77">
        <f>P256</f>
        <v>0</v>
      </c>
      <c r="Q254" s="148" t="s">
        <v>3548</v>
      </c>
    </row>
    <row r="255" spans="1:18" s="43" customFormat="1" ht="11.45" customHeight="1">
      <c r="B255" s="195" t="s">
        <v>542</v>
      </c>
      <c r="M255" s="50"/>
      <c r="N255" s="50"/>
      <c r="O255" s="1569" t="s">
        <v>61</v>
      </c>
      <c r="P255" s="232"/>
    </row>
    <row r="256" spans="1:18" ht="12.6" customHeight="1">
      <c r="A256" s="189" t="s">
        <v>1150</v>
      </c>
      <c r="B256" s="254" t="s">
        <v>2038</v>
      </c>
      <c r="D256" s="40"/>
      <c r="E256" s="40"/>
      <c r="F256" s="40"/>
      <c r="G256" s="40"/>
      <c r="H256" s="40"/>
      <c r="I256" s="40"/>
      <c r="J256" s="40"/>
      <c r="K256" s="40"/>
      <c r="L256" s="40"/>
      <c r="M256" s="157"/>
      <c r="N256" s="804" t="s">
        <v>1150</v>
      </c>
      <c r="O256" s="1669">
        <v>9</v>
      </c>
      <c r="P256" s="581"/>
    </row>
    <row r="257" spans="1:18" ht="12.6" customHeight="1">
      <c r="A257" s="189" t="s">
        <v>1153</v>
      </c>
      <c r="B257" s="254" t="s">
        <v>3802</v>
      </c>
      <c r="D257" s="40"/>
      <c r="E257" s="40"/>
      <c r="F257" s="40"/>
      <c r="G257" s="48"/>
      <c r="H257" s="48"/>
      <c r="I257" s="48"/>
      <c r="J257" s="48"/>
      <c r="K257" s="48"/>
      <c r="M257" s="134"/>
      <c r="N257" s="804" t="s">
        <v>1153</v>
      </c>
      <c r="O257" s="1569" t="s">
        <v>3</v>
      </c>
      <c r="P257" s="232"/>
    </row>
    <row r="258" spans="1:18" s="51" customFormat="1" ht="11.25" customHeight="1">
      <c r="A258" s="50"/>
      <c r="B258" s="57" t="s">
        <v>3789</v>
      </c>
      <c r="C258" s="50"/>
      <c r="D258" s="56"/>
      <c r="E258" s="56"/>
      <c r="F258" s="56"/>
      <c r="G258" s="56"/>
      <c r="H258" s="44"/>
      <c r="I258" s="44"/>
      <c r="J258" s="44"/>
      <c r="K258" s="44"/>
      <c r="M258" s="54"/>
      <c r="N258" s="74"/>
      <c r="O258" s="4"/>
      <c r="P258" s="854"/>
    </row>
    <row r="259" spans="1:18" s="51" customFormat="1" ht="12.75" customHeight="1">
      <c r="A259" s="1573"/>
      <c r="B259" s="1574"/>
      <c r="C259" s="1574"/>
      <c r="D259" s="1574"/>
      <c r="E259" s="1574"/>
      <c r="F259" s="1574"/>
      <c r="G259" s="1574"/>
      <c r="H259" s="1574"/>
      <c r="I259" s="1574"/>
      <c r="J259" s="1574"/>
      <c r="K259" s="1574"/>
      <c r="L259" s="1574"/>
      <c r="M259" s="1574"/>
      <c r="N259" s="1574"/>
      <c r="O259" s="1574"/>
      <c r="P259" s="1575"/>
      <c r="Q259" s="737" t="s">
        <v>2219</v>
      </c>
      <c r="R259" s="738"/>
    </row>
    <row r="260" spans="1:18" s="134" customFormat="1" ht="11.25" customHeight="1">
      <c r="A260" s="80"/>
      <c r="B260" s="80" t="s">
        <v>1391</v>
      </c>
      <c r="C260" s="58"/>
      <c r="D260" s="80"/>
      <c r="E260" s="853"/>
      <c r="F260" s="853"/>
      <c r="G260" s="853"/>
      <c r="H260" s="853"/>
      <c r="I260" s="853"/>
      <c r="J260" s="853"/>
      <c r="K260" s="853"/>
      <c r="L260" s="853"/>
      <c r="M260" s="853"/>
      <c r="N260" s="124"/>
      <c r="O260" s="257"/>
      <c r="P260" s="3"/>
    </row>
    <row r="261" spans="1:18" s="51" customFormat="1" ht="12.75" customHeight="1">
      <c r="A261" s="1109"/>
      <c r="B261" s="1110"/>
      <c r="C261" s="1110"/>
      <c r="D261" s="1110"/>
      <c r="E261" s="1110"/>
      <c r="F261" s="1110"/>
      <c r="G261" s="1110"/>
      <c r="H261" s="1110"/>
      <c r="I261" s="1110"/>
      <c r="J261" s="1110"/>
      <c r="K261" s="1110"/>
      <c r="L261" s="1110"/>
      <c r="M261" s="1110"/>
      <c r="N261" s="1110"/>
      <c r="O261" s="1110"/>
      <c r="P261" s="1111"/>
      <c r="Q261" s="737" t="s">
        <v>2219</v>
      </c>
      <c r="R261" s="738"/>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1558</v>
      </c>
      <c r="B263" s="145" t="s">
        <v>369</v>
      </c>
      <c r="C263" s="64"/>
      <c r="D263" s="159"/>
      <c r="E263" s="159"/>
      <c r="F263" s="49"/>
      <c r="H263" s="47"/>
      <c r="K263" s="56"/>
      <c r="M263" s="3">
        <v>20</v>
      </c>
      <c r="N263" s="7"/>
      <c r="O263" s="93">
        <f>MIN($M263,(O264+O273))</f>
        <v>0</v>
      </c>
      <c r="P263" s="93">
        <f>MIN($M263,(P264+P273))</f>
        <v>0</v>
      </c>
      <c r="Q263" s="148" t="s">
        <v>3548</v>
      </c>
    </row>
    <row r="264" spans="1:18" s="51" customFormat="1" ht="13.5" customHeight="1">
      <c r="A264" s="189" t="s">
        <v>1150</v>
      </c>
      <c r="B264" s="236" t="s">
        <v>370</v>
      </c>
      <c r="D264" s="73" t="s">
        <v>123</v>
      </c>
      <c r="H264" s="47"/>
      <c r="I264" s="47"/>
      <c r="K264" s="47"/>
      <c r="L264" s="559"/>
      <c r="M264" s="3">
        <v>6</v>
      </c>
      <c r="N264" s="79" t="s">
        <v>1150</v>
      </c>
      <c r="O264" s="125">
        <f>IF(O265=$M265,$M265, IF(O267=$M267,$M267, IF(O269=$M269,$M269,0)))</f>
        <v>0</v>
      </c>
      <c r="P264" s="125">
        <f>IF(P265=$M265,$M265, IF(P267=$M267,$M267, IF(P269=$M269,$M269,0)))</f>
        <v>0</v>
      </c>
      <c r="Q264" s="148"/>
    </row>
    <row r="265" spans="1:18" s="656" customFormat="1" ht="12" customHeight="1">
      <c r="A265" s="655" t="str">
        <f>IF($I$90="HOPE VI Initiative", "X","")</f>
        <v/>
      </c>
      <c r="B265" s="724" t="s">
        <v>1154</v>
      </c>
      <c r="C265" s="179" t="s">
        <v>371</v>
      </c>
      <c r="D265" s="583"/>
      <c r="E265" s="583"/>
      <c r="M265" s="715">
        <v>6</v>
      </c>
      <c r="O265" s="125">
        <f>IF(AND('Part I-Project Information'!$E$82="Yes",'Part I-Project Information'!$H$121="Yes",O266="Yes"),$M265,0)</f>
        <v>0</v>
      </c>
      <c r="P265" s="125">
        <f>IF(AND('Part I-Project Information'!$E$82="Yes",'Part I-Project Information'!$H$121="Yes",P266="Yes"),$M265,0)</f>
        <v>0</v>
      </c>
    </row>
    <row r="266" spans="1:18" s="656" customFormat="1" ht="12" customHeight="1">
      <c r="A266" s="655"/>
      <c r="B266" s="724"/>
      <c r="C266" s="583" t="s">
        <v>130</v>
      </c>
      <c r="D266" s="583"/>
      <c r="E266" s="583"/>
      <c r="F266" s="583"/>
      <c r="G266" s="583"/>
      <c r="H266" s="583"/>
      <c r="I266" s="583"/>
      <c r="J266" s="862"/>
      <c r="K266" s="862"/>
      <c r="L266" s="862"/>
      <c r="M266" s="715"/>
      <c r="O266" s="1625"/>
      <c r="P266" s="85"/>
    </row>
    <row r="267" spans="1:18" s="656" customFormat="1" ht="12" customHeight="1">
      <c r="A267" s="714" t="s">
        <v>2185</v>
      </c>
      <c r="B267" s="724" t="s">
        <v>1156</v>
      </c>
      <c r="C267" s="179" t="s">
        <v>1550</v>
      </c>
      <c r="D267" s="583"/>
      <c r="E267" s="583"/>
      <c r="M267" s="715">
        <v>4</v>
      </c>
      <c r="O267" s="125">
        <f>IF(AND('Part I-Project Information'!$E$82="Yes",'Part I-Project Information'!$H$121="Yes",O268="Yes"),$M267,0)</f>
        <v>0</v>
      </c>
      <c r="P267" s="125">
        <f>IF(AND('Part I-Project Information'!$E$82="Yes",'Part I-Project Information'!$H$121="Yes",P268="Yes"),$M267,0)</f>
        <v>0</v>
      </c>
    </row>
    <row r="268" spans="1:18" s="656" customFormat="1" ht="33" customHeight="1">
      <c r="A268" s="714"/>
      <c r="B268" s="724"/>
      <c r="C268" s="1120" t="s">
        <v>131</v>
      </c>
      <c r="D268" s="1120"/>
      <c r="E268" s="1120"/>
      <c r="F268" s="1120"/>
      <c r="G268" s="1120"/>
      <c r="H268" s="1120"/>
      <c r="I268" s="1120"/>
      <c r="J268" s="1120"/>
      <c r="K268" s="1120"/>
      <c r="L268" s="1120"/>
      <c r="M268" s="715"/>
      <c r="N268" s="657"/>
      <c r="O268" s="1670"/>
      <c r="P268" s="713"/>
    </row>
    <row r="269" spans="1:18" s="656" customFormat="1" ht="12" customHeight="1">
      <c r="A269" s="714" t="s">
        <v>2185</v>
      </c>
      <c r="B269" s="724" t="s">
        <v>527</v>
      </c>
      <c r="C269" s="179" t="s">
        <v>1549</v>
      </c>
      <c r="D269" s="583"/>
      <c r="E269" s="583"/>
      <c r="F269" s="1173"/>
      <c r="G269" s="1173"/>
      <c r="H269" s="1173"/>
      <c r="I269" s="1173"/>
      <c r="J269" s="1173"/>
      <c r="K269" s="1173"/>
      <c r="L269" s="1173"/>
      <c r="M269" s="715">
        <v>3</v>
      </c>
      <c r="O269" s="125">
        <f>IF(AND('Part I-Project Information'!$E$82="Yes",'Part I-Project Information'!$H$121="Yes",OR(O270="Yes",O271="Yes",O272="Yes")),$M269,0)</f>
        <v>0</v>
      </c>
      <c r="P269" s="125">
        <f>IF(AND('Part I-Project Information'!$E$82="Yes",'Part I-Project Information'!$H$121="Yes",OR(P270="Yes",P271="Yes",P272="Yes")),$M269,0)</f>
        <v>0</v>
      </c>
    </row>
    <row r="270" spans="1:18" s="656" customFormat="1" ht="22.5" customHeight="1">
      <c r="A270" s="655"/>
      <c r="B270" s="576" t="s">
        <v>719</v>
      </c>
      <c r="C270" s="1124" t="s">
        <v>115</v>
      </c>
      <c r="D270" s="1124"/>
      <c r="E270" s="1124"/>
      <c r="F270" s="1124"/>
      <c r="G270" s="1124"/>
      <c r="H270" s="1124"/>
      <c r="I270" s="1124"/>
      <c r="J270" s="1124"/>
      <c r="K270" s="1124"/>
      <c r="L270" s="1124"/>
      <c r="M270" s="657"/>
      <c r="N270" s="576" t="s">
        <v>719</v>
      </c>
      <c r="O270" s="1671"/>
      <c r="P270" s="741"/>
    </row>
    <row r="271" spans="1:18" s="656" customFormat="1" ht="22.5" customHeight="1">
      <c r="A271" s="655"/>
      <c r="B271" s="576" t="s">
        <v>720</v>
      </c>
      <c r="C271" s="1120" t="s">
        <v>274</v>
      </c>
      <c r="D271" s="1120"/>
      <c r="E271" s="1120"/>
      <c r="F271" s="1120"/>
      <c r="G271" s="1120"/>
      <c r="H271" s="1120"/>
      <c r="I271" s="1120"/>
      <c r="J271" s="1120"/>
      <c r="K271" s="1120"/>
      <c r="L271" s="1120"/>
      <c r="M271" s="657"/>
      <c r="N271" s="576" t="s">
        <v>720</v>
      </c>
      <c r="O271" s="1672"/>
      <c r="P271" s="742"/>
    </row>
    <row r="272" spans="1:18" s="656" customFormat="1" ht="22.5" customHeight="1">
      <c r="A272" s="655"/>
      <c r="B272" s="576" t="s">
        <v>721</v>
      </c>
      <c r="C272" s="1120" t="s">
        <v>331</v>
      </c>
      <c r="D272" s="1120"/>
      <c r="E272" s="1120"/>
      <c r="F272" s="1120"/>
      <c r="G272" s="1120"/>
      <c r="H272" s="1120"/>
      <c r="I272" s="1120"/>
      <c r="J272" s="1120"/>
      <c r="K272" s="1120"/>
      <c r="L272" s="1120"/>
      <c r="M272" s="657"/>
      <c r="N272" s="576" t="s">
        <v>721</v>
      </c>
      <c r="O272" s="1673"/>
      <c r="P272" s="743"/>
    </row>
    <row r="273" spans="1:18" ht="13.5" customHeight="1">
      <c r="A273" s="189" t="s">
        <v>1153</v>
      </c>
      <c r="B273" s="236" t="s">
        <v>332</v>
      </c>
      <c r="D273" s="40"/>
      <c r="E273" s="73" t="s">
        <v>122</v>
      </c>
      <c r="F273" s="40"/>
      <c r="G273" s="158"/>
      <c r="H273" s="40"/>
      <c r="I273" s="40"/>
      <c r="J273" s="40"/>
      <c r="K273" s="40"/>
      <c r="L273" s="40"/>
      <c r="M273" s="1">
        <v>14</v>
      </c>
      <c r="N273" s="804" t="s">
        <v>1153</v>
      </c>
      <c r="O273" s="125">
        <f>MIN($M273,O274+O277+O278+O281+O282)</f>
        <v>0</v>
      </c>
      <c r="P273" s="125">
        <f>MIN($M273,P274+P277+P278+P281+P282+P283)</f>
        <v>0</v>
      </c>
      <c r="R273" s="656"/>
    </row>
    <row r="274" spans="1:18" s="132" customFormat="1" ht="12.75" customHeight="1">
      <c r="B274" s="552" t="s">
        <v>1154</v>
      </c>
      <c r="C274" s="725" t="s">
        <v>333</v>
      </c>
      <c r="L274" s="559"/>
      <c r="M274" s="8">
        <v>4</v>
      </c>
      <c r="N274" s="250" t="s">
        <v>1154</v>
      </c>
      <c r="O274" s="125">
        <f>IF(AND('Part I-Project Information'!$E$82="Yes",'Part I-Project Information'!$H$121="Yes"),MIN(O275+O276,$M274),0)</f>
        <v>0</v>
      </c>
      <c r="P274" s="125">
        <f>IF(AND('Part I-Project Information'!$E$82="Yes",'Part I-Project Information'!$H$121="Yes"),MIN(P275+P276,$M274),0)</f>
        <v>0</v>
      </c>
    </row>
    <row r="275" spans="1:18" s="656" customFormat="1" ht="33" customHeight="1">
      <c r="A275" s="655"/>
      <c r="B275" s="576" t="s">
        <v>719</v>
      </c>
      <c r="C275" s="1120" t="s">
        <v>336</v>
      </c>
      <c r="D275" s="1120"/>
      <c r="E275" s="1120"/>
      <c r="F275" s="1120"/>
      <c r="G275" s="1120"/>
      <c r="H275" s="1120"/>
      <c r="I275" s="1120"/>
      <c r="J275" s="1120"/>
      <c r="K275" s="1120"/>
      <c r="L275" s="1120"/>
      <c r="M275" s="657">
        <v>4</v>
      </c>
      <c r="N275" s="576" t="s">
        <v>719</v>
      </c>
      <c r="O275" s="1671"/>
      <c r="P275" s="741"/>
    </row>
    <row r="276" spans="1:18" s="656" customFormat="1" ht="22.5" customHeight="1">
      <c r="A276" s="219" t="s">
        <v>275</v>
      </c>
      <c r="B276" s="576" t="s">
        <v>720</v>
      </c>
      <c r="C276" s="1120" t="s">
        <v>289</v>
      </c>
      <c r="D276" s="1120"/>
      <c r="E276" s="1120"/>
      <c r="F276" s="1120"/>
      <c r="G276" s="1120"/>
      <c r="H276" s="1120"/>
      <c r="I276" s="1120"/>
      <c r="J276" s="1120"/>
      <c r="K276" s="1120"/>
      <c r="L276" s="1120"/>
      <c r="M276" s="657">
        <v>2</v>
      </c>
      <c r="N276" s="576" t="s">
        <v>720</v>
      </c>
      <c r="O276" s="1673"/>
      <c r="P276" s="743"/>
    </row>
    <row r="277" spans="1:18" s="132" customFormat="1" ht="12" customHeight="1">
      <c r="B277" s="552" t="s">
        <v>1156</v>
      </c>
      <c r="C277" s="725" t="s">
        <v>334</v>
      </c>
      <c r="L277" s="559" t="str">
        <f>IF(OR($O277=$M277,$O277=0,$O277=""),"","* * Check Score! * *")</f>
        <v/>
      </c>
      <c r="M277" s="8">
        <v>1</v>
      </c>
      <c r="N277" s="250" t="s">
        <v>1156</v>
      </c>
      <c r="O277" s="1625"/>
      <c r="P277" s="85"/>
    </row>
    <row r="278" spans="1:18" s="132" customFormat="1" ht="12" customHeight="1">
      <c r="B278" s="552" t="s">
        <v>527</v>
      </c>
      <c r="C278" s="725" t="s">
        <v>290</v>
      </c>
      <c r="L278" s="559" t="str">
        <f>IF(OR($O278=$M278,$O278=0,$O278=""),"","* * Check Score! * *")</f>
        <v/>
      </c>
      <c r="M278" s="8">
        <v>2</v>
      </c>
      <c r="N278" s="250" t="s">
        <v>527</v>
      </c>
      <c r="O278" s="125">
        <f>IF(AND('Part I-Project Information'!$E$82="Yes",'Part I-Project Information'!$H$121="Yes"),MIN(O279+O280,$M278),0)</f>
        <v>0</v>
      </c>
      <c r="P278" s="125">
        <f>IF(AND('Part I-Project Information'!$E$82="Yes",'Part I-Project Information'!$H$121="Yes"),MIN(P279+P280,$M278),0)</f>
        <v>0</v>
      </c>
    </row>
    <row r="279" spans="1:18" s="656" customFormat="1" ht="12" customHeight="1">
      <c r="A279" s="655"/>
      <c r="B279" s="576" t="s">
        <v>719</v>
      </c>
      <c r="C279" s="1120" t="s">
        <v>339</v>
      </c>
      <c r="D279" s="1120"/>
      <c r="E279" s="1120"/>
      <c r="F279" s="1120"/>
      <c r="G279" s="1120"/>
      <c r="H279" s="1120"/>
      <c r="I279" s="1120"/>
      <c r="J279" s="1120"/>
      <c r="K279" s="1120"/>
      <c r="L279" s="1120"/>
      <c r="M279" s="657">
        <v>2</v>
      </c>
      <c r="N279" s="576" t="s">
        <v>719</v>
      </c>
      <c r="O279" s="1667"/>
      <c r="P279" s="744"/>
    </row>
    <row r="280" spans="1:18" s="656" customFormat="1" ht="12" customHeight="1">
      <c r="A280" s="219" t="s">
        <v>275</v>
      </c>
      <c r="B280" s="576" t="s">
        <v>720</v>
      </c>
      <c r="C280" s="1120" t="s">
        <v>338</v>
      </c>
      <c r="D280" s="1120"/>
      <c r="E280" s="1120"/>
      <c r="F280" s="1120"/>
      <c r="G280" s="1120"/>
      <c r="H280" s="1120"/>
      <c r="I280" s="1120"/>
      <c r="J280" s="1120"/>
      <c r="K280" s="1120"/>
      <c r="L280" s="1120"/>
      <c r="M280" s="657">
        <v>1</v>
      </c>
      <c r="N280" s="576" t="s">
        <v>720</v>
      </c>
      <c r="O280" s="1668"/>
      <c r="P280" s="745"/>
    </row>
    <row r="281" spans="1:18" s="132" customFormat="1" ht="12" customHeight="1">
      <c r="B281" s="552" t="s">
        <v>2285</v>
      </c>
      <c r="C281" s="725" t="s">
        <v>340</v>
      </c>
      <c r="F281" s="698" t="s">
        <v>196</v>
      </c>
      <c r="L281" s="559"/>
      <c r="M281" s="8">
        <v>2</v>
      </c>
      <c r="N281" s="250" t="s">
        <v>2285</v>
      </c>
      <c r="O281" s="1625"/>
      <c r="P281" s="85"/>
    </row>
    <row r="282" spans="1:18" s="132" customFormat="1" ht="12" customHeight="1">
      <c r="B282" s="552" t="s">
        <v>2286</v>
      </c>
      <c r="C282" s="725" t="s">
        <v>341</v>
      </c>
      <c r="F282" s="698" t="s">
        <v>343</v>
      </c>
      <c r="J282" s="1171">
        <f>'Part IV-Uses of Funds'!$B$39/'Part IV-Uses of Funds'!$G$123</f>
        <v>0.64417056013741947</v>
      </c>
      <c r="K282" s="1172"/>
      <c r="L282" s="559"/>
      <c r="M282" s="8">
        <v>2</v>
      </c>
      <c r="N282" s="250" t="s">
        <v>2286</v>
      </c>
      <c r="O282" s="1625"/>
      <c r="P282" s="85"/>
    </row>
    <row r="283" spans="1:18" s="132" customFormat="1" ht="12" customHeight="1">
      <c r="B283" s="552" t="s">
        <v>1299</v>
      </c>
      <c r="C283" s="725" t="s">
        <v>342</v>
      </c>
      <c r="F283" s="698" t="s">
        <v>116</v>
      </c>
      <c r="L283" s="559"/>
      <c r="M283" s="8">
        <v>3</v>
      </c>
      <c r="N283" s="250" t="s">
        <v>1299</v>
      </c>
      <c r="P283" s="85"/>
    </row>
    <row r="284" spans="1:18" s="51" customFormat="1" ht="12" customHeight="1">
      <c r="A284" s="189"/>
      <c r="B284" s="576" t="s">
        <v>719</v>
      </c>
      <c r="C284" s="65" t="s">
        <v>695</v>
      </c>
      <c r="D284" s="40"/>
      <c r="N284" s="804"/>
      <c r="O284" s="1569" t="s">
        <v>63</v>
      </c>
      <c r="P284" s="232"/>
      <c r="R284" s="559"/>
    </row>
    <row r="285" spans="1:18" s="51" customFormat="1" ht="12" customHeight="1">
      <c r="A285" s="189"/>
      <c r="B285" s="576" t="s">
        <v>720</v>
      </c>
      <c r="C285" s="65" t="s">
        <v>165</v>
      </c>
      <c r="D285" s="40"/>
      <c r="N285" s="804"/>
      <c r="O285" s="1569" t="s">
        <v>63</v>
      </c>
      <c r="P285" s="232"/>
      <c r="R285" s="559"/>
    </row>
    <row r="286" spans="1:18" s="51" customFormat="1" ht="12" customHeight="1">
      <c r="A286" s="50"/>
      <c r="B286" s="57" t="s">
        <v>3789</v>
      </c>
      <c r="C286" s="50"/>
      <c r="D286" s="56"/>
      <c r="E286" s="56"/>
      <c r="F286" s="56"/>
      <c r="G286" s="56"/>
      <c r="H286" s="44"/>
      <c r="I286" s="44"/>
      <c r="J286" s="44"/>
      <c r="K286" s="44"/>
      <c r="M286" s="54"/>
      <c r="N286" s="74"/>
      <c r="O286" s="4"/>
      <c r="P286" s="854"/>
    </row>
    <row r="287" spans="1:18" s="51" customFormat="1" ht="12.75" customHeight="1">
      <c r="A287" s="1573"/>
      <c r="B287" s="1574"/>
      <c r="C287" s="1574"/>
      <c r="D287" s="1574"/>
      <c r="E287" s="1574"/>
      <c r="F287" s="1574"/>
      <c r="G287" s="1574"/>
      <c r="H287" s="1574"/>
      <c r="I287" s="1574"/>
      <c r="J287" s="1574"/>
      <c r="K287" s="1574"/>
      <c r="L287" s="1574"/>
      <c r="M287" s="1574"/>
      <c r="N287" s="1574"/>
      <c r="O287" s="1574"/>
      <c r="P287" s="1575"/>
    </row>
    <row r="288" spans="1:18" s="51" customFormat="1" ht="11.25" customHeight="1">
      <c r="A288" s="50"/>
      <c r="B288" s="114" t="s">
        <v>1391</v>
      </c>
      <c r="C288" s="130"/>
      <c r="D288" s="114"/>
      <c r="E288" s="131"/>
      <c r="F288" s="856"/>
      <c r="G288" s="856"/>
      <c r="H288" s="856"/>
      <c r="I288" s="856"/>
      <c r="J288" s="856"/>
      <c r="K288" s="856"/>
      <c r="L288" s="856"/>
      <c r="M288" s="856"/>
      <c r="N288" s="91"/>
      <c r="O288" s="86"/>
      <c r="P288" s="3"/>
    </row>
    <row r="289" spans="1:19" s="51" customFormat="1" ht="12.75" customHeight="1">
      <c r="A289" s="1109"/>
      <c r="B289" s="1110"/>
      <c r="C289" s="1110"/>
      <c r="D289" s="1110"/>
      <c r="E289" s="1110"/>
      <c r="F289" s="1110"/>
      <c r="G289" s="1110"/>
      <c r="H289" s="1110"/>
      <c r="I289" s="1110"/>
      <c r="J289" s="1110"/>
      <c r="K289" s="1110"/>
      <c r="L289" s="1110"/>
      <c r="M289" s="1110"/>
      <c r="N289" s="1110"/>
      <c r="O289" s="1110"/>
      <c r="P289" s="1111"/>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40" t="s">
        <v>231</v>
      </c>
      <c r="B291" s="81"/>
      <c r="C291" s="58"/>
      <c r="D291" s="43"/>
      <c r="E291" s="43"/>
      <c r="F291" s="64"/>
      <c r="G291" s="51"/>
      <c r="H291" s="211" t="s">
        <v>3584</v>
      </c>
      <c r="I291" s="212"/>
      <c r="J291" s="212"/>
      <c r="K291" s="212"/>
      <c r="L291" s="134"/>
      <c r="M291" s="727">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168</v>
      </c>
      <c r="I292" s="82"/>
      <c r="J292" s="82"/>
      <c r="K292" s="82"/>
      <c r="L292" s="51"/>
      <c r="M292" s="43"/>
      <c r="N292" s="3"/>
      <c r="O292" s="794">
        <f>O291-O263</f>
        <v>51</v>
      </c>
      <c r="P292" s="794">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3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7"/>
      <c r="G296" s="637"/>
      <c r="H296" s="638"/>
      <c r="I296" s="638"/>
      <c r="J296" s="639"/>
      <c r="K296" s="639"/>
      <c r="L296" s="640"/>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1652</v>
      </c>
      <c r="D298" s="110"/>
      <c r="E298" s="110"/>
      <c r="F298" s="110"/>
      <c r="G298" s="110"/>
      <c r="H298" s="110"/>
      <c r="I298" s="110"/>
      <c r="J298" s="110" t="s">
        <v>2617</v>
      </c>
      <c r="K298" s="208"/>
      <c r="L298" s="167"/>
      <c r="M298" s="156"/>
      <c r="Q298" s="156"/>
      <c r="R298" s="156"/>
      <c r="S298" s="156"/>
    </row>
    <row r="299" spans="1:19">
      <c r="A299" s="156"/>
      <c r="B299" s="156"/>
      <c r="C299" s="167" t="s">
        <v>1064</v>
      </c>
      <c r="D299" s="167"/>
      <c r="E299" s="167"/>
      <c r="F299" s="167"/>
      <c r="G299" s="167"/>
      <c r="H299" s="167"/>
      <c r="I299" s="167"/>
      <c r="J299" s="167" t="s">
        <v>1533</v>
      </c>
      <c r="K299" s="167"/>
      <c r="L299" s="167"/>
      <c r="M299" s="156"/>
      <c r="Q299" s="156"/>
      <c r="R299" s="156"/>
      <c r="S299" s="156"/>
    </row>
    <row r="300" spans="1:19" ht="15">
      <c r="A300" s="156"/>
      <c r="B300" s="156"/>
      <c r="C300" s="110" t="s">
        <v>548</v>
      </c>
      <c r="D300" s="110"/>
      <c r="E300" s="110"/>
      <c r="F300" s="110"/>
      <c r="G300" s="110"/>
      <c r="H300" s="110"/>
      <c r="I300" s="110"/>
      <c r="J300" s="359" t="s">
        <v>3866</v>
      </c>
      <c r="K300" s="208"/>
      <c r="L300" s="167"/>
      <c r="M300" s="248"/>
      <c r="N300" s="249"/>
      <c r="Q300" s="156"/>
      <c r="R300" s="156"/>
      <c r="S300" s="156"/>
    </row>
    <row r="301" spans="1:19" ht="15">
      <c r="A301" s="156"/>
      <c r="B301" s="156"/>
      <c r="C301" s="110" t="s">
        <v>1065</v>
      </c>
      <c r="D301" s="110"/>
      <c r="E301" s="110"/>
      <c r="F301" s="110"/>
      <c r="G301" s="110"/>
      <c r="H301" s="110"/>
      <c r="I301" s="110"/>
      <c r="J301" s="359" t="s">
        <v>1654</v>
      </c>
      <c r="K301" s="208"/>
      <c r="L301" s="167"/>
      <c r="M301" s="248"/>
      <c r="N301" s="249"/>
      <c r="Q301" s="156"/>
      <c r="R301" s="156"/>
      <c r="S301" s="156"/>
    </row>
    <row r="302" spans="1:19" ht="15">
      <c r="A302" s="156"/>
      <c r="B302" s="156"/>
      <c r="C302" s="110" t="s">
        <v>1066</v>
      </c>
      <c r="D302" s="110"/>
      <c r="E302" s="110"/>
      <c r="F302" s="110"/>
      <c r="G302" s="110"/>
      <c r="H302" s="110"/>
      <c r="I302" s="110"/>
      <c r="J302" s="359" t="s">
        <v>1655</v>
      </c>
      <c r="K302" s="208"/>
      <c r="L302" s="167"/>
      <c r="M302" s="248"/>
      <c r="N302" s="249"/>
      <c r="Q302" s="156"/>
      <c r="R302" s="156"/>
      <c r="S302" s="156"/>
    </row>
    <row r="303" spans="1:19" ht="15">
      <c r="A303" s="156"/>
      <c r="B303" s="156"/>
      <c r="C303" s="360" t="s">
        <v>1067</v>
      </c>
      <c r="D303" s="110"/>
      <c r="E303" s="110"/>
      <c r="F303" s="110"/>
      <c r="G303" s="110"/>
      <c r="H303" s="110"/>
      <c r="I303" s="110"/>
      <c r="J303" s="359" t="s">
        <v>486</v>
      </c>
      <c r="K303" s="208"/>
      <c r="L303" s="167"/>
      <c r="M303" s="248"/>
      <c r="N303" s="249"/>
      <c r="Q303" s="156"/>
      <c r="R303" s="156"/>
      <c r="S303" s="156"/>
    </row>
    <row r="304" spans="1:19" ht="15">
      <c r="A304" s="156"/>
      <c r="B304" s="156"/>
      <c r="C304" s="360" t="s">
        <v>1068</v>
      </c>
      <c r="D304" s="110"/>
      <c r="E304" s="110"/>
      <c r="F304" s="110"/>
      <c r="G304" s="110"/>
      <c r="H304" s="110"/>
      <c r="I304" s="110"/>
      <c r="J304" s="359" t="s">
        <v>1519</v>
      </c>
      <c r="K304" s="208"/>
      <c r="L304" s="167"/>
      <c r="M304" s="248"/>
      <c r="N304" s="249"/>
      <c r="Q304" s="156"/>
      <c r="R304" s="156"/>
      <c r="S304" s="156"/>
    </row>
    <row r="305" spans="1:19" ht="15">
      <c r="A305" s="156"/>
      <c r="B305" s="156"/>
      <c r="C305" s="360"/>
      <c r="D305" s="110"/>
      <c r="E305" s="110"/>
      <c r="F305" s="110"/>
      <c r="G305" s="110"/>
      <c r="H305" s="110"/>
      <c r="I305" s="110"/>
      <c r="J305" s="359" t="s">
        <v>1520</v>
      </c>
      <c r="K305" s="208"/>
      <c r="L305" s="167"/>
      <c r="M305" s="248"/>
      <c r="N305" s="249"/>
      <c r="Q305" s="156"/>
      <c r="R305" s="156"/>
      <c r="S305" s="156"/>
    </row>
    <row r="306" spans="1:19" ht="15">
      <c r="A306" s="156"/>
      <c r="B306" s="156"/>
      <c r="C306" s="167" t="s">
        <v>1533</v>
      </c>
      <c r="D306" s="110"/>
      <c r="E306" s="110"/>
      <c r="F306" s="110"/>
      <c r="G306" s="110"/>
      <c r="H306" s="110"/>
      <c r="I306" s="110"/>
      <c r="J306" s="359" t="s">
        <v>1658</v>
      </c>
      <c r="K306" s="208"/>
      <c r="L306" s="167"/>
      <c r="M306" s="248"/>
      <c r="N306" s="249"/>
      <c r="Q306" s="156"/>
      <c r="R306" s="156"/>
      <c r="S306" s="156"/>
    </row>
    <row r="307" spans="1:19" ht="15">
      <c r="A307" s="156"/>
      <c r="B307" s="156"/>
      <c r="C307" s="361" t="s">
        <v>2083</v>
      </c>
      <c r="D307" s="110"/>
      <c r="E307" s="110"/>
      <c r="F307" s="110"/>
      <c r="G307" s="110"/>
      <c r="H307" s="110"/>
      <c r="I307" s="110"/>
      <c r="J307" s="359" t="s">
        <v>1659</v>
      </c>
      <c r="K307" s="208"/>
      <c r="L307" s="167"/>
      <c r="M307" s="248"/>
      <c r="N307" s="249"/>
      <c r="Q307" s="156"/>
      <c r="R307" s="156"/>
      <c r="S307" s="156"/>
    </row>
    <row r="308" spans="1:19" ht="15">
      <c r="A308" s="156"/>
      <c r="B308" s="156"/>
      <c r="C308" s="361" t="s">
        <v>2084</v>
      </c>
      <c r="D308" s="110"/>
      <c r="E308" s="110"/>
      <c r="F308" s="110"/>
      <c r="G308" s="110"/>
      <c r="H308" s="110"/>
      <c r="I308" s="110"/>
      <c r="J308" s="359" t="s">
        <v>1660</v>
      </c>
      <c r="K308" s="208"/>
      <c r="L308" s="167"/>
      <c r="M308" s="248"/>
      <c r="N308" s="249"/>
      <c r="Q308" s="156"/>
      <c r="R308" s="156"/>
      <c r="S308" s="156"/>
    </row>
    <row r="309" spans="1:19" ht="15">
      <c r="A309" s="156"/>
      <c r="B309" s="156"/>
      <c r="C309" s="362" t="s">
        <v>958</v>
      </c>
      <c r="D309" s="110"/>
      <c r="E309" s="110"/>
      <c r="F309" s="110"/>
      <c r="G309" s="110"/>
      <c r="H309" s="110"/>
      <c r="I309" s="110"/>
      <c r="J309" s="359" t="s">
        <v>1661</v>
      </c>
      <c r="K309" s="208"/>
      <c r="L309" s="167"/>
      <c r="M309" s="248"/>
      <c r="N309" s="249"/>
      <c r="Q309" s="156"/>
      <c r="R309" s="156"/>
      <c r="S309" s="156"/>
    </row>
    <row r="310" spans="1:19" ht="15">
      <c r="A310" s="156"/>
      <c r="B310" s="156"/>
      <c r="C310" s="362" t="s">
        <v>2080</v>
      </c>
      <c r="D310" s="110"/>
      <c r="E310" s="110"/>
      <c r="F310" s="110"/>
      <c r="G310" s="110"/>
      <c r="H310" s="110"/>
      <c r="I310" s="110"/>
      <c r="J310" s="359" t="s">
        <v>3274</v>
      </c>
      <c r="K310" s="208"/>
      <c r="L310" s="167"/>
      <c r="M310" s="248"/>
      <c r="N310" s="249"/>
      <c r="Q310" s="156"/>
      <c r="R310" s="156"/>
      <c r="S310" s="156"/>
    </row>
    <row r="311" spans="1:19" ht="15">
      <c r="A311" s="156"/>
      <c r="B311" s="156"/>
      <c r="C311" s="362" t="s">
        <v>2081</v>
      </c>
      <c r="D311" s="110"/>
      <c r="E311" s="110"/>
      <c r="F311" s="110"/>
      <c r="G311" s="110"/>
      <c r="H311" s="110"/>
      <c r="I311" s="110"/>
      <c r="J311" s="359" t="s">
        <v>1662</v>
      </c>
      <c r="K311" s="208"/>
      <c r="L311" s="167"/>
      <c r="M311" s="248"/>
      <c r="N311" s="249"/>
      <c r="Q311" s="156"/>
      <c r="R311" s="156"/>
      <c r="S311" s="156"/>
    </row>
    <row r="312" spans="1:19" ht="15">
      <c r="A312" s="156"/>
      <c r="B312" s="156"/>
      <c r="C312" s="361" t="s">
        <v>1098</v>
      </c>
      <c r="D312" s="110"/>
      <c r="E312" s="110"/>
      <c r="F312" s="110"/>
      <c r="G312" s="110"/>
      <c r="H312" s="110"/>
      <c r="I312" s="110"/>
      <c r="J312" s="359" t="s">
        <v>1529</v>
      </c>
      <c r="K312" s="208"/>
      <c r="L312" s="167"/>
      <c r="M312" s="248"/>
      <c r="N312" s="249"/>
      <c r="Q312" s="156"/>
      <c r="R312" s="156"/>
      <c r="S312" s="156"/>
    </row>
    <row r="313" spans="1:19" ht="15">
      <c r="A313" s="156"/>
      <c r="B313" s="156"/>
      <c r="C313" s="361" t="s">
        <v>1099</v>
      </c>
      <c r="D313" s="110"/>
      <c r="E313" s="110"/>
      <c r="F313" s="110"/>
      <c r="G313" s="110"/>
      <c r="H313" s="110"/>
      <c r="I313" s="110"/>
      <c r="J313" s="359" t="s">
        <v>1530</v>
      </c>
      <c r="K313" s="167"/>
      <c r="L313" s="167"/>
      <c r="M313" s="248"/>
      <c r="N313" s="249"/>
      <c r="Q313" s="156"/>
      <c r="R313" s="156"/>
      <c r="S313" s="156"/>
    </row>
    <row r="314" spans="1:19" ht="15">
      <c r="A314" s="156"/>
      <c r="B314" s="156"/>
      <c r="C314" s="361" t="s">
        <v>1100</v>
      </c>
      <c r="D314" s="167"/>
      <c r="E314" s="167"/>
      <c r="F314" s="167"/>
      <c r="G314" s="167"/>
      <c r="H314" s="167"/>
      <c r="I314" s="167"/>
      <c r="J314" s="359" t="s">
        <v>4112</v>
      </c>
      <c r="K314" s="167"/>
      <c r="L314" s="167"/>
      <c r="M314" s="248"/>
      <c r="N314" s="249"/>
      <c r="Q314" s="156"/>
      <c r="R314" s="156"/>
      <c r="S314" s="156"/>
    </row>
    <row r="315" spans="1:19" ht="15">
      <c r="A315" s="156"/>
      <c r="B315" s="156"/>
      <c r="C315" s="361" t="s">
        <v>956</v>
      </c>
      <c r="D315" s="167"/>
      <c r="E315" s="167"/>
      <c r="F315" s="167"/>
      <c r="G315" s="167"/>
      <c r="H315" s="167"/>
      <c r="I315" s="167"/>
      <c r="J315" s="363"/>
      <c r="K315" s="167"/>
      <c r="L315" s="167"/>
      <c r="M315" s="248"/>
      <c r="N315" s="249"/>
      <c r="Q315" s="156"/>
      <c r="R315" s="156"/>
      <c r="S315" s="156"/>
    </row>
    <row r="316" spans="1:19">
      <c r="A316" s="156"/>
      <c r="B316" s="156"/>
      <c r="C316" s="361" t="s">
        <v>957</v>
      </c>
      <c r="D316" s="167"/>
      <c r="E316" s="167"/>
      <c r="F316" s="167"/>
      <c r="G316" s="167"/>
      <c r="H316" s="167"/>
      <c r="I316" s="167"/>
      <c r="J316" s="167"/>
      <c r="K316" s="167"/>
      <c r="L316" s="167"/>
      <c r="M316" s="156"/>
      <c r="Q316" s="156"/>
      <c r="R316" s="156"/>
      <c r="S316" s="156"/>
    </row>
    <row r="317" spans="1:19">
      <c r="A317" s="156"/>
      <c r="B317" s="156"/>
      <c r="C317" s="361" t="s">
        <v>2082</v>
      </c>
      <c r="D317" s="167"/>
      <c r="E317" s="167"/>
      <c r="F317" s="167"/>
      <c r="G317" s="167"/>
      <c r="H317" s="167"/>
      <c r="I317" s="167"/>
      <c r="J317" s="167"/>
      <c r="K317" s="167"/>
      <c r="L317" s="167"/>
      <c r="M317" s="156"/>
      <c r="Q317" s="156"/>
      <c r="R317" s="156"/>
      <c r="S317" s="156"/>
    </row>
    <row r="318" spans="1:19">
      <c r="A318" s="156"/>
      <c r="B318" s="156"/>
      <c r="C318" s="361" t="s">
        <v>919</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6"/>
      <c r="H320" s="746"/>
      <c r="I320" s="746"/>
      <c r="J320" s="167"/>
      <c r="K320" s="167"/>
      <c r="L320" s="167"/>
      <c r="M320" s="156"/>
      <c r="Q320" s="156"/>
      <c r="R320" s="156"/>
      <c r="S320" s="156"/>
    </row>
    <row r="321" spans="1:14" ht="25.5">
      <c r="A321" s="156"/>
      <c r="B321" s="156"/>
      <c r="C321" s="167"/>
      <c r="D321" s="167"/>
      <c r="E321" s="167"/>
      <c r="F321" s="167"/>
      <c r="G321" s="812" t="s">
        <v>2015</v>
      </c>
      <c r="H321" s="812" t="s">
        <v>2016</v>
      </c>
      <c r="I321" s="812" t="s">
        <v>1889</v>
      </c>
      <c r="J321" s="167"/>
      <c r="K321" s="167"/>
      <c r="L321" s="167"/>
      <c r="M321" s="248"/>
      <c r="N321" s="249"/>
    </row>
    <row r="322" spans="1:14" ht="38.25">
      <c r="A322" s="156"/>
      <c r="B322" s="156"/>
      <c r="C322" s="167"/>
      <c r="D322" s="167"/>
      <c r="E322" s="167"/>
      <c r="F322" s="167"/>
      <c r="G322" s="813" t="s">
        <v>737</v>
      </c>
      <c r="H322" s="813" t="s">
        <v>738</v>
      </c>
      <c r="I322" s="813" t="s">
        <v>2352</v>
      </c>
      <c r="J322" s="167"/>
      <c r="K322" s="167"/>
      <c r="L322" s="167"/>
      <c r="M322" s="248"/>
      <c r="N322" s="249"/>
    </row>
    <row r="323" spans="1:14" ht="25.5">
      <c r="A323" s="156"/>
      <c r="B323" s="156"/>
      <c r="C323" s="167"/>
      <c r="D323" s="167"/>
      <c r="E323" s="167"/>
      <c r="F323" s="167"/>
      <c r="G323" s="813" t="s">
        <v>1710</v>
      </c>
      <c r="H323" s="814" t="s">
        <v>2611</v>
      </c>
      <c r="I323" s="814" t="s">
        <v>2148</v>
      </c>
      <c r="J323" s="167"/>
      <c r="K323" s="167"/>
      <c r="L323" s="167"/>
      <c r="M323" s="248"/>
      <c r="N323" s="249"/>
    </row>
    <row r="324" spans="1:14">
      <c r="A324" s="156"/>
      <c r="B324" s="156"/>
      <c r="C324" s="167"/>
      <c r="D324" s="167"/>
      <c r="E324" s="167"/>
      <c r="F324" s="167"/>
      <c r="G324" s="813" t="s">
        <v>1033</v>
      </c>
      <c r="H324" s="814" t="s">
        <v>2163</v>
      </c>
      <c r="I324" s="814" t="s">
        <v>2160</v>
      </c>
      <c r="J324" s="167"/>
      <c r="K324" s="167"/>
      <c r="L324" s="167"/>
      <c r="M324" s="248"/>
      <c r="N324" s="249"/>
    </row>
    <row r="325" spans="1:14">
      <c r="A325" s="156"/>
      <c r="B325" s="156"/>
      <c r="C325" s="167"/>
      <c r="D325" s="167"/>
      <c r="E325" s="167"/>
      <c r="F325" s="167"/>
      <c r="G325" s="813" t="s">
        <v>1711</v>
      </c>
      <c r="H325" s="814" t="s">
        <v>449</v>
      </c>
      <c r="I325" s="814" t="s">
        <v>2163</v>
      </c>
      <c r="J325" s="167"/>
      <c r="K325" s="167"/>
      <c r="L325" s="167"/>
      <c r="M325" s="248"/>
      <c r="N325" s="249"/>
    </row>
    <row r="326" spans="1:14" ht="25.5">
      <c r="A326" s="156"/>
      <c r="B326" s="156"/>
      <c r="C326" s="167"/>
      <c r="D326" s="167"/>
      <c r="E326" s="167"/>
      <c r="F326" s="167"/>
      <c r="G326" s="813" t="s">
        <v>3965</v>
      </c>
      <c r="H326" s="814" t="s">
        <v>450</v>
      </c>
      <c r="I326" s="814" t="s">
        <v>788</v>
      </c>
      <c r="J326" s="167"/>
      <c r="K326" s="167"/>
      <c r="L326" s="167"/>
      <c r="M326" s="248"/>
      <c r="N326" s="249"/>
    </row>
    <row r="327" spans="1:14">
      <c r="A327" s="156"/>
      <c r="B327" s="156"/>
      <c r="C327" s="167"/>
      <c r="D327" s="167"/>
      <c r="E327" s="167"/>
      <c r="F327" s="167"/>
      <c r="G327" s="813" t="s">
        <v>2163</v>
      </c>
      <c r="H327" s="814" t="s">
        <v>1345</v>
      </c>
      <c r="I327" s="814" t="s">
        <v>668</v>
      </c>
      <c r="J327" s="167"/>
      <c r="K327" s="167"/>
      <c r="L327" s="167"/>
      <c r="M327" s="248"/>
      <c r="N327" s="249"/>
    </row>
    <row r="328" spans="1:14">
      <c r="A328" s="156"/>
      <c r="B328" s="156"/>
      <c r="C328" s="167"/>
      <c r="D328" s="167"/>
      <c r="E328" s="167"/>
      <c r="F328" s="167"/>
      <c r="G328" s="813" t="s">
        <v>1890</v>
      </c>
      <c r="H328" s="814" t="s">
        <v>820</v>
      </c>
      <c r="I328" s="814" t="s">
        <v>670</v>
      </c>
      <c r="J328" s="167"/>
      <c r="K328" s="167"/>
      <c r="L328" s="167"/>
      <c r="M328" s="248"/>
      <c r="N328" s="249"/>
    </row>
    <row r="329" spans="1:14" ht="25.5">
      <c r="A329" s="156"/>
      <c r="B329" s="156"/>
      <c r="C329" s="167"/>
      <c r="D329" s="167"/>
      <c r="E329" s="167"/>
      <c r="F329" s="167"/>
      <c r="G329" s="813" t="s">
        <v>2506</v>
      </c>
      <c r="H329" s="814" t="s">
        <v>451</v>
      </c>
      <c r="I329" s="814" t="s">
        <v>522</v>
      </c>
      <c r="J329" s="167"/>
      <c r="K329" s="167"/>
      <c r="L329" s="167"/>
      <c r="M329" s="248"/>
      <c r="N329" s="249"/>
    </row>
    <row r="330" spans="1:14">
      <c r="A330" s="156"/>
      <c r="B330" s="156"/>
      <c r="C330" s="167"/>
      <c r="D330" s="167"/>
      <c r="E330" s="167"/>
      <c r="F330" s="167"/>
      <c r="G330" s="813" t="s">
        <v>670</v>
      </c>
      <c r="H330" s="814" t="s">
        <v>3077</v>
      </c>
      <c r="I330" s="814" t="s">
        <v>3833</v>
      </c>
      <c r="J330" s="167"/>
      <c r="K330" s="167"/>
      <c r="L330" s="167"/>
      <c r="M330" s="248"/>
      <c r="N330" s="249"/>
    </row>
    <row r="331" spans="1:14">
      <c r="A331" s="156"/>
      <c r="B331" s="156"/>
      <c r="C331" s="167"/>
      <c r="D331" s="167"/>
      <c r="E331" s="167"/>
      <c r="F331" s="167"/>
      <c r="G331" s="813" t="s">
        <v>1143</v>
      </c>
      <c r="H331" s="814" t="s">
        <v>1651</v>
      </c>
      <c r="I331" s="814" t="s">
        <v>2643</v>
      </c>
      <c r="J331" s="167"/>
      <c r="K331" s="167"/>
      <c r="L331" s="167"/>
      <c r="M331" s="248"/>
      <c r="N331" s="249"/>
    </row>
    <row r="332" spans="1:14" ht="25.5">
      <c r="A332" s="156"/>
      <c r="B332" s="156"/>
      <c r="C332" s="167"/>
      <c r="D332" s="167"/>
      <c r="E332" s="167"/>
      <c r="F332" s="167"/>
      <c r="G332" s="813" t="s">
        <v>3204</v>
      </c>
      <c r="H332" s="814" t="s">
        <v>452</v>
      </c>
      <c r="I332" s="814" t="s">
        <v>2645</v>
      </c>
      <c r="J332" s="167"/>
      <c r="K332" s="167"/>
      <c r="L332" s="167"/>
      <c r="M332" s="248"/>
      <c r="N332" s="249"/>
    </row>
    <row r="333" spans="1:14" ht="25.5">
      <c r="A333" s="156"/>
      <c r="B333" s="156"/>
      <c r="C333" s="167"/>
      <c r="D333" s="167"/>
      <c r="E333" s="167"/>
      <c r="F333" s="167"/>
      <c r="G333" s="813" t="s">
        <v>1712</v>
      </c>
      <c r="H333" s="814" t="s">
        <v>2018</v>
      </c>
      <c r="I333" s="814" t="s">
        <v>2750</v>
      </c>
      <c r="J333" s="167"/>
      <c r="K333" s="167"/>
      <c r="L333" s="167"/>
      <c r="M333" s="248"/>
      <c r="N333" s="249"/>
    </row>
    <row r="334" spans="1:14">
      <c r="A334" s="156"/>
      <c r="B334" s="156"/>
      <c r="C334" s="167"/>
      <c r="D334" s="167"/>
      <c r="E334" s="167"/>
      <c r="F334" s="167"/>
      <c r="G334" s="813" t="s">
        <v>2749</v>
      </c>
      <c r="H334" s="814" t="s">
        <v>809</v>
      </c>
      <c r="I334" s="814" t="s">
        <v>2754</v>
      </c>
      <c r="J334" s="167"/>
      <c r="K334" s="167"/>
      <c r="L334" s="167"/>
      <c r="M334" s="248"/>
      <c r="N334" s="249"/>
    </row>
    <row r="335" spans="1:14">
      <c r="A335" s="156"/>
      <c r="B335" s="156"/>
      <c r="C335" s="167"/>
      <c r="D335" s="167"/>
      <c r="E335" s="167"/>
      <c r="F335" s="167"/>
      <c r="G335" s="813" t="s">
        <v>3478</v>
      </c>
      <c r="H335" s="814" t="s">
        <v>1308</v>
      </c>
      <c r="I335" s="814" t="s">
        <v>3173</v>
      </c>
      <c r="J335" s="167"/>
      <c r="K335" s="167"/>
      <c r="L335" s="167"/>
      <c r="M335" s="248"/>
      <c r="N335" s="249"/>
    </row>
    <row r="336" spans="1:14" ht="51">
      <c r="A336" s="156"/>
      <c r="B336" s="156"/>
      <c r="C336" s="167"/>
      <c r="D336" s="167"/>
      <c r="E336" s="167"/>
      <c r="F336" s="167"/>
      <c r="G336" s="813" t="s">
        <v>3870</v>
      </c>
      <c r="H336" s="814" t="s">
        <v>455</v>
      </c>
      <c r="I336" s="814" t="s">
        <v>3178</v>
      </c>
      <c r="J336" s="167"/>
      <c r="K336" s="167"/>
      <c r="L336" s="167"/>
      <c r="M336" s="248"/>
      <c r="N336" s="249"/>
    </row>
    <row r="337" spans="1:14">
      <c r="A337" s="156"/>
      <c r="B337" s="156"/>
      <c r="C337" s="167"/>
      <c r="D337" s="167"/>
      <c r="E337" s="167"/>
      <c r="F337" s="167"/>
      <c r="G337" s="813" t="s">
        <v>2282</v>
      </c>
      <c r="H337" s="814" t="s">
        <v>448</v>
      </c>
      <c r="I337" s="814" t="s">
        <v>3735</v>
      </c>
      <c r="J337" s="167"/>
      <c r="K337" s="167"/>
      <c r="L337" s="167"/>
      <c r="M337" s="248"/>
      <c r="N337" s="249"/>
    </row>
    <row r="338" spans="1:14" ht="25.5">
      <c r="A338" s="156"/>
      <c r="B338" s="156"/>
      <c r="C338" s="167"/>
      <c r="D338" s="167"/>
      <c r="E338" s="167"/>
      <c r="F338" s="167"/>
      <c r="G338" s="813" t="s">
        <v>2284</v>
      </c>
      <c r="H338" s="814" t="s">
        <v>453</v>
      </c>
      <c r="I338" s="814" t="s">
        <v>3744</v>
      </c>
      <c r="J338" s="167"/>
      <c r="K338" s="167"/>
      <c r="L338" s="167"/>
      <c r="M338" s="248"/>
      <c r="N338" s="249"/>
    </row>
    <row r="339" spans="1:14" ht="25.5">
      <c r="A339" s="156"/>
      <c r="B339" s="156"/>
      <c r="C339" s="167"/>
      <c r="D339" s="167"/>
      <c r="E339" s="167"/>
      <c r="F339" s="167"/>
      <c r="G339" s="813" t="s">
        <v>1713</v>
      </c>
      <c r="H339" s="814" t="s">
        <v>454</v>
      </c>
      <c r="I339" s="814" t="s">
        <v>3751</v>
      </c>
      <c r="J339" s="167"/>
      <c r="K339" s="167"/>
      <c r="L339" s="167"/>
      <c r="M339" s="248"/>
      <c r="N339" s="249"/>
    </row>
    <row r="340" spans="1:14">
      <c r="A340" s="156"/>
      <c r="B340" s="156"/>
      <c r="C340" s="167"/>
      <c r="D340" s="167"/>
      <c r="E340" s="167"/>
      <c r="F340" s="167"/>
      <c r="G340" s="813" t="s">
        <v>3250</v>
      </c>
      <c r="H340" s="814" t="s">
        <v>2019</v>
      </c>
      <c r="I340" s="814" t="s">
        <v>3753</v>
      </c>
      <c r="J340" s="167"/>
      <c r="K340" s="167"/>
      <c r="L340" s="167"/>
      <c r="M340" s="248"/>
      <c r="N340" s="249"/>
    </row>
    <row r="341" spans="1:14">
      <c r="A341" s="156"/>
      <c r="B341" s="156"/>
      <c r="C341" s="167"/>
      <c r="D341" s="167"/>
      <c r="E341" s="167"/>
      <c r="F341" s="167"/>
      <c r="G341" s="813" t="s">
        <v>1714</v>
      </c>
      <c r="H341" s="814"/>
      <c r="I341" s="814" t="s">
        <v>2058</v>
      </c>
      <c r="J341" s="167"/>
      <c r="K341" s="167"/>
      <c r="L341" s="167"/>
      <c r="M341" s="248"/>
      <c r="N341" s="249"/>
    </row>
    <row r="342" spans="1:14">
      <c r="A342" s="156"/>
      <c r="B342" s="156"/>
      <c r="C342" s="167"/>
      <c r="D342" s="167"/>
      <c r="E342" s="167"/>
      <c r="F342" s="167"/>
      <c r="G342" s="813" t="s">
        <v>1568</v>
      </c>
      <c r="H342" s="814"/>
      <c r="I342" s="814" t="s">
        <v>2060</v>
      </c>
      <c r="J342" s="167"/>
      <c r="K342" s="167"/>
      <c r="L342" s="167"/>
      <c r="M342" s="248"/>
      <c r="N342" s="249"/>
    </row>
    <row r="343" spans="1:14">
      <c r="A343" s="156"/>
      <c r="B343" s="156"/>
      <c r="C343" s="167"/>
      <c r="D343" s="167"/>
      <c r="E343" s="167"/>
      <c r="F343" s="167"/>
      <c r="G343" s="813" t="s">
        <v>1502</v>
      </c>
      <c r="H343" s="814"/>
      <c r="I343" s="814" t="s">
        <v>2151</v>
      </c>
      <c r="J343" s="167"/>
      <c r="K343" s="167"/>
      <c r="L343" s="167"/>
      <c r="M343" s="248"/>
      <c r="N343" s="249"/>
    </row>
    <row r="344" spans="1:14">
      <c r="A344" s="156"/>
      <c r="B344" s="156"/>
      <c r="C344" s="167"/>
      <c r="D344" s="167"/>
      <c r="E344" s="167"/>
      <c r="F344" s="167"/>
      <c r="G344" s="813" t="s">
        <v>3289</v>
      </c>
      <c r="H344" s="814"/>
      <c r="I344" s="814" t="s">
        <v>3522</v>
      </c>
      <c r="J344" s="167"/>
      <c r="K344" s="167"/>
      <c r="L344" s="167"/>
      <c r="M344" s="248"/>
      <c r="N344" s="249"/>
    </row>
    <row r="345" spans="1:14">
      <c r="A345" s="156"/>
      <c r="B345" s="156"/>
      <c r="C345" s="167"/>
      <c r="D345" s="167"/>
      <c r="E345" s="167"/>
      <c r="F345" s="167"/>
      <c r="G345" s="813" t="s">
        <v>3297</v>
      </c>
      <c r="H345" s="814"/>
      <c r="I345" s="814" t="s">
        <v>1294</v>
      </c>
      <c r="J345" s="167"/>
      <c r="K345" s="167"/>
      <c r="L345" s="167"/>
      <c r="M345" s="248"/>
      <c r="N345" s="249"/>
    </row>
    <row r="346" spans="1:14">
      <c r="A346" s="156"/>
      <c r="B346" s="156"/>
      <c r="C346" s="167"/>
      <c r="D346" s="167"/>
      <c r="E346" s="167"/>
      <c r="F346" s="167"/>
      <c r="G346" s="813" t="s">
        <v>1070</v>
      </c>
      <c r="H346" s="814"/>
      <c r="I346" s="814" t="s">
        <v>1296</v>
      </c>
      <c r="J346" s="167"/>
      <c r="K346" s="167"/>
      <c r="L346" s="167"/>
      <c r="M346" s="248"/>
      <c r="N346" s="249"/>
    </row>
    <row r="347" spans="1:14">
      <c r="A347" s="156"/>
      <c r="B347" s="156"/>
      <c r="C347" s="167"/>
      <c r="D347" s="167"/>
      <c r="E347" s="167"/>
      <c r="F347" s="167"/>
      <c r="G347" s="813" t="s">
        <v>3696</v>
      </c>
      <c r="H347" s="814"/>
      <c r="I347" s="814" t="s">
        <v>1704</v>
      </c>
      <c r="J347" s="167"/>
      <c r="K347" s="167"/>
      <c r="L347" s="167"/>
      <c r="M347" s="248"/>
      <c r="N347" s="249"/>
    </row>
    <row r="348" spans="1:14">
      <c r="A348" s="156"/>
      <c r="B348" s="156"/>
      <c r="C348" s="167"/>
      <c r="D348" s="167"/>
      <c r="E348" s="167"/>
      <c r="F348" s="167"/>
      <c r="G348" s="813" t="s">
        <v>809</v>
      </c>
      <c r="H348" s="814"/>
      <c r="I348" s="814" t="s">
        <v>1706</v>
      </c>
      <c r="J348" s="167"/>
      <c r="K348" s="167"/>
      <c r="L348" s="167"/>
      <c r="M348" s="248"/>
      <c r="N348" s="249"/>
    </row>
    <row r="349" spans="1:14" ht="51">
      <c r="A349" s="156"/>
      <c r="B349" s="156"/>
      <c r="C349" s="167"/>
      <c r="D349" s="167"/>
      <c r="E349" s="167"/>
      <c r="F349" s="167"/>
      <c r="G349" s="813" t="s">
        <v>1715</v>
      </c>
      <c r="H349" s="814"/>
      <c r="I349" s="814" t="s">
        <v>2463</v>
      </c>
      <c r="J349" s="167"/>
      <c r="K349" s="167"/>
      <c r="L349" s="167"/>
      <c r="M349" s="248"/>
      <c r="N349" s="249"/>
    </row>
    <row r="350" spans="1:14">
      <c r="A350" s="156"/>
      <c r="B350" s="156"/>
      <c r="C350" s="167"/>
      <c r="D350" s="167"/>
      <c r="E350" s="167"/>
      <c r="F350" s="167"/>
      <c r="G350" s="813" t="s">
        <v>895</v>
      </c>
      <c r="H350" s="814"/>
      <c r="I350" s="814" t="s">
        <v>2467</v>
      </c>
      <c r="J350" s="167"/>
      <c r="K350" s="167"/>
      <c r="L350" s="167"/>
      <c r="M350" s="248"/>
      <c r="N350" s="249"/>
    </row>
    <row r="351" spans="1:14">
      <c r="A351" s="156"/>
      <c r="B351" s="156"/>
      <c r="C351" s="167"/>
      <c r="D351" s="167"/>
      <c r="E351" s="167"/>
      <c r="F351" s="167"/>
      <c r="G351" s="813" t="s">
        <v>897</v>
      </c>
      <c r="H351" s="814"/>
      <c r="I351" s="814" t="s">
        <v>1011</v>
      </c>
      <c r="J351" s="167"/>
      <c r="K351" s="167"/>
      <c r="L351" s="167"/>
      <c r="M351" s="248"/>
      <c r="N351" s="249"/>
    </row>
    <row r="352" spans="1:14">
      <c r="A352" s="156"/>
      <c r="B352" s="156"/>
      <c r="C352" s="167"/>
      <c r="D352" s="167"/>
      <c r="E352" s="167"/>
      <c r="F352" s="167"/>
      <c r="G352" s="813" t="s">
        <v>1097</v>
      </c>
      <c r="H352" s="814"/>
      <c r="I352" s="814" t="s">
        <v>1016</v>
      </c>
      <c r="J352" s="167"/>
      <c r="K352" s="167"/>
      <c r="L352" s="167"/>
      <c r="M352" s="248"/>
      <c r="N352" s="249"/>
    </row>
    <row r="353" spans="1:14" ht="25.5">
      <c r="A353" s="156"/>
      <c r="B353" s="156"/>
      <c r="C353" s="167"/>
      <c r="D353" s="167"/>
      <c r="E353" s="167"/>
      <c r="F353" s="167"/>
      <c r="G353" s="813" t="s">
        <v>1716</v>
      </c>
      <c r="H353" s="814"/>
      <c r="I353" s="814" t="s">
        <v>1018</v>
      </c>
      <c r="J353" s="167"/>
      <c r="K353" s="167"/>
      <c r="L353" s="167"/>
      <c r="M353" s="248"/>
      <c r="N353" s="249"/>
    </row>
    <row r="354" spans="1:14" ht="13.5">
      <c r="A354" s="156"/>
      <c r="B354" s="156"/>
      <c r="C354" s="641"/>
      <c r="D354" s="641"/>
      <c r="E354" s="167"/>
      <c r="F354" s="167"/>
      <c r="G354" s="813" t="s">
        <v>867</v>
      </c>
      <c r="H354" s="762"/>
      <c r="I354" s="814" t="s">
        <v>1022</v>
      </c>
      <c r="J354" s="167"/>
      <c r="K354" s="167"/>
      <c r="L354" s="167"/>
      <c r="M354" s="248"/>
      <c r="N354" s="249"/>
    </row>
    <row r="355" spans="1:14" ht="13.5">
      <c r="A355" s="156"/>
      <c r="B355" s="156"/>
      <c r="C355" s="641"/>
      <c r="D355" s="641"/>
      <c r="E355" s="167"/>
      <c r="F355" s="167"/>
      <c r="G355" s="813" t="s">
        <v>801</v>
      </c>
      <c r="H355" s="762"/>
      <c r="I355" s="814" t="s">
        <v>898</v>
      </c>
      <c r="J355" s="167"/>
      <c r="K355" s="167"/>
      <c r="L355" s="167"/>
      <c r="M355" s="248"/>
      <c r="N355" s="249"/>
    </row>
    <row r="356" spans="1:14" ht="13.5">
      <c r="A356" s="156"/>
      <c r="B356" s="156"/>
      <c r="C356" s="641"/>
      <c r="D356" s="642"/>
      <c r="E356" s="167"/>
      <c r="F356" s="167"/>
      <c r="G356" s="813" t="s">
        <v>1582</v>
      </c>
      <c r="H356" s="762"/>
      <c r="I356" s="814" t="s">
        <v>1541</v>
      </c>
      <c r="J356" s="167"/>
      <c r="K356" s="167"/>
      <c r="L356" s="167"/>
      <c r="M356" s="248"/>
      <c r="N356" s="249"/>
    </row>
    <row r="357" spans="1:14" ht="13.5">
      <c r="A357" s="156"/>
      <c r="B357" s="156"/>
      <c r="C357" s="641"/>
      <c r="D357" s="642"/>
      <c r="E357" s="642"/>
      <c r="F357" s="120"/>
      <c r="G357" s="768" t="s">
        <v>1587</v>
      </c>
      <c r="H357" s="746"/>
      <c r="I357" s="814" t="s">
        <v>1542</v>
      </c>
      <c r="J357" s="167"/>
      <c r="K357" s="167"/>
      <c r="L357" s="167"/>
      <c r="M357" s="156"/>
    </row>
    <row r="358" spans="1:14" ht="13.5">
      <c r="A358" s="156"/>
      <c r="B358" s="156"/>
      <c r="C358" s="641"/>
      <c r="D358" s="120"/>
      <c r="E358" s="120"/>
      <c r="F358" s="120"/>
      <c r="G358" s="768" t="s">
        <v>1590</v>
      </c>
      <c r="H358" s="746"/>
      <c r="I358" s="814" t="s">
        <v>1209</v>
      </c>
      <c r="J358" s="167"/>
      <c r="K358" s="167"/>
      <c r="L358" s="167"/>
      <c r="M358" s="156"/>
    </row>
    <row r="359" spans="1:14" ht="13.5">
      <c r="A359" s="156"/>
      <c r="B359" s="156"/>
      <c r="C359" s="641"/>
      <c r="D359" s="120"/>
      <c r="E359" s="120"/>
      <c r="F359" s="120"/>
      <c r="G359" s="768" t="s">
        <v>1465</v>
      </c>
      <c r="H359" s="746"/>
      <c r="I359" s="815" t="s">
        <v>3977</v>
      </c>
      <c r="J359" s="167"/>
      <c r="K359" s="167"/>
      <c r="L359" s="167"/>
      <c r="M359" s="156"/>
    </row>
    <row r="360" spans="1:14" ht="13.5">
      <c r="A360" s="156"/>
      <c r="B360" s="156"/>
      <c r="C360" s="641"/>
      <c r="D360" s="167"/>
      <c r="E360" s="167"/>
      <c r="F360" s="167"/>
      <c r="G360" s="768" t="s">
        <v>3979</v>
      </c>
      <c r="H360" s="746"/>
      <c r="I360" s="762" t="s">
        <v>3983</v>
      </c>
      <c r="J360" s="167"/>
      <c r="K360" s="167"/>
      <c r="L360" s="167"/>
      <c r="M360" s="156"/>
    </row>
    <row r="361" spans="1:14" ht="13.5">
      <c r="A361" s="156"/>
      <c r="B361" s="156"/>
      <c r="C361" s="642"/>
      <c r="D361" s="167"/>
      <c r="E361" s="167"/>
      <c r="F361" s="167"/>
      <c r="G361" s="768" t="s">
        <v>3577</v>
      </c>
      <c r="H361" s="746"/>
      <c r="I361" s="762" t="s">
        <v>677</v>
      </c>
      <c r="J361" s="167"/>
      <c r="K361" s="167"/>
      <c r="L361" s="167"/>
      <c r="M361" s="156"/>
    </row>
    <row r="362" spans="1:14" ht="13.5">
      <c r="A362" s="156"/>
      <c r="B362" s="156"/>
      <c r="C362" s="642"/>
      <c r="D362" s="167"/>
      <c r="E362" s="167"/>
      <c r="F362" s="167"/>
      <c r="G362" s="768" t="s">
        <v>3578</v>
      </c>
      <c r="H362" s="746"/>
      <c r="I362" s="762" t="s">
        <v>679</v>
      </c>
      <c r="J362" s="167"/>
      <c r="K362" s="167"/>
      <c r="L362" s="167"/>
      <c r="M362" s="156"/>
    </row>
    <row r="363" spans="1:14" ht="13.5">
      <c r="A363" s="156"/>
      <c r="B363" s="156"/>
      <c r="C363" s="167"/>
      <c r="D363" s="167"/>
      <c r="E363" s="167"/>
      <c r="F363" s="167"/>
      <c r="G363" s="768" t="s">
        <v>1946</v>
      </c>
      <c r="H363" s="746"/>
      <c r="I363" s="762" t="s">
        <v>681</v>
      </c>
      <c r="J363" s="167"/>
      <c r="K363" s="167"/>
      <c r="L363" s="167"/>
      <c r="M363" s="156"/>
    </row>
    <row r="364" spans="1:14">
      <c r="A364" s="156"/>
      <c r="B364" s="156"/>
      <c r="C364" s="167"/>
      <c r="D364" s="167"/>
      <c r="E364" s="167"/>
      <c r="F364" s="167"/>
      <c r="G364" s="746"/>
      <c r="H364" s="746"/>
      <c r="I364" s="746"/>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codeName="Sheet16" enableFormatConditionsCalculation="0">
    <pageSetUpPr fitToPage="1"/>
  </sheetPr>
  <dimension ref="A1:F24"/>
  <sheetViews>
    <sheetView showGridLines="0" topLeftCell="A5" workbookViewId="0">
      <selection activeCell="A5" sqref="A5:A23"/>
    </sheetView>
  </sheetViews>
  <sheetFormatPr defaultColWidth="8.85546875" defaultRowHeight="12.75"/>
  <cols>
    <col min="1" max="1" width="88.42578125" customWidth="1"/>
  </cols>
  <sheetData>
    <row r="1" spans="1:6" ht="15.75">
      <c r="A1" s="578" t="s">
        <v>126</v>
      </c>
    </row>
    <row r="2" spans="1:6" ht="16.5">
      <c r="A2" s="577" t="str">
        <f>'Part I-Project Information'!F22</f>
        <v>Adair Court</v>
      </c>
    </row>
    <row r="3" spans="1:6" ht="16.5">
      <c r="A3" s="577" t="str">
        <f>CONCATENATE('Part I-Project Information'!F24,", ", 'Part I-Project Information'!J25," County")</f>
        <v>Atlanta, Fulton County</v>
      </c>
    </row>
    <row r="4" spans="1:6" ht="12" customHeight="1"/>
    <row r="5" spans="1:6" ht="113.25" customHeight="1">
      <c r="A5" s="1210" t="s">
        <v>21</v>
      </c>
      <c r="B5" s="1125" t="s">
        <v>140</v>
      </c>
      <c r="C5" s="886"/>
      <c r="D5" s="886"/>
      <c r="E5" s="886"/>
      <c r="F5" s="886"/>
    </row>
    <row r="6" spans="1:6" ht="6.6" customHeight="1">
      <c r="A6" s="1211"/>
      <c r="B6" s="1125"/>
      <c r="C6" s="886"/>
      <c r="D6" s="886"/>
      <c r="E6" s="886"/>
      <c r="F6" s="886"/>
    </row>
    <row r="7" spans="1:6" ht="134.25" customHeight="1">
      <c r="A7" s="1211"/>
      <c r="C7" s="579"/>
    </row>
    <row r="8" spans="1:6" ht="6.6" customHeight="1">
      <c r="A8" s="1211"/>
    </row>
    <row r="9" spans="1:6" ht="134.25" customHeight="1">
      <c r="A9" s="1211"/>
    </row>
    <row r="10" spans="1:6" ht="6.6" customHeight="1">
      <c r="A10" s="1211"/>
    </row>
    <row r="11" spans="1:6" ht="134.25" customHeight="1">
      <c r="A11" s="1211"/>
    </row>
    <row r="12" spans="1:6" ht="6.6" customHeight="1">
      <c r="A12" s="1211"/>
    </row>
    <row r="13" spans="1:6" ht="134.25" customHeight="1">
      <c r="A13" s="1211"/>
    </row>
    <row r="14" spans="1:6" ht="6.6" customHeight="1">
      <c r="A14" s="1211"/>
    </row>
    <row r="15" spans="1:6" ht="111" customHeight="1">
      <c r="A15" s="1211"/>
    </row>
    <row r="16" spans="1:6" ht="6.6" customHeight="1">
      <c r="A16" s="1211"/>
    </row>
    <row r="17" spans="1:1" ht="111" customHeight="1">
      <c r="A17" s="1211"/>
    </row>
    <row r="18" spans="1:1" ht="6.6" customHeight="1">
      <c r="A18" s="1211"/>
    </row>
    <row r="19" spans="1:1" ht="111" customHeight="1">
      <c r="A19" s="1211"/>
    </row>
    <row r="20" spans="1:1" ht="6.6" customHeight="1">
      <c r="A20" s="1211"/>
    </row>
    <row r="21" spans="1:1" ht="111" customHeight="1">
      <c r="A21" s="1211"/>
    </row>
    <row r="22" spans="1:1" ht="6.6" customHeight="1">
      <c r="A22" s="1211"/>
    </row>
    <row r="23" spans="1:1" ht="111" customHeight="1">
      <c r="A23" s="1212"/>
    </row>
    <row r="24" spans="1:1" ht="6.6" customHeight="1">
      <c r="A24" s="585"/>
    </row>
  </sheetData>
  <sheetProtection password="CE88" sheet="1" objects="1" scenarios="1"/>
  <mergeCells count="2">
    <mergeCell ref="B5:F6"/>
    <mergeCell ref="A5:A23"/>
  </mergeCells>
  <phoneticPr fontId="5" type="noConversion"/>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127</v>
      </c>
    </row>
    <row r="2" spans="1:6" ht="16.5">
      <c r="A2" s="577" t="str">
        <f>'Part I-Project Information'!F22</f>
        <v>Adair Court</v>
      </c>
    </row>
    <row r="3" spans="1:6" ht="16.5">
      <c r="A3" s="577" t="str">
        <f>CONCATENATE('Part I-Project Information'!F24,", ", 'Part I-Project Information'!J25," County")</f>
        <v>Atlanta, Fulton County</v>
      </c>
    </row>
    <row r="4" spans="1:6" ht="12" customHeight="1"/>
    <row r="5" spans="1:6" ht="60" customHeight="1">
      <c r="A5" s="1210" t="s">
        <v>4115</v>
      </c>
      <c r="B5" s="1125" t="s">
        <v>141</v>
      </c>
      <c r="C5" s="1213"/>
      <c r="D5" s="1213"/>
      <c r="E5" s="1213"/>
      <c r="F5" s="1213"/>
    </row>
    <row r="6" spans="1:6" ht="6.6" customHeight="1">
      <c r="A6" s="1211"/>
      <c r="B6" s="1125"/>
      <c r="C6" s="1213"/>
      <c r="D6" s="1213"/>
      <c r="E6" s="1213"/>
      <c r="F6" s="1213"/>
    </row>
    <row r="7" spans="1:6" ht="60" customHeight="1">
      <c r="A7" s="1211"/>
      <c r="B7" s="1125"/>
      <c r="C7" s="1213"/>
      <c r="D7" s="1213"/>
      <c r="E7" s="1213"/>
      <c r="F7" s="1213"/>
    </row>
    <row r="8" spans="1:6" ht="6.6" customHeight="1">
      <c r="A8" s="1211"/>
    </row>
    <row r="9" spans="1:6" ht="60" customHeight="1">
      <c r="A9" s="1211"/>
    </row>
    <row r="10" spans="1:6" ht="6.6" customHeight="1">
      <c r="A10" s="1211"/>
    </row>
    <row r="11" spans="1:6" ht="60" customHeight="1">
      <c r="A11" s="1211"/>
    </row>
    <row r="12" spans="1:6" ht="6.6" customHeight="1">
      <c r="A12" s="1211"/>
    </row>
    <row r="13" spans="1:6" ht="60" customHeight="1">
      <c r="A13" s="1211"/>
    </row>
    <row r="14" spans="1:6" ht="6.6" customHeight="1">
      <c r="A14" s="1211"/>
    </row>
    <row r="15" spans="1:6" ht="60" customHeight="1">
      <c r="A15" s="1211"/>
    </row>
    <row r="16" spans="1:6" ht="6.6" customHeight="1">
      <c r="A16" s="1211"/>
    </row>
    <row r="17" spans="1:1" ht="60" customHeight="1">
      <c r="A17" s="1211"/>
    </row>
    <row r="18" spans="1:1" ht="6.6" customHeight="1">
      <c r="A18" s="1211"/>
    </row>
    <row r="19" spans="1:1" ht="60" customHeight="1">
      <c r="A19" s="1211"/>
    </row>
    <row r="20" spans="1:1" ht="6.6" customHeight="1">
      <c r="A20" s="1211"/>
    </row>
    <row r="21" spans="1:1" ht="60" customHeight="1">
      <c r="A21" s="1211"/>
    </row>
    <row r="22" spans="1:1" ht="6.6" customHeight="1">
      <c r="A22" s="1211"/>
    </row>
    <row r="23" spans="1:1" ht="60" customHeight="1">
      <c r="A23" s="1212"/>
    </row>
    <row r="24" spans="1:1" ht="6.6" customHeight="1">
      <c r="A24" s="585"/>
    </row>
  </sheetData>
  <sheetProtection password="CE88" sheet="1" objects="1" scenarios="1"/>
  <mergeCells count="2">
    <mergeCell ref="A5:A23"/>
    <mergeCell ref="B5:F7"/>
  </mergeCells>
  <phoneticPr fontId="130" type="noConversion"/>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6" t="s">
        <v>2009</v>
      </c>
      <c r="O1" s="646"/>
      <c r="P1" s="646"/>
      <c r="Q1" s="646"/>
      <c r="R1" s="646"/>
      <c r="S1" s="646"/>
      <c r="T1" s="646"/>
      <c r="U1" s="646"/>
      <c r="V1" s="646"/>
      <c r="W1" s="646"/>
      <c r="X1" s="646"/>
      <c r="Y1" s="646"/>
      <c r="Z1" s="646"/>
    </row>
    <row r="3" spans="1:26">
      <c r="N3" s="647" t="s">
        <v>2010</v>
      </c>
      <c r="O3" s="647"/>
      <c r="P3" s="647"/>
      <c r="Q3" s="647"/>
      <c r="R3" s="647"/>
      <c r="S3" s="647"/>
      <c r="T3" s="647"/>
      <c r="U3" s="647"/>
      <c r="V3" s="647"/>
      <c r="W3" s="647"/>
      <c r="X3" s="647"/>
      <c r="Y3" s="647"/>
      <c r="Z3" s="647"/>
    </row>
    <row r="4" spans="1:26">
      <c r="N4" s="648" t="s">
        <v>2011</v>
      </c>
      <c r="O4" s="648"/>
      <c r="P4" s="648"/>
      <c r="Q4" s="648"/>
      <c r="R4" s="648"/>
      <c r="S4" s="648"/>
      <c r="T4" s="648"/>
      <c r="U4" s="648"/>
      <c r="V4" s="648"/>
      <c r="W4" s="648"/>
      <c r="X4" s="648"/>
      <c r="Y4" s="648"/>
      <c r="Z4" s="648"/>
    </row>
    <row r="6" spans="1:26">
      <c r="B6" s="138"/>
      <c r="C6" s="138"/>
      <c r="D6" s="138"/>
      <c r="E6" s="138"/>
      <c r="F6" s="138"/>
      <c r="G6" s="138"/>
      <c r="H6" s="138"/>
      <c r="I6" s="138"/>
      <c r="J6" s="138"/>
      <c r="K6" s="138"/>
      <c r="L6" s="138"/>
      <c r="M6" s="138"/>
      <c r="N6" s="137" t="s">
        <v>3001</v>
      </c>
    </row>
    <row r="7" spans="1:26" ht="11.45" customHeight="1">
      <c r="A7" s="138"/>
      <c r="B7" s="138"/>
      <c r="C7" s="138"/>
      <c r="D7" s="138"/>
      <c r="E7" s="138"/>
      <c r="F7" s="138"/>
      <c r="G7" s="138"/>
      <c r="H7" s="138"/>
      <c r="I7" s="138"/>
      <c r="J7" s="138"/>
      <c r="K7" s="138"/>
      <c r="L7" s="138"/>
      <c r="M7" s="138"/>
    </row>
    <row r="8" spans="1:26" ht="63.6" customHeight="1">
      <c r="A8" s="1214" t="s">
        <v>768</v>
      </c>
      <c r="B8" s="1214"/>
      <c r="C8" s="1214"/>
      <c r="D8" s="1214"/>
      <c r="E8" s="1214"/>
      <c r="F8" s="1214"/>
      <c r="G8" s="1214"/>
      <c r="H8" s="1214"/>
      <c r="I8" s="1214"/>
      <c r="J8" s="1214"/>
      <c r="K8" s="1214"/>
      <c r="L8" s="1214"/>
      <c r="M8" s="1214"/>
    </row>
    <row r="9" spans="1:26" ht="11.45" customHeight="1">
      <c r="A9" s="138"/>
      <c r="B9" s="138"/>
      <c r="C9" s="138"/>
      <c r="D9" s="138"/>
      <c r="E9" s="138"/>
      <c r="F9" s="138"/>
      <c r="G9" s="138"/>
      <c r="H9" s="138"/>
      <c r="I9" s="138"/>
      <c r="J9" s="138"/>
      <c r="K9" s="138"/>
      <c r="L9" s="138"/>
      <c r="M9" s="138"/>
    </row>
    <row r="10" spans="1:26">
      <c r="A10" s="138" t="s">
        <v>3142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5" t="s">
        <v>1324</v>
      </c>
      <c r="B12" s="1215"/>
      <c r="C12" s="1215"/>
      <c r="D12" s="1215"/>
      <c r="E12" s="1215"/>
      <c r="F12" s="1215"/>
      <c r="G12" s="1215"/>
      <c r="H12" s="1215"/>
      <c r="I12" s="1215"/>
      <c r="J12" s="1215"/>
      <c r="K12" s="1215"/>
      <c r="L12" s="1215"/>
      <c r="M12" s="1215"/>
    </row>
    <row r="13" spans="1:26" ht="11.45" customHeight="1">
      <c r="A13" s="1215"/>
      <c r="B13" s="1215"/>
      <c r="C13" s="1215"/>
      <c r="D13" s="1215"/>
      <c r="E13" s="1215"/>
      <c r="F13" s="1215"/>
      <c r="G13" s="1215"/>
      <c r="H13" s="1215"/>
      <c r="I13" s="1215"/>
      <c r="J13" s="1215"/>
      <c r="K13" s="1215"/>
      <c r="L13" s="1215"/>
      <c r="M13" s="1215"/>
    </row>
    <row r="14" spans="1:26" ht="48.6" customHeight="1">
      <c r="A14" s="1216" t="s">
        <v>3401</v>
      </c>
      <c r="B14" s="1216"/>
      <c r="C14" s="1216"/>
      <c r="D14" s="1216"/>
      <c r="E14" s="1216"/>
      <c r="F14" s="1216"/>
      <c r="G14" s="1216"/>
      <c r="H14" s="1216"/>
      <c r="I14" s="1216"/>
      <c r="J14" s="1216"/>
      <c r="K14" s="1216"/>
      <c r="L14" s="1216"/>
      <c r="M14" s="1216"/>
    </row>
    <row r="15" spans="1:26" ht="3" customHeight="1">
      <c r="A15" s="1215"/>
      <c r="B15" s="1215"/>
      <c r="C15" s="1215"/>
      <c r="D15" s="1215"/>
      <c r="E15" s="1215"/>
      <c r="F15" s="1215"/>
      <c r="G15" s="1215"/>
      <c r="H15" s="1215"/>
      <c r="I15" s="1215"/>
      <c r="J15" s="1215"/>
      <c r="K15" s="1215"/>
      <c r="L15" s="1215"/>
      <c r="M15" s="1215"/>
    </row>
    <row r="16" spans="1:26" ht="60" customHeight="1">
      <c r="A16" s="140" t="s">
        <v>1498</v>
      </c>
      <c r="B16" s="1217" t="s">
        <v>3970</v>
      </c>
      <c r="C16" s="1217"/>
      <c r="D16" s="1217"/>
      <c r="E16" s="1217"/>
      <c r="F16" s="1217"/>
      <c r="G16" s="1217"/>
      <c r="H16" s="1217"/>
      <c r="I16" s="1217"/>
      <c r="J16" s="1217"/>
      <c r="K16" s="1217"/>
      <c r="L16" s="1217"/>
      <c r="M16" s="1217"/>
    </row>
    <row r="17" spans="1:13" ht="3" customHeight="1">
      <c r="A17" s="1215"/>
      <c r="B17" s="1215"/>
      <c r="C17" s="1215"/>
      <c r="D17" s="1215"/>
      <c r="E17" s="1215"/>
      <c r="F17" s="1215"/>
      <c r="G17" s="1215"/>
      <c r="H17" s="1215"/>
      <c r="I17" s="1215"/>
      <c r="J17" s="1215"/>
      <c r="K17" s="1215"/>
      <c r="L17" s="1215"/>
      <c r="M17" s="1215"/>
    </row>
    <row r="18" spans="1:13" ht="120.6" customHeight="1">
      <c r="A18" s="140" t="s">
        <v>1499</v>
      </c>
      <c r="B18" s="1217" t="s">
        <v>3155</v>
      </c>
      <c r="C18" s="1217"/>
      <c r="D18" s="1217"/>
      <c r="E18" s="1217"/>
      <c r="F18" s="1217"/>
      <c r="G18" s="1217"/>
      <c r="H18" s="1217"/>
      <c r="I18" s="1217"/>
      <c r="J18" s="1217"/>
      <c r="K18" s="1217"/>
      <c r="L18" s="1217"/>
      <c r="M18" s="1217"/>
    </row>
    <row r="19" spans="1:13" ht="3" customHeight="1">
      <c r="A19" s="1215"/>
      <c r="B19" s="1215"/>
      <c r="C19" s="1215"/>
      <c r="D19" s="1215"/>
      <c r="E19" s="1215"/>
      <c r="F19" s="1215"/>
      <c r="G19" s="1215"/>
      <c r="H19" s="1215"/>
      <c r="I19" s="1215"/>
      <c r="J19" s="1215"/>
      <c r="K19" s="1215"/>
      <c r="L19" s="1215"/>
      <c r="M19" s="1215"/>
    </row>
    <row r="20" spans="1:13" ht="135.6" customHeight="1">
      <c r="A20" s="140" t="s">
        <v>1500</v>
      </c>
      <c r="B20" s="1217" t="s">
        <v>2663</v>
      </c>
      <c r="C20" s="1217"/>
      <c r="D20" s="1217"/>
      <c r="E20" s="1217"/>
      <c r="F20" s="1217"/>
      <c r="G20" s="1217"/>
      <c r="H20" s="1217"/>
      <c r="I20" s="1217"/>
      <c r="J20" s="1217"/>
      <c r="K20" s="1217"/>
      <c r="L20" s="1217"/>
      <c r="M20" s="1217"/>
    </row>
    <row r="21" spans="1:13" ht="3" customHeight="1">
      <c r="A21" s="1215"/>
      <c r="B21" s="1215"/>
      <c r="C21" s="1215"/>
      <c r="D21" s="1215"/>
      <c r="E21" s="1215"/>
      <c r="F21" s="1215"/>
      <c r="G21" s="1215"/>
      <c r="H21" s="1215"/>
      <c r="I21" s="1215"/>
      <c r="J21" s="1215"/>
      <c r="K21" s="1215"/>
      <c r="L21" s="1215"/>
      <c r="M21" s="1215"/>
    </row>
    <row r="22" spans="1:13" ht="65.45" customHeight="1">
      <c r="A22" s="140" t="s">
        <v>617</v>
      </c>
      <c r="B22" s="1217" t="s">
        <v>3111</v>
      </c>
      <c r="C22" s="1217"/>
      <c r="D22" s="1217"/>
      <c r="E22" s="1217"/>
      <c r="F22" s="1217"/>
      <c r="G22" s="1217"/>
      <c r="H22" s="1217"/>
      <c r="I22" s="1217"/>
      <c r="J22" s="1217"/>
      <c r="K22" s="1217"/>
      <c r="L22" s="1217"/>
      <c r="M22" s="1217"/>
    </row>
    <row r="23" spans="1:13" ht="165.6" customHeight="1">
      <c r="A23" s="140" t="s">
        <v>1952</v>
      </c>
      <c r="B23" s="1217" t="s">
        <v>1116</v>
      </c>
      <c r="C23" s="1217"/>
      <c r="D23" s="1217"/>
      <c r="E23" s="1217"/>
      <c r="F23" s="1217"/>
      <c r="G23" s="1217"/>
      <c r="H23" s="1217"/>
      <c r="I23" s="1217"/>
      <c r="J23" s="1217"/>
      <c r="K23" s="1217"/>
      <c r="L23" s="1217"/>
      <c r="M23" s="1217"/>
    </row>
    <row r="24" spans="1:13" ht="3" customHeight="1">
      <c r="A24" s="1215"/>
      <c r="B24" s="1215"/>
      <c r="C24" s="1215"/>
      <c r="D24" s="1215"/>
      <c r="E24" s="1215"/>
      <c r="F24" s="1215"/>
      <c r="G24" s="1215"/>
      <c r="H24" s="1215"/>
      <c r="I24" s="1215"/>
      <c r="J24" s="1215"/>
      <c r="K24" s="1215"/>
      <c r="L24" s="1215"/>
      <c r="M24" s="1215"/>
    </row>
    <row r="25" spans="1:13" ht="46.35" customHeight="1">
      <c r="A25" s="140" t="s">
        <v>1953</v>
      </c>
      <c r="B25" s="1217" t="s">
        <v>2068</v>
      </c>
      <c r="C25" s="1217"/>
      <c r="D25" s="1217"/>
      <c r="E25" s="1217"/>
      <c r="F25" s="1217"/>
      <c r="G25" s="1217"/>
      <c r="H25" s="1217"/>
      <c r="I25" s="1217"/>
      <c r="J25" s="1217"/>
      <c r="K25" s="1217"/>
      <c r="L25" s="1217"/>
      <c r="M25" s="1217"/>
    </row>
    <row r="26" spans="1:13" ht="3" customHeight="1">
      <c r="A26" s="1215"/>
      <c r="B26" s="1215"/>
      <c r="C26" s="1215"/>
      <c r="D26" s="1215"/>
      <c r="E26" s="1215"/>
      <c r="F26" s="1215"/>
      <c r="G26" s="1215"/>
      <c r="H26" s="1215"/>
      <c r="I26" s="1215"/>
      <c r="J26" s="1215"/>
      <c r="K26" s="1215"/>
      <c r="L26" s="1215"/>
      <c r="M26" s="1215"/>
    </row>
    <row r="27" spans="1:13">
      <c r="A27" s="140" t="s">
        <v>3971</v>
      </c>
      <c r="B27" s="1217" t="s">
        <v>2069</v>
      </c>
      <c r="C27" s="1217"/>
      <c r="D27" s="1217"/>
      <c r="E27" s="1217"/>
      <c r="F27" s="1217"/>
      <c r="G27" s="1217"/>
      <c r="H27" s="1217"/>
      <c r="I27" s="1217"/>
      <c r="J27" s="1217"/>
      <c r="K27" s="1217"/>
      <c r="L27" s="1217"/>
      <c r="M27" s="1217"/>
    </row>
    <row r="28" spans="1:13" ht="12" customHeight="1">
      <c r="A28" s="1215"/>
      <c r="B28" s="1215"/>
      <c r="C28" s="1215"/>
      <c r="D28" s="1215"/>
      <c r="E28" s="1215"/>
      <c r="F28" s="1215"/>
      <c r="G28" s="1215"/>
      <c r="H28" s="1215"/>
      <c r="I28" s="1215"/>
      <c r="J28" s="1215"/>
      <c r="K28" s="1215"/>
      <c r="L28" s="1215"/>
      <c r="M28" s="1215"/>
    </row>
    <row r="29" spans="1:13">
      <c r="A29" s="1215" t="s">
        <v>1962</v>
      </c>
      <c r="B29" s="1215"/>
      <c r="C29" s="1215"/>
      <c r="D29" s="1215"/>
      <c r="E29" s="1215"/>
      <c r="F29" s="1215"/>
      <c r="G29" s="1215"/>
      <c r="H29" s="1215"/>
      <c r="I29" s="1215"/>
      <c r="J29" s="1215"/>
      <c r="K29" s="1215"/>
      <c r="L29" s="1215"/>
      <c r="M29" s="1215"/>
    </row>
    <row r="30" spans="1:13" ht="3" customHeight="1">
      <c r="A30" s="1215"/>
      <c r="B30" s="1215"/>
      <c r="C30" s="1215"/>
      <c r="D30" s="1215"/>
      <c r="E30" s="1215"/>
      <c r="F30" s="1215"/>
      <c r="G30" s="1215"/>
      <c r="H30" s="1215"/>
      <c r="I30" s="1215"/>
      <c r="J30" s="1215"/>
      <c r="K30" s="1215"/>
      <c r="L30" s="1215"/>
      <c r="M30" s="1215"/>
    </row>
    <row r="31" spans="1:13" ht="33" customHeight="1">
      <c r="A31" s="141" t="s">
        <v>1963</v>
      </c>
      <c r="B31" s="1217" t="s">
        <v>2031</v>
      </c>
      <c r="C31" s="1217"/>
      <c r="D31" s="1217"/>
      <c r="E31" s="1217"/>
      <c r="F31" s="1217"/>
      <c r="G31" s="1217"/>
      <c r="H31" s="1217"/>
      <c r="I31" s="1217"/>
      <c r="J31" s="1217"/>
      <c r="K31" s="1217"/>
      <c r="L31" s="1217"/>
      <c r="M31" s="1217"/>
    </row>
    <row r="32" spans="1:13" ht="3" customHeight="1">
      <c r="A32" s="1215"/>
      <c r="B32" s="1215"/>
      <c r="C32" s="1215"/>
      <c r="D32" s="1215"/>
      <c r="E32" s="1215"/>
      <c r="F32" s="1215"/>
      <c r="G32" s="1215"/>
      <c r="H32" s="1215"/>
      <c r="I32" s="1215"/>
      <c r="J32" s="1215"/>
      <c r="K32" s="1215"/>
      <c r="L32" s="1215"/>
      <c r="M32" s="1215"/>
    </row>
    <row r="33" spans="1:13" ht="45.6" customHeight="1">
      <c r="A33" s="141" t="s">
        <v>1963</v>
      </c>
      <c r="B33" s="1217" t="s">
        <v>2408</v>
      </c>
      <c r="C33" s="1217"/>
      <c r="D33" s="1217"/>
      <c r="E33" s="1217"/>
      <c r="F33" s="1217"/>
      <c r="G33" s="1217"/>
      <c r="H33" s="1217"/>
      <c r="I33" s="1217"/>
      <c r="J33" s="1217"/>
      <c r="K33" s="1217"/>
      <c r="L33" s="1217"/>
      <c r="M33" s="1217"/>
    </row>
    <row r="34" spans="1:13" ht="3" customHeight="1">
      <c r="A34" s="1215"/>
      <c r="B34" s="1215"/>
      <c r="C34" s="1215"/>
      <c r="D34" s="1215"/>
      <c r="E34" s="1215"/>
      <c r="F34" s="1215"/>
      <c r="G34" s="1215"/>
      <c r="H34" s="1215"/>
      <c r="I34" s="1215"/>
      <c r="J34" s="1215"/>
      <c r="K34" s="1215"/>
      <c r="L34" s="1215"/>
      <c r="M34" s="1215"/>
    </row>
    <row r="35" spans="1:13" ht="75" customHeight="1">
      <c r="A35" s="141" t="s">
        <v>1963</v>
      </c>
      <c r="B35" s="1217" t="s">
        <v>2394</v>
      </c>
      <c r="C35" s="1217"/>
      <c r="D35" s="1217"/>
      <c r="E35" s="1217"/>
      <c r="F35" s="1217"/>
      <c r="G35" s="1217"/>
      <c r="H35" s="1217"/>
      <c r="I35" s="1217"/>
      <c r="J35" s="1217"/>
      <c r="K35" s="1217"/>
      <c r="L35" s="1217"/>
      <c r="M35" s="1217"/>
    </row>
    <row r="36" spans="1:13" ht="12" customHeight="1">
      <c r="A36" s="1215"/>
      <c r="B36" s="1215"/>
      <c r="C36" s="1215"/>
      <c r="D36" s="1215"/>
      <c r="E36" s="1215"/>
      <c r="F36" s="1215"/>
      <c r="G36" s="1215"/>
      <c r="H36" s="1215"/>
      <c r="I36" s="1215"/>
      <c r="J36" s="1215"/>
      <c r="K36" s="1215"/>
      <c r="L36" s="1215"/>
      <c r="M36" s="1215"/>
    </row>
    <row r="37" spans="1:13" ht="48" customHeight="1">
      <c r="A37" s="1217" t="s">
        <v>2635</v>
      </c>
      <c r="B37" s="1217"/>
      <c r="C37" s="1217"/>
      <c r="D37" s="1217"/>
      <c r="E37" s="1217"/>
      <c r="F37" s="1217"/>
      <c r="G37" s="1217"/>
      <c r="H37" s="1217"/>
      <c r="I37" s="1217"/>
      <c r="J37" s="1217"/>
      <c r="K37" s="1217"/>
      <c r="L37" s="1217"/>
      <c r="M37" s="1217"/>
    </row>
    <row r="38" spans="1:13" ht="3" customHeight="1">
      <c r="A38" s="1215"/>
      <c r="B38" s="1215"/>
      <c r="C38" s="1215"/>
      <c r="D38" s="1215"/>
      <c r="E38" s="1215"/>
      <c r="F38" s="1215"/>
      <c r="G38" s="1215"/>
      <c r="H38" s="1215"/>
      <c r="I38" s="1215"/>
      <c r="J38" s="1215"/>
      <c r="K38" s="1215"/>
      <c r="L38" s="1215"/>
      <c r="M38" s="1215"/>
    </row>
    <row r="39" spans="1:13" ht="36.6" customHeight="1">
      <c r="A39" s="1217" t="s">
        <v>2612</v>
      </c>
      <c r="B39" s="1217"/>
      <c r="C39" s="1217"/>
      <c r="D39" s="1217"/>
      <c r="E39" s="1217"/>
      <c r="F39" s="1217"/>
      <c r="G39" s="1217"/>
      <c r="H39" s="1217"/>
      <c r="I39" s="1217"/>
      <c r="J39" s="1217"/>
      <c r="K39" s="1217"/>
      <c r="L39" s="1217"/>
      <c r="M39" s="1217"/>
    </row>
    <row r="40" spans="1:13" ht="3" customHeight="1">
      <c r="A40" s="1215"/>
      <c r="B40" s="1215"/>
      <c r="C40" s="1215"/>
      <c r="D40" s="1215"/>
      <c r="E40" s="1215"/>
      <c r="F40" s="1215"/>
      <c r="G40" s="1215"/>
      <c r="H40" s="1215"/>
      <c r="I40" s="1215"/>
      <c r="J40" s="1215"/>
      <c r="K40" s="1215"/>
      <c r="L40" s="1215"/>
      <c r="M40" s="1215"/>
    </row>
    <row r="41" spans="1:13">
      <c r="A41" s="1215" t="s">
        <v>2613</v>
      </c>
      <c r="B41" s="1215"/>
      <c r="C41" s="1215"/>
      <c r="D41" s="1215"/>
      <c r="E41" s="1215"/>
      <c r="F41" s="1215"/>
      <c r="G41" s="1215"/>
      <c r="H41" s="1215"/>
      <c r="I41" s="1215"/>
      <c r="J41" s="1215"/>
      <c r="K41" s="1215"/>
      <c r="L41" s="1215"/>
      <c r="M41" s="1215"/>
    </row>
    <row r="42" spans="1:13">
      <c r="A42" s="139"/>
      <c r="B42" s="139"/>
      <c r="C42" s="139"/>
      <c r="D42" s="139"/>
      <c r="E42" s="139"/>
      <c r="F42" s="139"/>
      <c r="G42" s="139"/>
      <c r="H42" s="139"/>
      <c r="I42" s="139"/>
      <c r="J42" s="139"/>
      <c r="K42" s="139"/>
      <c r="L42" s="139"/>
      <c r="M42" s="139"/>
    </row>
    <row r="43" spans="1:13">
      <c r="A43" s="1220"/>
      <c r="B43" s="1220"/>
      <c r="C43" s="1220"/>
      <c r="D43" s="1220"/>
      <c r="E43" s="1220"/>
      <c r="F43" s="1220"/>
      <c r="G43" s="142"/>
      <c r="H43" s="1220"/>
      <c r="I43" s="1220"/>
      <c r="J43" s="1220"/>
      <c r="K43" s="1220"/>
      <c r="L43" s="1220"/>
      <c r="M43" s="1220"/>
    </row>
    <row r="44" spans="1:13" ht="12" customHeight="1">
      <c r="A44" s="1219" t="s">
        <v>2614</v>
      </c>
      <c r="B44" s="1219"/>
      <c r="C44" s="1219"/>
      <c r="D44" s="1219"/>
      <c r="E44" s="1219"/>
      <c r="F44" s="1219"/>
      <c r="G44" s="142"/>
      <c r="H44" s="1219" t="s">
        <v>1147</v>
      </c>
      <c r="I44" s="1219"/>
      <c r="J44" s="1219"/>
      <c r="K44" s="1219"/>
      <c r="L44" s="1219"/>
      <c r="M44" s="1219"/>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0"/>
      <c r="B47" s="1220"/>
      <c r="C47" s="1220"/>
      <c r="D47" s="1220"/>
      <c r="E47" s="1220"/>
      <c r="F47" s="1220"/>
      <c r="G47" s="142"/>
      <c r="H47" s="1221"/>
      <c r="I47" s="1221"/>
      <c r="J47" s="1221"/>
      <c r="K47" s="1221"/>
      <c r="L47" s="1221"/>
      <c r="M47" s="1221"/>
    </row>
    <row r="48" spans="1:13" ht="12" customHeight="1">
      <c r="A48" s="1219" t="s">
        <v>2702</v>
      </c>
      <c r="B48" s="1219"/>
      <c r="C48" s="1219"/>
      <c r="D48" s="1219"/>
      <c r="E48" s="1219"/>
      <c r="F48" s="1219"/>
      <c r="G48" s="142"/>
      <c r="H48" s="1219" t="s">
        <v>2703</v>
      </c>
      <c r="I48" s="1219"/>
      <c r="J48" s="1219"/>
      <c r="K48" s="1219"/>
      <c r="L48" s="1219"/>
      <c r="M48" s="1219"/>
    </row>
    <row r="49" spans="1:13" ht="11.45" customHeight="1">
      <c r="A49" s="1215"/>
      <c r="B49" s="1215"/>
      <c r="C49" s="1215"/>
      <c r="D49" s="1215"/>
      <c r="E49" s="1215"/>
      <c r="F49" s="1215"/>
      <c r="G49" s="1215"/>
      <c r="H49" s="1215"/>
      <c r="I49" s="1215"/>
      <c r="J49" s="1215"/>
      <c r="K49" s="1215"/>
      <c r="L49" s="1215"/>
      <c r="M49" s="1215"/>
    </row>
    <row r="50" spans="1:13" ht="11.45" customHeight="1">
      <c r="A50" s="138"/>
      <c r="B50" s="138"/>
      <c r="C50" s="138"/>
      <c r="D50" s="138"/>
      <c r="E50" s="138"/>
      <c r="F50" s="138"/>
      <c r="G50" s="138"/>
      <c r="H50" s="1218" t="s">
        <v>2704</v>
      </c>
      <c r="I50" s="1218"/>
      <c r="J50" s="1218"/>
      <c r="K50" s="1218"/>
      <c r="L50" s="1218"/>
      <c r="M50" s="1218"/>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sheetPr codeName="Sheet14" enableFormatConditionsCalculation="0">
    <pageSetUpPr fitToPage="1"/>
  </sheetPr>
  <dimension ref="A1:Z194"/>
  <sheetViews>
    <sheetView showGridLines="0" topLeftCell="A167"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35" customHeight="1">
      <c r="A2" s="1225" t="s">
        <v>3035</v>
      </c>
      <c r="B2" s="1226"/>
      <c r="C2" s="1226"/>
      <c r="D2" s="1226"/>
      <c r="E2" s="1226"/>
      <c r="F2" s="1226"/>
      <c r="G2" s="1226"/>
      <c r="H2" s="1226"/>
      <c r="I2" s="1226"/>
      <c r="J2" s="1226"/>
      <c r="K2" s="1226"/>
      <c r="L2" s="1226"/>
      <c r="M2" s="1226"/>
      <c r="N2" s="1226"/>
      <c r="O2" s="1226"/>
      <c r="P2" s="1226"/>
      <c r="Q2" s="1226"/>
      <c r="R2" s="1227"/>
      <c r="S2" s="239"/>
      <c r="T2" s="239"/>
      <c r="U2" s="239"/>
    </row>
    <row r="3" spans="1:26" s="416" customFormat="1" ht="4.3499999999999996"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1487</v>
      </c>
      <c r="B4" s="417"/>
      <c r="C4" s="417"/>
      <c r="D4" s="239"/>
      <c r="E4" s="239"/>
      <c r="F4" s="417" t="s">
        <v>1488</v>
      </c>
      <c r="G4" s="417"/>
      <c r="H4" s="239"/>
      <c r="I4" s="239"/>
      <c r="J4" s="417" t="s">
        <v>1489</v>
      </c>
      <c r="K4" s="417"/>
      <c r="L4" s="417"/>
      <c r="M4" s="417"/>
      <c r="N4" s="417"/>
      <c r="O4" s="417"/>
      <c r="P4" s="239"/>
      <c r="Q4" s="418" t="s">
        <v>1490</v>
      </c>
      <c r="R4" s="419" t="s">
        <v>1491</v>
      </c>
      <c r="S4" s="239"/>
      <c r="T4" s="239"/>
      <c r="U4" s="239"/>
      <c r="W4" s="420"/>
      <c r="X4" s="420"/>
      <c r="Y4" s="420"/>
      <c r="Z4" s="420"/>
    </row>
    <row r="5" spans="1:26" s="416" customFormat="1" ht="4.3499999999999996"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1492</v>
      </c>
      <c r="B6" s="241"/>
      <c r="C6" s="241"/>
      <c r="D6" s="239"/>
      <c r="E6" s="239"/>
      <c r="F6" s="241" t="s">
        <v>3390</v>
      </c>
      <c r="G6" s="241"/>
      <c r="H6" s="239"/>
      <c r="I6" s="239"/>
      <c r="J6" s="241" t="s">
        <v>1493</v>
      </c>
      <c r="K6" s="241"/>
      <c r="L6" s="241"/>
      <c r="M6" s="241"/>
      <c r="N6" s="241"/>
      <c r="O6" s="241"/>
      <c r="P6" s="239"/>
      <c r="Q6" s="422" t="s">
        <v>1494</v>
      </c>
      <c r="R6" s="422">
        <v>950000</v>
      </c>
      <c r="S6" s="239"/>
      <c r="T6" s="239"/>
      <c r="U6" s="239"/>
      <c r="V6" s="423"/>
      <c r="W6" s="423"/>
      <c r="X6" s="242"/>
    </row>
    <row r="7" spans="1:26" s="416" customFormat="1" ht="11.45" customHeight="1">
      <c r="A7" s="421"/>
      <c r="B7" s="241"/>
      <c r="C7" s="241"/>
      <c r="D7" s="239"/>
      <c r="E7" s="239"/>
      <c r="F7" s="241"/>
      <c r="G7" s="241"/>
      <c r="H7" s="239"/>
      <c r="I7" s="239"/>
      <c r="J7" s="241" t="s">
        <v>2221</v>
      </c>
      <c r="K7" s="241"/>
      <c r="L7" s="241"/>
      <c r="M7" s="241"/>
      <c r="N7" s="241"/>
      <c r="O7" s="241"/>
      <c r="P7" s="239"/>
      <c r="Q7" s="422" t="s">
        <v>1494</v>
      </c>
      <c r="R7" s="422">
        <v>1700000</v>
      </c>
      <c r="S7" s="239"/>
      <c r="T7" s="239"/>
      <c r="U7" s="239"/>
      <c r="V7" s="423"/>
      <c r="W7" s="423"/>
      <c r="X7" s="242"/>
    </row>
    <row r="8" spans="1:26" s="416" customFormat="1" ht="11.45" customHeight="1">
      <c r="A8" s="241"/>
      <c r="B8" s="241"/>
      <c r="C8" s="241"/>
      <c r="D8" s="239"/>
      <c r="E8" s="239"/>
      <c r="F8" s="241" t="s">
        <v>691</v>
      </c>
      <c r="G8" s="241"/>
      <c r="H8" s="239"/>
      <c r="I8" s="239"/>
      <c r="J8" s="241" t="s">
        <v>1525</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774</v>
      </c>
      <c r="K9" s="241"/>
      <c r="L9" s="241"/>
      <c r="M9" s="241"/>
      <c r="N9" s="241"/>
      <c r="O9" s="241"/>
      <c r="P9" s="239"/>
      <c r="Q9" s="422" t="s">
        <v>1494</v>
      </c>
      <c r="R9" s="434">
        <v>0.25</v>
      </c>
      <c r="S9" s="239"/>
      <c r="T9" s="239"/>
      <c r="U9" s="239"/>
      <c r="V9" s="423"/>
      <c r="W9" s="423"/>
      <c r="X9" s="242"/>
    </row>
    <row r="10" spans="1:26" s="416" customFormat="1" ht="11.45" customHeight="1">
      <c r="A10" s="241"/>
      <c r="B10" s="241"/>
      <c r="C10" s="241"/>
      <c r="D10" s="239"/>
      <c r="E10" s="239"/>
      <c r="F10" s="241"/>
      <c r="G10" s="241"/>
      <c r="H10" s="239"/>
      <c r="I10" s="239"/>
      <c r="J10" s="426" t="s">
        <v>3437</v>
      </c>
      <c r="K10" s="426" t="s">
        <v>724</v>
      </c>
      <c r="L10" s="426" t="s">
        <v>725</v>
      </c>
      <c r="M10" s="426" t="s">
        <v>726</v>
      </c>
      <c r="N10" s="426" t="s">
        <v>727</v>
      </c>
      <c r="O10" s="241"/>
      <c r="P10" s="239"/>
      <c r="Q10" s="427"/>
      <c r="R10" s="427"/>
      <c r="S10" s="424"/>
      <c r="T10" s="424"/>
      <c r="U10" s="239"/>
      <c r="V10" s="425"/>
      <c r="W10" s="425"/>
      <c r="X10" s="425"/>
    </row>
    <row r="11" spans="1:26" s="416" customFormat="1" ht="11.45" customHeight="1">
      <c r="A11" s="241"/>
      <c r="B11" s="241"/>
      <c r="C11" s="241"/>
      <c r="D11" s="239"/>
      <c r="E11" s="239"/>
      <c r="F11" s="241" t="s">
        <v>2222</v>
      </c>
      <c r="G11" s="241"/>
      <c r="H11" s="239"/>
      <c r="I11" s="239"/>
      <c r="J11" s="428">
        <v>110481</v>
      </c>
      <c r="K11" s="428">
        <v>126647</v>
      </c>
      <c r="L11" s="428">
        <v>154003</v>
      </c>
      <c r="M11" s="428">
        <v>199229</v>
      </c>
      <c r="N11" s="428">
        <v>199229</v>
      </c>
      <c r="O11" s="241"/>
      <c r="Q11" s="422" t="s">
        <v>1494</v>
      </c>
      <c r="R11" s="422">
        <f>'Part VI-Revenues &amp; Expenses'!$H$62*$J11+'Part VI-Revenues &amp; Expenses'!$I$62*$K11+'Part VI-Revenues &amp; Expenses'!$J$62*$L11+'Part VI-Revenues &amp; Expenses'!$K$62*$M11+'Part VI-Revenues &amp; Expenses'!$L$62*$N11</f>
        <v>12126709</v>
      </c>
      <c r="S11" s="443" t="s">
        <v>2950</v>
      </c>
      <c r="T11" s="424"/>
      <c r="U11" s="239"/>
      <c r="V11" s="425"/>
      <c r="W11" s="425"/>
      <c r="X11" s="425"/>
    </row>
    <row r="12" spans="1:26" s="416" customFormat="1" ht="11.45" customHeight="1">
      <c r="A12" s="241"/>
      <c r="B12" s="241"/>
      <c r="C12" s="241"/>
      <c r="D12" s="239"/>
      <c r="E12" s="239"/>
      <c r="F12" s="241" t="s">
        <v>2224</v>
      </c>
      <c r="G12" s="241"/>
      <c r="H12" s="239"/>
      <c r="I12" s="239"/>
      <c r="J12" s="428">
        <v>132577</v>
      </c>
      <c r="K12" s="428">
        <v>151976</v>
      </c>
      <c r="L12" s="428">
        <v>184804</v>
      </c>
      <c r="M12" s="428">
        <v>239075</v>
      </c>
      <c r="N12" s="428">
        <v>239075</v>
      </c>
      <c r="O12" s="241"/>
      <c r="Q12" s="422" t="s">
        <v>1494</v>
      </c>
      <c r="R12" s="422">
        <f>'Part VI-Revenues &amp; Expenses'!$H$62*$J12+'Part VI-Revenues &amp; Expenses'!$I$62*$K12+'Part VI-Revenues &amp; Expenses'!$J$62*$L12+'Part VI-Revenues &amp; Expenses'!$K$62*$M12+'Part VI-Revenues &amp; Expenses'!$L$62*$N12</f>
        <v>14552032</v>
      </c>
      <c r="S12" s="443" t="s">
        <v>2950</v>
      </c>
      <c r="T12" s="239"/>
      <c r="U12" s="239"/>
      <c r="V12" s="425"/>
      <c r="W12" s="425"/>
      <c r="X12" s="425"/>
    </row>
    <row r="13" spans="1:26" s="416" customFormat="1" ht="11.45" customHeight="1">
      <c r="A13" s="241"/>
      <c r="B13" s="241"/>
      <c r="C13" s="241"/>
      <c r="D13" s="239"/>
      <c r="E13" s="239"/>
      <c r="F13" s="241" t="s">
        <v>2223</v>
      </c>
      <c r="G13" s="241"/>
      <c r="H13" s="239"/>
      <c r="I13" s="239"/>
      <c r="J13" s="428">
        <v>121529</v>
      </c>
      <c r="K13" s="428">
        <v>139312</v>
      </c>
      <c r="L13" s="428">
        <v>169403</v>
      </c>
      <c r="M13" s="428">
        <v>219152</v>
      </c>
      <c r="N13" s="428">
        <v>219152</v>
      </c>
      <c r="O13" s="241"/>
      <c r="Q13" s="422" t="s">
        <v>1494</v>
      </c>
      <c r="R13" s="422">
        <f>'Part VI-Revenues &amp; Expenses'!$H$62*$J13+'Part VI-Revenues &amp; Expenses'!$I$62*$K13+'Part VI-Revenues &amp; Expenses'!$J$62*$L13+'Part VI-Revenues &amp; Expenses'!$K$62*$M13+'Part VI-Revenues &amp; Expenses'!$L$62*$N13</f>
        <v>13339394</v>
      </c>
      <c r="S13" s="443" t="s">
        <v>2950</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2365</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2365</v>
      </c>
      <c r="C16" s="241"/>
      <c r="D16" s="239"/>
      <c r="E16" s="239"/>
      <c r="F16" s="241" t="s">
        <v>2366</v>
      </c>
      <c r="G16" s="241" t="s">
        <v>2378</v>
      </c>
      <c r="H16" s="239"/>
      <c r="I16" s="239"/>
      <c r="J16" s="241" t="s">
        <v>1930</v>
      </c>
      <c r="K16" s="241"/>
      <c r="L16" s="241"/>
      <c r="M16" s="241"/>
      <c r="N16" s="241"/>
      <c r="O16" s="241"/>
      <c r="P16" s="239"/>
      <c r="Q16" s="243">
        <v>4500</v>
      </c>
      <c r="R16" s="431" t="s">
        <v>1494</v>
      </c>
      <c r="S16" s="432"/>
    </row>
    <row r="17" spans="1:21" s="416" customFormat="1" ht="11.45" customHeight="1">
      <c r="A17" s="239"/>
      <c r="B17" s="241"/>
      <c r="C17" s="241"/>
      <c r="D17" s="239"/>
      <c r="E17" s="239"/>
      <c r="F17" s="241"/>
      <c r="G17" s="241" t="s">
        <v>1877</v>
      </c>
      <c r="H17" s="239"/>
      <c r="I17" s="239"/>
      <c r="J17" s="241" t="s">
        <v>1930</v>
      </c>
      <c r="K17" s="241"/>
      <c r="L17" s="241"/>
      <c r="M17" s="241"/>
      <c r="N17" s="241"/>
      <c r="O17" s="241"/>
      <c r="P17" s="239"/>
      <c r="Q17" s="243">
        <v>4000</v>
      </c>
      <c r="R17" s="431" t="s">
        <v>1494</v>
      </c>
      <c r="S17" s="432"/>
    </row>
    <row r="18" spans="1:21" s="416" customFormat="1" ht="11.45" customHeight="1">
      <c r="A18" s="241"/>
      <c r="B18" s="241"/>
      <c r="C18" s="241"/>
      <c r="D18" s="239"/>
      <c r="E18" s="239"/>
      <c r="F18" s="241" t="s">
        <v>1325</v>
      </c>
      <c r="G18" s="241"/>
      <c r="H18" s="239"/>
      <c r="I18" s="239"/>
      <c r="J18" s="241" t="s">
        <v>1930</v>
      </c>
      <c r="K18" s="241"/>
      <c r="L18" s="241"/>
      <c r="M18" s="241"/>
      <c r="N18" s="241"/>
      <c r="O18" s="241"/>
      <c r="P18" s="239"/>
      <c r="Q18" s="243">
        <v>3000</v>
      </c>
      <c r="R18" s="431" t="s">
        <v>1494</v>
      </c>
      <c r="S18" s="432"/>
    </row>
    <row r="19" spans="1:21" s="416" customFormat="1" ht="11.45" customHeight="1">
      <c r="A19" s="241"/>
      <c r="B19" s="241"/>
      <c r="C19" s="241"/>
      <c r="D19" s="239"/>
      <c r="E19" s="239"/>
      <c r="F19" s="241" t="s">
        <v>225</v>
      </c>
      <c r="G19" s="241"/>
      <c r="H19" s="239"/>
      <c r="I19" s="239"/>
      <c r="J19" s="241" t="s">
        <v>1930</v>
      </c>
      <c r="K19" s="241"/>
      <c r="L19" s="241"/>
      <c r="M19" s="241"/>
      <c r="N19" s="241"/>
      <c r="O19" s="241"/>
      <c r="P19" s="239"/>
      <c r="Q19" s="243">
        <v>3000</v>
      </c>
      <c r="R19" s="431" t="s">
        <v>1494</v>
      </c>
      <c r="S19" s="432"/>
      <c r="T19" s="432"/>
      <c r="U19" s="432"/>
    </row>
    <row r="20" spans="1:21" s="416" customFormat="1" ht="11.45" customHeight="1">
      <c r="A20" s="241"/>
      <c r="B20" s="241" t="s">
        <v>2367</v>
      </c>
      <c r="C20" s="241"/>
      <c r="D20" s="239"/>
      <c r="E20" s="239"/>
      <c r="F20" s="241" t="s">
        <v>3707</v>
      </c>
      <c r="G20" s="241"/>
      <c r="H20" s="239"/>
      <c r="I20" s="239"/>
      <c r="J20" s="241" t="s">
        <v>1930</v>
      </c>
      <c r="K20" s="241"/>
      <c r="L20" s="241"/>
      <c r="M20" s="241"/>
      <c r="N20" s="241"/>
      <c r="O20" s="241"/>
      <c r="P20" s="239"/>
      <c r="Q20" s="433">
        <v>350</v>
      </c>
      <c r="R20" s="431" t="s">
        <v>1494</v>
      </c>
      <c r="S20" s="432"/>
      <c r="T20" s="432"/>
      <c r="U20" s="432"/>
    </row>
    <row r="21" spans="1:21" s="416" customFormat="1" ht="11.45" customHeight="1">
      <c r="A21" s="241"/>
      <c r="B21" s="241"/>
      <c r="C21" s="241"/>
      <c r="D21" s="239"/>
      <c r="E21" s="239"/>
      <c r="F21" s="241" t="s">
        <v>2368</v>
      </c>
      <c r="G21" s="241"/>
      <c r="H21" s="239"/>
      <c r="I21" s="239"/>
      <c r="J21" s="241" t="s">
        <v>1930</v>
      </c>
      <c r="K21" s="241"/>
      <c r="L21" s="241"/>
      <c r="M21" s="241"/>
      <c r="N21" s="241"/>
      <c r="O21" s="241"/>
      <c r="P21" s="239"/>
      <c r="Q21" s="433">
        <v>250</v>
      </c>
      <c r="R21" s="431" t="s">
        <v>1494</v>
      </c>
      <c r="S21" s="432"/>
      <c r="T21" s="432"/>
      <c r="U21" s="432"/>
    </row>
    <row r="22" spans="1:21" s="416" customFormat="1" ht="11.45" customHeight="1">
      <c r="A22" s="241"/>
      <c r="B22" s="241"/>
      <c r="C22" s="241"/>
      <c r="D22" s="241"/>
      <c r="E22" s="239"/>
      <c r="F22" s="241" t="s">
        <v>2369</v>
      </c>
      <c r="G22" s="241"/>
      <c r="H22" s="239"/>
      <c r="I22" s="239"/>
      <c r="J22" s="241" t="s">
        <v>1930</v>
      </c>
      <c r="K22" s="241"/>
      <c r="L22" s="241"/>
      <c r="M22" s="241"/>
      <c r="N22" s="241"/>
      <c r="O22" s="241"/>
      <c r="P22" s="239"/>
      <c r="Q22" s="433">
        <v>420</v>
      </c>
      <c r="R22" s="431" t="s">
        <v>1494</v>
      </c>
      <c r="S22" s="432"/>
      <c r="T22" s="432"/>
      <c r="U22" s="432"/>
    </row>
    <row r="23" spans="1:21" s="416" customFormat="1" ht="11.45" customHeight="1">
      <c r="A23" s="241"/>
      <c r="B23" s="241"/>
      <c r="C23" s="241"/>
      <c r="D23" s="241"/>
      <c r="E23" s="239"/>
      <c r="F23" s="241" t="s">
        <v>2415</v>
      </c>
      <c r="G23" s="241"/>
      <c r="H23" s="239"/>
      <c r="I23" s="239"/>
      <c r="J23" s="241" t="s">
        <v>1930</v>
      </c>
      <c r="K23" s="241"/>
      <c r="L23" s="241"/>
      <c r="M23" s="241"/>
      <c r="N23" s="241"/>
      <c r="O23" s="241"/>
      <c r="P23" s="239"/>
      <c r="Q23" s="433">
        <v>420</v>
      </c>
      <c r="R23" s="431" t="s">
        <v>1494</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2370</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2371</v>
      </c>
      <c r="C26" s="241"/>
      <c r="D26" s="241"/>
      <c r="E26" s="239"/>
      <c r="F26" s="244" t="s">
        <v>2372</v>
      </c>
      <c r="G26" s="241"/>
      <c r="H26" s="239"/>
      <c r="I26" s="239"/>
      <c r="J26" s="241" t="s">
        <v>2373</v>
      </c>
      <c r="K26" s="241"/>
      <c r="L26" s="241"/>
      <c r="M26" s="241"/>
      <c r="N26" s="241"/>
      <c r="O26" s="241"/>
      <c r="P26" s="239"/>
      <c r="Q26" s="1223">
        <v>6500</v>
      </c>
      <c r="R26" s="1224"/>
      <c r="S26" s="432"/>
      <c r="T26" s="432"/>
      <c r="U26" s="432"/>
    </row>
    <row r="27" spans="1:21" s="416" customFormat="1" ht="11.45" customHeight="1">
      <c r="A27" s="241"/>
      <c r="B27" s="241"/>
      <c r="C27" s="241"/>
      <c r="D27" s="241"/>
      <c r="E27" s="239"/>
      <c r="F27" s="244" t="s">
        <v>2372</v>
      </c>
      <c r="G27" s="241"/>
      <c r="H27" s="239"/>
      <c r="I27" s="239"/>
      <c r="J27" s="241" t="s">
        <v>2374</v>
      </c>
      <c r="K27" s="241"/>
      <c r="L27" s="241"/>
      <c r="M27" s="241"/>
      <c r="N27" s="241"/>
      <c r="O27" s="241"/>
      <c r="P27" s="239"/>
      <c r="Q27" s="1223">
        <v>5500</v>
      </c>
      <c r="R27" s="1224"/>
      <c r="S27" s="432"/>
      <c r="T27" s="432"/>
      <c r="U27" s="432"/>
    </row>
    <row r="28" spans="1:21" s="416" customFormat="1" ht="11.45" customHeight="1">
      <c r="A28" s="239"/>
      <c r="B28" s="239"/>
      <c r="C28" s="241"/>
      <c r="D28" s="241"/>
      <c r="E28" s="239"/>
      <c r="F28" s="244" t="s">
        <v>2375</v>
      </c>
      <c r="G28" s="241"/>
      <c r="H28" s="239"/>
      <c r="I28" s="239"/>
      <c r="J28" s="241" t="s">
        <v>2373</v>
      </c>
      <c r="K28" s="241"/>
      <c r="L28" s="241"/>
      <c r="M28" s="241"/>
      <c r="N28" s="241"/>
      <c r="O28" s="241"/>
      <c r="P28" s="239"/>
      <c r="Q28" s="1223">
        <v>1000</v>
      </c>
      <c r="R28" s="1224"/>
      <c r="S28" s="432"/>
      <c r="T28" s="432"/>
      <c r="U28" s="432"/>
    </row>
    <row r="29" spans="1:21" s="416" customFormat="1" ht="11.45" customHeight="1">
      <c r="A29" s="241"/>
      <c r="B29" s="241"/>
      <c r="C29" s="241"/>
      <c r="D29" s="241"/>
      <c r="E29" s="239"/>
      <c r="F29" s="244" t="s">
        <v>2375</v>
      </c>
      <c r="G29" s="241"/>
      <c r="H29" s="239"/>
      <c r="I29" s="239"/>
      <c r="J29" s="241" t="s">
        <v>2374</v>
      </c>
      <c r="K29" s="241"/>
      <c r="L29" s="241"/>
      <c r="M29" s="241"/>
      <c r="N29" s="241"/>
      <c r="O29" s="241"/>
      <c r="P29" s="239"/>
      <c r="Q29" s="1223">
        <v>500</v>
      </c>
      <c r="R29" s="1224"/>
      <c r="S29" s="432"/>
      <c r="T29" s="432"/>
      <c r="U29" s="432"/>
    </row>
    <row r="30" spans="1:21" s="416" customFormat="1" ht="11.45" customHeight="1">
      <c r="A30" s="241"/>
      <c r="B30" s="241"/>
      <c r="C30" s="241"/>
      <c r="D30" s="241"/>
      <c r="E30" s="239"/>
      <c r="F30" s="244" t="s">
        <v>3022</v>
      </c>
      <c r="G30" s="241"/>
      <c r="H30" s="239"/>
      <c r="I30" s="239"/>
      <c r="J30" s="241" t="s">
        <v>2373</v>
      </c>
      <c r="K30" s="241"/>
      <c r="L30" s="241"/>
      <c r="M30" s="241"/>
      <c r="N30" s="241"/>
      <c r="O30" s="241"/>
      <c r="P30" s="239"/>
      <c r="Q30" s="1223">
        <v>7000</v>
      </c>
      <c r="R30" s="1224"/>
      <c r="S30" s="432"/>
      <c r="T30" s="432"/>
      <c r="U30" s="432"/>
    </row>
    <row r="31" spans="1:21" s="416" customFormat="1" ht="11.45" customHeight="1">
      <c r="A31" s="241"/>
      <c r="B31" s="241"/>
      <c r="C31" s="241"/>
      <c r="D31" s="241"/>
      <c r="E31" s="239"/>
      <c r="F31" s="244" t="s">
        <v>3022</v>
      </c>
      <c r="G31" s="241"/>
      <c r="H31" s="239"/>
      <c r="I31" s="239"/>
      <c r="J31" s="241" t="s">
        <v>2374</v>
      </c>
      <c r="K31" s="241"/>
      <c r="L31" s="241"/>
      <c r="M31" s="241"/>
      <c r="N31" s="241"/>
      <c r="O31" s="241"/>
      <c r="P31" s="239"/>
      <c r="Q31" s="1223">
        <v>6000</v>
      </c>
      <c r="R31" s="1224"/>
      <c r="S31" s="432"/>
      <c r="T31" s="432"/>
      <c r="U31" s="432"/>
    </row>
    <row r="32" spans="1:21" s="416" customFormat="1" ht="11.45" customHeight="1">
      <c r="A32" s="241"/>
      <c r="B32" s="241" t="s">
        <v>3023</v>
      </c>
      <c r="C32" s="241"/>
      <c r="D32" s="239"/>
      <c r="E32" s="239"/>
      <c r="F32" s="241" t="s">
        <v>3707</v>
      </c>
      <c r="G32" s="241"/>
      <c r="H32" s="239"/>
      <c r="I32" s="239"/>
      <c r="J32" s="241" t="s">
        <v>3386</v>
      </c>
      <c r="K32" s="241"/>
      <c r="L32" s="241"/>
      <c r="M32" s="241"/>
      <c r="N32" s="241"/>
      <c r="O32" s="241"/>
      <c r="P32" s="239"/>
      <c r="Q32" s="422">
        <v>25000</v>
      </c>
      <c r="R32" s="431" t="s">
        <v>3387</v>
      </c>
      <c r="S32" s="432"/>
      <c r="T32" s="432"/>
      <c r="U32" s="432"/>
    </row>
    <row r="33" spans="1:21" s="416" customFormat="1" ht="11.45" customHeight="1">
      <c r="A33" s="241"/>
      <c r="B33" s="241"/>
      <c r="C33" s="241"/>
      <c r="D33" s="239"/>
      <c r="E33" s="239"/>
      <c r="F33" s="241"/>
      <c r="G33" s="241"/>
      <c r="H33" s="239"/>
      <c r="I33" s="239"/>
      <c r="J33" s="241" t="s">
        <v>3388</v>
      </c>
      <c r="K33" s="241"/>
      <c r="L33" s="241"/>
      <c r="M33" s="241"/>
      <c r="N33" s="241"/>
      <c r="O33" s="241"/>
      <c r="P33" s="239"/>
      <c r="Q33" s="422">
        <v>30000</v>
      </c>
      <c r="R33" s="431" t="s">
        <v>3387</v>
      </c>
      <c r="S33" s="432"/>
      <c r="T33" s="432"/>
      <c r="U33" s="432"/>
    </row>
    <row r="34" spans="1:21" s="416" customFormat="1" ht="11.45" customHeight="1">
      <c r="A34" s="241"/>
      <c r="B34" s="241" t="s">
        <v>1256</v>
      </c>
      <c r="C34" s="241"/>
      <c r="D34" s="239"/>
      <c r="E34" s="239"/>
      <c r="F34" s="241" t="s">
        <v>2368</v>
      </c>
      <c r="G34" s="241"/>
      <c r="H34" s="239"/>
      <c r="I34" s="239"/>
      <c r="J34" s="241" t="s">
        <v>2571</v>
      </c>
      <c r="K34" s="241"/>
      <c r="L34" s="241"/>
      <c r="M34" s="241"/>
      <c r="N34" s="241"/>
      <c r="O34" s="241"/>
      <c r="P34" s="239"/>
      <c r="Q34" s="434" t="s">
        <v>2572</v>
      </c>
      <c r="R34" s="434">
        <v>0.05</v>
      </c>
      <c r="S34" s="432"/>
      <c r="T34" s="432"/>
      <c r="U34" s="432"/>
    </row>
    <row r="35" spans="1:21" s="416" customFormat="1" ht="11.45" customHeight="1">
      <c r="A35" s="241"/>
      <c r="B35" s="241"/>
      <c r="C35" s="241"/>
      <c r="D35" s="239"/>
      <c r="E35" s="239"/>
      <c r="F35" s="241"/>
      <c r="G35" s="241"/>
      <c r="H35" s="239"/>
      <c r="I35" s="239"/>
      <c r="J35" s="241" t="s">
        <v>1201</v>
      </c>
      <c r="K35" s="241"/>
      <c r="L35" s="241"/>
      <c r="M35" s="241"/>
      <c r="N35" s="241"/>
      <c r="O35" s="241"/>
      <c r="P35" s="239"/>
      <c r="Q35" s="434" t="s">
        <v>2572</v>
      </c>
      <c r="R35" s="422">
        <v>500000</v>
      </c>
      <c r="S35" s="432"/>
      <c r="T35" s="432"/>
      <c r="U35" s="432"/>
    </row>
    <row r="36" spans="1:21" s="416" customFormat="1" ht="11.45" customHeight="1">
      <c r="A36" s="241"/>
      <c r="B36" s="241"/>
      <c r="C36" s="241"/>
      <c r="D36" s="239"/>
      <c r="E36" s="239"/>
      <c r="F36" s="241" t="s">
        <v>3707</v>
      </c>
      <c r="G36" s="241"/>
      <c r="H36" s="239"/>
      <c r="I36" s="239"/>
      <c r="J36" s="241" t="s">
        <v>2571</v>
      </c>
      <c r="K36" s="241"/>
      <c r="L36" s="241"/>
      <c r="M36" s="241"/>
      <c r="N36" s="241"/>
      <c r="O36" s="241"/>
      <c r="P36" s="239"/>
      <c r="Q36" s="434" t="s">
        <v>2572</v>
      </c>
      <c r="R36" s="434">
        <v>7.0000000000000007E-2</v>
      </c>
      <c r="S36" s="432"/>
      <c r="T36" s="432"/>
      <c r="U36" s="432"/>
    </row>
    <row r="37" spans="1:21" s="416" customFormat="1" ht="11.45" customHeight="1">
      <c r="A37" s="241"/>
      <c r="B37" s="241"/>
      <c r="C37" s="241"/>
      <c r="D37" s="239"/>
      <c r="E37" s="239"/>
      <c r="F37" s="241"/>
      <c r="G37" s="241"/>
      <c r="H37" s="239"/>
      <c r="I37" s="239"/>
      <c r="J37" s="241" t="s">
        <v>1201</v>
      </c>
      <c r="K37" s="241"/>
      <c r="L37" s="241"/>
      <c r="M37" s="241"/>
      <c r="N37" s="241"/>
      <c r="O37" s="241"/>
      <c r="P37" s="239"/>
      <c r="Q37" s="434" t="s">
        <v>2572</v>
      </c>
      <c r="R37" s="422">
        <v>500000</v>
      </c>
      <c r="S37" s="432"/>
      <c r="T37" s="432"/>
      <c r="U37" s="432"/>
    </row>
    <row r="38" spans="1:21" s="416" customFormat="1" ht="11.45" customHeight="1">
      <c r="A38" s="241"/>
      <c r="B38" s="241" t="s">
        <v>1118</v>
      </c>
      <c r="C38" s="241"/>
      <c r="D38" s="239"/>
      <c r="E38" s="239"/>
      <c r="F38" s="241" t="s">
        <v>1494</v>
      </c>
      <c r="G38" s="241"/>
      <c r="H38" s="239"/>
      <c r="I38" s="239"/>
      <c r="J38" s="241" t="s">
        <v>3523</v>
      </c>
      <c r="K38" s="241"/>
      <c r="L38" s="241"/>
      <c r="M38" s="241"/>
      <c r="N38" s="241"/>
      <c r="O38" s="241"/>
      <c r="P38" s="239"/>
      <c r="Q38" s="431" t="s">
        <v>1494</v>
      </c>
      <c r="R38" s="434">
        <v>0.06</v>
      </c>
      <c r="S38" s="432"/>
      <c r="T38" s="432"/>
      <c r="U38" s="432"/>
    </row>
    <row r="39" spans="1:21" s="416" customFormat="1" ht="11.45" customHeight="1">
      <c r="A39" s="241"/>
      <c r="B39" s="241" t="s">
        <v>1119</v>
      </c>
      <c r="C39" s="241"/>
      <c r="D39" s="239"/>
      <c r="E39" s="239"/>
      <c r="F39" s="241" t="s">
        <v>1494</v>
      </c>
      <c r="G39" s="241"/>
      <c r="H39" s="239"/>
      <c r="I39" s="239"/>
      <c r="J39" s="241" t="s">
        <v>3523</v>
      </c>
      <c r="K39" s="241"/>
      <c r="L39" s="241"/>
      <c r="M39" s="241"/>
      <c r="N39" s="241"/>
      <c r="O39" s="241"/>
      <c r="P39" s="239"/>
      <c r="Q39" s="431" t="s">
        <v>1494</v>
      </c>
      <c r="R39" s="434">
        <v>0.02</v>
      </c>
      <c r="S39" s="432"/>
      <c r="T39" s="432"/>
      <c r="U39" s="432"/>
    </row>
    <row r="40" spans="1:21" s="416" customFormat="1" ht="11.45" customHeight="1">
      <c r="A40" s="241"/>
      <c r="B40" s="241" t="s">
        <v>226</v>
      </c>
      <c r="C40" s="241"/>
      <c r="D40" s="239"/>
      <c r="E40" s="239"/>
      <c r="F40" s="241" t="s">
        <v>1494</v>
      </c>
      <c r="G40" s="241"/>
      <c r="H40" s="239"/>
      <c r="I40" s="239"/>
      <c r="J40" s="241" t="s">
        <v>3523</v>
      </c>
      <c r="K40" s="241"/>
      <c r="L40" s="241"/>
      <c r="M40" s="241"/>
      <c r="N40" s="241"/>
      <c r="O40" s="241"/>
      <c r="P40" s="239"/>
      <c r="Q40" s="431" t="s">
        <v>1494</v>
      </c>
      <c r="R40" s="434">
        <v>0.06</v>
      </c>
      <c r="S40" s="432"/>
      <c r="T40" s="432"/>
      <c r="U40" s="432"/>
    </row>
    <row r="41" spans="1:21" s="416" customFormat="1" ht="11.45" customHeight="1">
      <c r="A41" s="241"/>
      <c r="B41" s="244" t="s">
        <v>2637</v>
      </c>
      <c r="C41" s="241"/>
      <c r="D41" s="239"/>
      <c r="E41" s="239"/>
      <c r="F41" s="241" t="s">
        <v>2638</v>
      </c>
      <c r="G41" s="241"/>
      <c r="H41" s="239"/>
      <c r="I41" s="239"/>
      <c r="J41" s="241" t="s">
        <v>2639</v>
      </c>
      <c r="K41" s="241"/>
      <c r="L41" s="241"/>
      <c r="M41" s="241"/>
      <c r="N41" s="241"/>
      <c r="O41" s="241"/>
      <c r="P41" s="239"/>
      <c r="Q41" s="1222">
        <v>0.08</v>
      </c>
      <c r="R41" s="1222"/>
      <c r="S41" s="432"/>
      <c r="T41" s="432"/>
      <c r="U41" s="432"/>
    </row>
    <row r="42" spans="1:21" s="416" customFormat="1" ht="11.45" customHeight="1">
      <c r="A42" s="241"/>
      <c r="B42" s="244" t="s">
        <v>2640</v>
      </c>
      <c r="C42" s="241"/>
      <c r="D42" s="239"/>
      <c r="E42" s="239"/>
      <c r="F42" s="241" t="s">
        <v>2638</v>
      </c>
      <c r="G42" s="241"/>
      <c r="H42" s="239"/>
      <c r="I42" s="239"/>
      <c r="J42" s="241" t="s">
        <v>2639</v>
      </c>
      <c r="K42" s="241"/>
      <c r="L42" s="241"/>
      <c r="M42" s="241"/>
      <c r="N42" s="241"/>
      <c r="O42" s="241"/>
      <c r="P42" s="239"/>
      <c r="Q42" s="1222">
        <v>0.08</v>
      </c>
      <c r="R42" s="1222"/>
      <c r="S42" s="432"/>
      <c r="T42" s="432"/>
      <c r="U42" s="432"/>
    </row>
    <row r="43" spans="1:21" s="416" customFormat="1" ht="11.45" customHeight="1">
      <c r="A43" s="241"/>
      <c r="B43" s="244" t="s">
        <v>3410</v>
      </c>
      <c r="C43" s="241"/>
      <c r="D43" s="239"/>
      <c r="E43" s="239"/>
      <c r="F43" s="241"/>
      <c r="G43" s="241"/>
      <c r="H43" s="239"/>
      <c r="I43" s="239"/>
      <c r="J43" s="241"/>
      <c r="K43" s="241"/>
      <c r="L43" s="241"/>
      <c r="M43" s="241"/>
      <c r="N43" s="241"/>
      <c r="O43" s="241"/>
      <c r="P43" s="239"/>
      <c r="Q43" s="1223">
        <v>2700</v>
      </c>
      <c r="R43" s="1224"/>
      <c r="S43" s="432"/>
      <c r="T43" s="432"/>
      <c r="U43" s="432"/>
    </row>
    <row r="44" spans="1:21" s="416" customFormat="1" ht="11.45" customHeight="1">
      <c r="A44" s="241"/>
      <c r="B44" s="241" t="s">
        <v>2641</v>
      </c>
      <c r="C44" s="241"/>
      <c r="D44" s="239"/>
      <c r="E44" s="239"/>
      <c r="F44" s="241" t="s">
        <v>1891</v>
      </c>
      <c r="G44" s="241"/>
      <c r="H44" s="239"/>
      <c r="I44" s="239"/>
      <c r="J44" s="241" t="s">
        <v>1930</v>
      </c>
      <c r="K44" s="241"/>
      <c r="L44" s="241"/>
      <c r="M44" s="241"/>
      <c r="N44" s="241"/>
      <c r="O44" s="241"/>
      <c r="P44" s="239"/>
      <c r="Q44" s="431">
        <v>800</v>
      </c>
      <c r="R44" s="431" t="s">
        <v>1494</v>
      </c>
      <c r="S44" s="432"/>
      <c r="T44" s="432"/>
      <c r="U44" s="432"/>
    </row>
    <row r="45" spans="1:21" s="416" customFormat="1" ht="11.45" customHeight="1">
      <c r="A45" s="241"/>
      <c r="B45" s="241"/>
      <c r="C45" s="241"/>
      <c r="D45" s="239"/>
      <c r="E45" s="239"/>
      <c r="F45" s="241" t="s">
        <v>230</v>
      </c>
      <c r="G45" s="241"/>
      <c r="H45" s="239"/>
      <c r="I45" s="239"/>
      <c r="J45" s="241" t="s">
        <v>1930</v>
      </c>
      <c r="K45" s="241"/>
      <c r="L45" s="241"/>
      <c r="M45" s="241"/>
      <c r="N45" s="241"/>
      <c r="O45" s="241"/>
      <c r="P45" s="239"/>
      <c r="Q45" s="431">
        <v>400</v>
      </c>
      <c r="R45" s="431" t="s">
        <v>1494</v>
      </c>
      <c r="S45" s="432"/>
      <c r="T45" s="432"/>
      <c r="U45" s="432"/>
    </row>
    <row r="46" spans="1:21" s="416" customFormat="1" ht="11.45" customHeight="1">
      <c r="A46" s="241"/>
      <c r="B46" s="241"/>
      <c r="C46" s="241"/>
      <c r="D46" s="239"/>
      <c r="E46" s="239"/>
      <c r="F46" s="241" t="s">
        <v>227</v>
      </c>
      <c r="G46" s="241"/>
      <c r="H46" s="239"/>
      <c r="I46" s="239"/>
      <c r="J46" s="241" t="s">
        <v>228</v>
      </c>
      <c r="K46" s="241"/>
      <c r="L46" s="241"/>
      <c r="M46" s="241"/>
      <c r="N46" s="241"/>
      <c r="O46" s="241"/>
      <c r="P46" s="239"/>
      <c r="Q46" s="431">
        <v>1500</v>
      </c>
      <c r="R46" s="431" t="s">
        <v>1494</v>
      </c>
      <c r="S46" s="432"/>
      <c r="T46" s="432"/>
      <c r="U46" s="432"/>
    </row>
    <row r="47" spans="1:21" s="416" customFormat="1" ht="11.45" customHeight="1">
      <c r="A47" s="241"/>
      <c r="B47" s="241" t="s">
        <v>1275</v>
      </c>
      <c r="C47" s="241"/>
      <c r="D47" s="239"/>
      <c r="E47" s="239"/>
      <c r="F47" s="241"/>
      <c r="G47" s="241"/>
      <c r="H47" s="241"/>
      <c r="I47" s="239"/>
      <c r="J47" s="241" t="s">
        <v>1491</v>
      </c>
      <c r="K47" s="241"/>
      <c r="L47" s="241"/>
      <c r="M47" s="241"/>
      <c r="N47" s="241"/>
      <c r="O47" s="241"/>
      <c r="P47" s="239"/>
      <c r="Q47" s="1223">
        <v>1800000</v>
      </c>
      <c r="R47" s="1224"/>
      <c r="S47" s="432"/>
      <c r="T47" s="432"/>
      <c r="U47" s="432"/>
    </row>
    <row r="48" spans="1:21" s="416" customFormat="1" ht="11.45" customHeight="1">
      <c r="A48" s="241"/>
      <c r="B48" s="241"/>
      <c r="C48" s="241"/>
      <c r="D48" s="239"/>
      <c r="E48" s="239"/>
      <c r="F48" s="241" t="s">
        <v>1473</v>
      </c>
      <c r="G48" s="241"/>
      <c r="H48" s="241" t="s">
        <v>936</v>
      </c>
      <c r="I48" s="239"/>
      <c r="J48" s="241" t="s">
        <v>2578</v>
      </c>
      <c r="K48" s="241"/>
      <c r="L48" s="241"/>
      <c r="M48" s="241"/>
      <c r="N48" s="241"/>
      <c r="O48" s="241"/>
      <c r="P48" s="239"/>
      <c r="Q48" s="1222">
        <v>0.15</v>
      </c>
      <c r="R48" s="1222"/>
      <c r="S48" s="432"/>
      <c r="T48" s="432"/>
      <c r="U48" s="432"/>
    </row>
    <row r="49" spans="1:21" s="416" customFormat="1" ht="11.45" customHeight="1">
      <c r="A49" s="241"/>
      <c r="B49" s="568"/>
      <c r="C49" s="241"/>
      <c r="D49" s="239"/>
      <c r="E49" s="239"/>
      <c r="F49" s="241"/>
      <c r="G49" s="241"/>
      <c r="H49" s="241" t="s">
        <v>2574</v>
      </c>
      <c r="I49" s="241" t="s">
        <v>2575</v>
      </c>
      <c r="J49" s="241" t="s">
        <v>2577</v>
      </c>
      <c r="K49" s="241"/>
      <c r="L49" s="241"/>
      <c r="M49" s="241"/>
      <c r="N49" s="241"/>
      <c r="O49" s="241"/>
      <c r="P49" s="239"/>
      <c r="Q49" s="1222">
        <v>0.15</v>
      </c>
      <c r="R49" s="1222"/>
      <c r="S49" s="432"/>
      <c r="T49" s="432"/>
      <c r="U49" s="432"/>
    </row>
    <row r="50" spans="1:21" s="416" customFormat="1" ht="11.45" customHeight="1">
      <c r="A50" s="241"/>
      <c r="B50" s="568"/>
      <c r="C50" s="241"/>
      <c r="D50" s="239"/>
      <c r="E50" s="239"/>
      <c r="F50" s="241"/>
      <c r="G50" s="241"/>
      <c r="H50" s="241"/>
      <c r="I50" s="241" t="s">
        <v>2576</v>
      </c>
      <c r="J50" s="241" t="s">
        <v>2579</v>
      </c>
      <c r="K50" s="241"/>
      <c r="L50" s="241"/>
      <c r="M50" s="241"/>
      <c r="N50" s="241"/>
      <c r="O50" s="241"/>
      <c r="P50" s="239"/>
      <c r="Q50" s="1222">
        <v>0.15</v>
      </c>
      <c r="R50" s="1222"/>
      <c r="S50" s="432"/>
      <c r="T50" s="432"/>
      <c r="U50" s="432"/>
    </row>
    <row r="51" spans="1:21" s="416" customFormat="1" ht="11.45" customHeight="1">
      <c r="A51" s="241"/>
      <c r="B51" s="568"/>
      <c r="C51" s="241"/>
      <c r="D51" s="239"/>
      <c r="E51" s="239"/>
      <c r="F51" s="241"/>
      <c r="G51" s="241"/>
      <c r="H51" s="241" t="s">
        <v>2573</v>
      </c>
      <c r="I51" s="239"/>
      <c r="J51" s="241" t="s">
        <v>2579</v>
      </c>
      <c r="K51" s="241"/>
      <c r="L51" s="241"/>
      <c r="M51" s="241"/>
      <c r="N51" s="241"/>
      <c r="O51" s="241"/>
      <c r="P51" s="239"/>
      <c r="Q51" s="1222">
        <v>0.15</v>
      </c>
      <c r="R51" s="1222"/>
      <c r="S51" s="432"/>
      <c r="T51" s="432"/>
      <c r="U51" s="432"/>
    </row>
    <row r="52" spans="1:21" s="416" customFormat="1" ht="11.45" customHeight="1">
      <c r="A52" s="241"/>
      <c r="B52" s="568"/>
      <c r="C52" s="241"/>
      <c r="D52" s="239"/>
      <c r="E52" s="239"/>
      <c r="F52" s="241"/>
      <c r="G52" s="241"/>
      <c r="H52" s="241"/>
      <c r="I52" s="241" t="s">
        <v>2580</v>
      </c>
      <c r="J52" s="241" t="s">
        <v>2581</v>
      </c>
      <c r="K52" s="241"/>
      <c r="L52" s="241"/>
      <c r="M52" s="241"/>
      <c r="N52" s="241"/>
      <c r="O52" s="241"/>
      <c r="P52" s="239"/>
      <c r="Q52" s="1222">
        <v>0.15</v>
      </c>
      <c r="R52" s="1222"/>
      <c r="S52" s="432"/>
      <c r="T52" s="432"/>
      <c r="U52" s="432"/>
    </row>
    <row r="53" spans="1:21" s="416" customFormat="1" ht="11.45" customHeight="1">
      <c r="A53" s="241"/>
      <c r="B53" s="568"/>
      <c r="C53" s="241"/>
      <c r="D53" s="239"/>
      <c r="E53" s="239"/>
      <c r="F53" s="241" t="s">
        <v>1386</v>
      </c>
      <c r="G53" s="241"/>
      <c r="H53" s="241"/>
      <c r="I53" s="239"/>
      <c r="J53" s="241" t="s">
        <v>629</v>
      </c>
      <c r="K53" s="241"/>
      <c r="L53" s="241"/>
      <c r="M53" s="241"/>
      <c r="N53" s="241"/>
      <c r="O53" s="241"/>
      <c r="P53" s="239"/>
      <c r="Q53" s="1222">
        <v>0.15</v>
      </c>
      <c r="R53" s="1222"/>
      <c r="S53" s="432"/>
      <c r="T53" s="432"/>
      <c r="U53" s="432"/>
    </row>
    <row r="54" spans="1:21" s="416" customFormat="1" ht="11.45" customHeight="1">
      <c r="A54" s="241"/>
      <c r="B54" s="568"/>
      <c r="C54" s="241"/>
      <c r="D54" s="239"/>
      <c r="E54" s="239"/>
      <c r="G54" s="241"/>
      <c r="H54" s="241"/>
      <c r="I54" s="239"/>
      <c r="J54" s="241" t="s">
        <v>630</v>
      </c>
      <c r="K54" s="241"/>
      <c r="L54" s="241"/>
      <c r="M54" s="241"/>
      <c r="N54" s="241"/>
      <c r="O54" s="241"/>
      <c r="P54" s="239"/>
      <c r="Q54" s="1222" t="s">
        <v>631</v>
      </c>
      <c r="R54" s="1222"/>
      <c r="S54" s="432"/>
      <c r="T54" s="432"/>
      <c r="U54" s="432"/>
    </row>
    <row r="55" spans="1:21" s="416" customFormat="1" ht="11.45" customHeight="1">
      <c r="A55" s="241"/>
      <c r="B55" s="568"/>
      <c r="C55" s="241"/>
      <c r="D55" s="239"/>
      <c r="E55" s="239"/>
      <c r="F55" s="241" t="s">
        <v>1203</v>
      </c>
      <c r="G55" s="241"/>
      <c r="H55" s="241"/>
      <c r="I55" s="239"/>
      <c r="J55" s="241"/>
      <c r="K55" s="241"/>
      <c r="L55" s="241"/>
      <c r="M55" s="241"/>
      <c r="N55" s="241"/>
      <c r="O55" s="241"/>
      <c r="P55" s="239"/>
      <c r="Q55" s="570">
        <v>0</v>
      </c>
      <c r="R55" s="570">
        <v>15</v>
      </c>
      <c r="S55" s="432"/>
      <c r="T55" s="432"/>
      <c r="U55" s="432"/>
    </row>
    <row r="56" spans="1:21" s="416" customFormat="1" ht="11.45" customHeight="1">
      <c r="A56" s="241"/>
      <c r="B56" s="568"/>
      <c r="C56" s="241"/>
      <c r="D56" s="239"/>
      <c r="E56" s="239"/>
      <c r="F56" s="241" t="s">
        <v>1202</v>
      </c>
      <c r="G56" s="241"/>
      <c r="I56" s="239"/>
      <c r="J56" s="241"/>
      <c r="K56" s="241"/>
      <c r="L56" s="241"/>
      <c r="M56" s="241"/>
      <c r="N56" s="241"/>
      <c r="O56" s="241"/>
      <c r="P56" s="239"/>
      <c r="Q56" s="434">
        <v>0</v>
      </c>
      <c r="R56" s="434">
        <v>0.5</v>
      </c>
      <c r="S56" s="432"/>
      <c r="T56" s="432"/>
      <c r="U56" s="432"/>
    </row>
    <row r="57" spans="1:21" s="416" customFormat="1" ht="11.45" customHeight="1">
      <c r="A57" s="241"/>
      <c r="B57" s="241" t="s">
        <v>1521</v>
      </c>
      <c r="C57" s="241"/>
      <c r="D57" s="241"/>
      <c r="E57" s="241"/>
      <c r="F57" s="241"/>
      <c r="G57" s="241"/>
      <c r="H57" s="239"/>
      <c r="I57" s="239"/>
      <c r="J57" s="241" t="s">
        <v>1522</v>
      </c>
      <c r="K57" s="241"/>
      <c r="L57" s="241"/>
      <c r="M57" s="241"/>
      <c r="N57" s="241"/>
      <c r="O57" s="241"/>
      <c r="P57" s="239"/>
      <c r="Q57" s="435">
        <v>6</v>
      </c>
      <c r="R57" s="431" t="s">
        <v>1494</v>
      </c>
      <c r="S57" s="432"/>
      <c r="T57" s="432"/>
      <c r="U57" s="432"/>
    </row>
    <row r="58" spans="1:21" s="416" customFormat="1" ht="11.45" customHeight="1">
      <c r="A58" s="241"/>
      <c r="B58" s="241"/>
      <c r="C58" s="241"/>
      <c r="D58" s="241"/>
      <c r="E58" s="241"/>
      <c r="F58" s="241"/>
      <c r="G58" s="241"/>
      <c r="H58" s="239"/>
      <c r="I58" s="239"/>
      <c r="J58" s="241" t="s">
        <v>1523</v>
      </c>
      <c r="K58" s="241"/>
      <c r="L58" s="241"/>
      <c r="M58" s="241"/>
      <c r="N58" s="241"/>
      <c r="O58" s="241"/>
      <c r="P58" s="239"/>
      <c r="Q58" s="435">
        <v>6</v>
      </c>
      <c r="R58" s="431" t="s">
        <v>1494</v>
      </c>
      <c r="S58" s="432"/>
      <c r="T58" s="432"/>
      <c r="U58" s="432"/>
    </row>
    <row r="59" spans="1:21" s="416" customFormat="1" ht="11.45" customHeight="1">
      <c r="A59" s="241"/>
      <c r="B59" s="571" t="s">
        <v>1204</v>
      </c>
      <c r="C59" s="241"/>
      <c r="D59" s="239"/>
      <c r="E59" s="239"/>
      <c r="F59" s="241"/>
      <c r="G59" s="241"/>
      <c r="I59" s="239"/>
      <c r="J59" s="241" t="s">
        <v>1205</v>
      </c>
      <c r="K59" s="241"/>
      <c r="L59" s="241"/>
      <c r="M59" s="241"/>
      <c r="N59" s="241"/>
      <c r="O59" s="241"/>
      <c r="P59" s="239"/>
      <c r="Q59" s="435">
        <v>3</v>
      </c>
      <c r="R59" s="431" t="s">
        <v>1494</v>
      </c>
      <c r="S59" s="432"/>
      <c r="T59" s="432"/>
      <c r="U59" s="432"/>
    </row>
    <row r="60" spans="1:21" s="416" customFormat="1" ht="11.45" customHeight="1">
      <c r="A60" s="241"/>
      <c r="B60" s="244" t="s">
        <v>1524</v>
      </c>
      <c r="C60" s="241"/>
      <c r="D60" s="239"/>
      <c r="E60" s="241"/>
      <c r="F60" s="241"/>
      <c r="G60" s="241"/>
      <c r="H60" s="239"/>
      <c r="I60" s="239"/>
      <c r="J60" s="241" t="s">
        <v>1525</v>
      </c>
      <c r="K60" s="241"/>
      <c r="L60" s="241"/>
      <c r="M60" s="241"/>
      <c r="N60" s="241"/>
      <c r="O60" s="241"/>
      <c r="P60" s="239"/>
      <c r="Q60" s="1223">
        <v>3000</v>
      </c>
      <c r="R60" s="1224"/>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1526</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576</v>
      </c>
      <c r="C63" s="202"/>
      <c r="D63" s="202"/>
      <c r="E63" s="202"/>
      <c r="F63" s="202"/>
      <c r="G63" s="202"/>
      <c r="J63" s="437">
        <v>1</v>
      </c>
      <c r="K63" s="437">
        <v>2</v>
      </c>
      <c r="L63" s="437">
        <v>3</v>
      </c>
      <c r="M63" s="437">
        <v>4</v>
      </c>
      <c r="N63" s="437">
        <v>5</v>
      </c>
      <c r="O63" s="437">
        <v>6</v>
      </c>
      <c r="P63" s="437">
        <v>7</v>
      </c>
      <c r="Q63" s="437">
        <v>8</v>
      </c>
    </row>
    <row r="64" spans="1:21" ht="11.1" customHeight="1">
      <c r="B64" s="202"/>
      <c r="C64" s="202"/>
      <c r="D64" s="202"/>
      <c r="E64" s="202"/>
      <c r="F64" s="202"/>
      <c r="G64" s="202"/>
      <c r="J64" s="438">
        <v>0.7</v>
      </c>
      <c r="K64" s="438">
        <v>0.8</v>
      </c>
      <c r="L64" s="438">
        <v>0.9</v>
      </c>
      <c r="M64" s="437" t="s">
        <v>3922</v>
      </c>
      <c r="N64" s="438">
        <v>1.08</v>
      </c>
      <c r="O64" s="438">
        <v>1.1599999999999999</v>
      </c>
      <c r="P64" s="438">
        <v>1.24</v>
      </c>
      <c r="Q64" s="438">
        <v>1.32</v>
      </c>
    </row>
    <row r="65" spans="1:26" s="432" customFormat="1" ht="11.45" customHeight="1">
      <c r="A65" s="241"/>
      <c r="B65" s="241" t="s">
        <v>1527</v>
      </c>
      <c r="C65" s="241"/>
      <c r="D65" s="241"/>
      <c r="E65" s="241"/>
      <c r="F65" s="241"/>
      <c r="G65" s="241"/>
      <c r="H65" s="241"/>
      <c r="J65" s="241" t="s">
        <v>1528</v>
      </c>
      <c r="K65" s="241"/>
      <c r="L65" s="241"/>
      <c r="M65" s="241"/>
      <c r="N65" s="241"/>
      <c r="O65" s="241"/>
      <c r="Q65" s="1222">
        <v>0.02</v>
      </c>
      <c r="R65" s="1222"/>
    </row>
    <row r="66" spans="1:26" s="432" customFormat="1" ht="11.45" customHeight="1">
      <c r="A66" s="241"/>
      <c r="B66" s="241" t="s">
        <v>1394</v>
      </c>
      <c r="C66" s="241"/>
      <c r="D66" s="241"/>
      <c r="E66" s="241"/>
      <c r="F66" s="241"/>
      <c r="G66" s="241"/>
      <c r="H66" s="241"/>
      <c r="J66" s="241" t="s">
        <v>1528</v>
      </c>
      <c r="K66" s="241"/>
      <c r="L66" s="241"/>
      <c r="M66" s="241"/>
      <c r="N66" s="241"/>
      <c r="O66" s="241"/>
      <c r="Q66" s="1222">
        <v>7.0000000000000007E-2</v>
      </c>
      <c r="R66" s="1222"/>
    </row>
    <row r="67" spans="1:26" s="432" customFormat="1" ht="11.45" customHeight="1">
      <c r="A67" s="241"/>
      <c r="B67" s="241" t="s">
        <v>1395</v>
      </c>
      <c r="C67" s="241"/>
      <c r="D67" s="241"/>
      <c r="E67" s="241"/>
      <c r="F67" s="241"/>
      <c r="G67" s="241"/>
      <c r="H67" s="241"/>
      <c r="J67" s="241" t="s">
        <v>1528</v>
      </c>
      <c r="K67" s="241"/>
      <c r="L67" s="241"/>
      <c r="M67" s="241"/>
      <c r="N67" s="241"/>
      <c r="O67" s="241"/>
      <c r="Q67" s="1222">
        <v>7.0000000000000007E-2</v>
      </c>
      <c r="R67" s="1222"/>
    </row>
    <row r="68" spans="1:26" s="416" customFormat="1" ht="11.45" customHeight="1">
      <c r="A68" s="241"/>
      <c r="B68" s="241" t="s">
        <v>3919</v>
      </c>
      <c r="C68" s="241"/>
      <c r="D68" s="239"/>
      <c r="E68" s="239"/>
      <c r="F68" s="239"/>
      <c r="G68" s="241"/>
      <c r="H68" s="239"/>
      <c r="I68" s="239"/>
      <c r="J68" s="241" t="s">
        <v>1528</v>
      </c>
      <c r="K68" s="241"/>
      <c r="L68" s="241"/>
      <c r="M68" s="241"/>
      <c r="N68" s="241"/>
      <c r="O68" s="241"/>
      <c r="P68" s="239"/>
      <c r="Q68" s="1222">
        <v>0.03</v>
      </c>
      <c r="R68" s="1222"/>
      <c r="S68" s="432"/>
      <c r="T68" s="432"/>
      <c r="U68" s="432"/>
    </row>
    <row r="69" spans="1:26" s="416" customFormat="1" ht="11.45" customHeight="1">
      <c r="A69" s="241"/>
      <c r="B69" s="241" t="s">
        <v>3920</v>
      </c>
      <c r="C69" s="241"/>
      <c r="D69" s="239"/>
      <c r="E69" s="239"/>
      <c r="F69" s="239"/>
      <c r="G69" s="241"/>
      <c r="H69" s="239"/>
      <c r="I69" s="239"/>
      <c r="J69" s="241" t="s">
        <v>1528</v>
      </c>
      <c r="K69" s="241"/>
      <c r="L69" s="241"/>
      <c r="M69" s="241"/>
      <c r="N69" s="241"/>
      <c r="O69" s="241"/>
      <c r="P69" s="239"/>
      <c r="Q69" s="1222">
        <v>0.03</v>
      </c>
      <c r="R69" s="1222"/>
      <c r="S69" s="432"/>
      <c r="T69" s="432"/>
      <c r="U69" s="432"/>
    </row>
    <row r="70" spans="1:26" s="416" customFormat="1" ht="11.45" customHeight="1">
      <c r="A70" s="241"/>
      <c r="B70" s="241" t="s">
        <v>3921</v>
      </c>
      <c r="C70" s="241"/>
      <c r="D70" s="239"/>
      <c r="E70" s="239"/>
      <c r="F70" s="239"/>
      <c r="G70" s="241"/>
      <c r="H70" s="239"/>
      <c r="I70" s="239"/>
      <c r="J70" s="241" t="s">
        <v>1528</v>
      </c>
      <c r="K70" s="241"/>
      <c r="L70" s="241"/>
      <c r="M70" s="241"/>
      <c r="N70" s="241"/>
      <c r="O70" s="241"/>
      <c r="P70" s="239"/>
      <c r="Q70" s="1222">
        <v>0</v>
      </c>
      <c r="R70" s="1222"/>
      <c r="S70" s="432"/>
      <c r="T70" s="432"/>
      <c r="U70" s="432"/>
    </row>
    <row r="71" spans="1:26" s="416" customFormat="1" ht="4.3499999999999996"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220</v>
      </c>
      <c r="B72" s="241"/>
      <c r="C72" s="241"/>
      <c r="D72" s="239"/>
      <c r="E72" s="239"/>
      <c r="F72" s="241" t="s">
        <v>502</v>
      </c>
      <c r="G72" s="241"/>
      <c r="H72" s="239"/>
      <c r="I72" s="239"/>
      <c r="J72" s="241" t="s">
        <v>223</v>
      </c>
      <c r="K72" s="241"/>
      <c r="L72" s="241"/>
      <c r="M72" s="241"/>
      <c r="N72" s="241"/>
      <c r="O72" s="241"/>
      <c r="P72" s="239"/>
      <c r="Q72" s="1222">
        <v>0.1</v>
      </c>
      <c r="R72" s="1222"/>
      <c r="S72" s="239"/>
      <c r="T72" s="239"/>
      <c r="U72" s="239"/>
      <c r="V72" s="423"/>
      <c r="W72" s="423"/>
      <c r="X72" s="242"/>
    </row>
    <row r="73" spans="1:26" s="416" customFormat="1" ht="11.45" customHeight="1">
      <c r="A73" s="421"/>
      <c r="B73" s="241"/>
      <c r="C73" s="241"/>
      <c r="D73" s="239"/>
      <c r="E73" s="239"/>
      <c r="F73" s="241" t="s">
        <v>501</v>
      </c>
      <c r="G73" s="241"/>
      <c r="H73" s="239"/>
      <c r="I73" s="239"/>
      <c r="J73" s="241" t="s">
        <v>223</v>
      </c>
      <c r="K73" s="241"/>
      <c r="L73" s="241"/>
      <c r="M73" s="241"/>
      <c r="N73" s="241"/>
      <c r="O73" s="241"/>
      <c r="P73" s="239"/>
      <c r="Q73" s="1222">
        <v>0.3</v>
      </c>
      <c r="R73" s="1222"/>
      <c r="S73" s="239"/>
      <c r="T73" s="239"/>
      <c r="U73" s="239"/>
      <c r="V73" s="423"/>
      <c r="W73" s="423"/>
      <c r="X73" s="242"/>
    </row>
    <row r="74" spans="1:26" s="416" customFormat="1" ht="11.45" customHeight="1">
      <c r="A74" s="241"/>
      <c r="B74" s="241"/>
      <c r="C74" s="241"/>
      <c r="D74" s="239"/>
      <c r="E74" s="239"/>
      <c r="F74" s="241" t="s">
        <v>3547</v>
      </c>
      <c r="G74" s="241"/>
      <c r="H74" s="239"/>
      <c r="I74" s="239"/>
      <c r="J74" s="241" t="s">
        <v>223</v>
      </c>
      <c r="K74" s="241"/>
      <c r="L74" s="241"/>
      <c r="M74" s="241"/>
      <c r="N74" s="241"/>
      <c r="O74" s="241"/>
      <c r="P74" s="239"/>
      <c r="Q74" s="1222">
        <v>0.25</v>
      </c>
      <c r="R74" s="1222"/>
      <c r="S74" s="424"/>
      <c r="T74" s="424"/>
      <c r="U74" s="239"/>
      <c r="V74" s="425"/>
      <c r="W74" s="425"/>
      <c r="X74" s="425"/>
    </row>
    <row r="75" spans="1:26" s="416" customFormat="1" ht="11.45" customHeight="1">
      <c r="A75" s="421"/>
      <c r="B75" s="241"/>
      <c r="C75" s="241"/>
      <c r="D75" s="239"/>
      <c r="E75" s="239"/>
      <c r="F75" s="241" t="s">
        <v>960</v>
      </c>
      <c r="G75" s="241"/>
      <c r="H75" s="239"/>
      <c r="I75" s="239"/>
      <c r="J75" s="241" t="s">
        <v>1525</v>
      </c>
      <c r="K75" s="241"/>
      <c r="L75" s="241"/>
      <c r="M75" s="241"/>
      <c r="N75" s="241"/>
      <c r="O75" s="241"/>
      <c r="P75" s="239"/>
      <c r="Q75" s="1223">
        <v>1000000</v>
      </c>
      <c r="R75" s="1224"/>
      <c r="S75" s="239"/>
      <c r="T75" s="239"/>
      <c r="U75" s="239"/>
      <c r="V75" s="423"/>
      <c r="W75" s="423"/>
      <c r="X75" s="242"/>
    </row>
    <row r="76" spans="1:26" ht="11.25" customHeight="1">
      <c r="F76" s="241" t="s">
        <v>221</v>
      </c>
      <c r="J76" s="241" t="s">
        <v>1525</v>
      </c>
      <c r="Q76" s="1223">
        <v>1000000</v>
      </c>
      <c r="R76" s="1224"/>
    </row>
    <row r="77" spans="1:26" s="416" customFormat="1" ht="11.45" customHeight="1">
      <c r="A77" s="241"/>
      <c r="B77" s="241"/>
      <c r="C77" s="241"/>
      <c r="D77" s="239"/>
      <c r="E77" s="239"/>
      <c r="F77" s="241" t="s">
        <v>222</v>
      </c>
      <c r="G77" s="241"/>
      <c r="H77" s="239"/>
      <c r="I77" s="239"/>
      <c r="J77" s="241" t="s">
        <v>224</v>
      </c>
      <c r="K77" s="241"/>
      <c r="L77" s="241"/>
      <c r="M77" s="241"/>
      <c r="N77" s="241"/>
      <c r="O77" s="241"/>
      <c r="P77" s="239"/>
      <c r="Q77" s="1222">
        <v>0.15</v>
      </c>
      <c r="R77" s="1222"/>
      <c r="S77" s="424"/>
      <c r="T77" s="424"/>
      <c r="U77" s="239"/>
      <c r="V77" s="425"/>
      <c r="W77" s="425"/>
      <c r="X77" s="425"/>
    </row>
    <row r="78" spans="1:26" ht="11.1" customHeight="1"/>
    <row r="80" spans="1:26" ht="13.35" customHeight="1">
      <c r="C80" s="439"/>
      <c r="D80" s="439"/>
      <c r="E80" s="439"/>
      <c r="F80" s="439"/>
      <c r="G80" s="439"/>
      <c r="H80" s="439"/>
      <c r="I80" s="439"/>
    </row>
    <row r="82" spans="3:12" ht="13.5">
      <c r="D82" s="621">
        <v>2012</v>
      </c>
      <c r="J82" s="565" t="s">
        <v>2691</v>
      </c>
      <c r="K82" s="565"/>
      <c r="L82" s="397"/>
    </row>
    <row r="83" spans="3:12" ht="13.5">
      <c r="C83" s="561" t="s">
        <v>2247</v>
      </c>
      <c r="D83" s="564" t="s">
        <v>2522</v>
      </c>
      <c r="J83" s="566" t="s">
        <v>2694</v>
      </c>
      <c r="K83" s="566" t="s">
        <v>2692</v>
      </c>
      <c r="L83" s="567" t="s">
        <v>2693</v>
      </c>
    </row>
    <row r="84" spans="3:12" ht="10.5" customHeight="1">
      <c r="C84" s="562" t="s">
        <v>1407</v>
      </c>
      <c r="D84" s="735">
        <v>49400</v>
      </c>
      <c r="J84" s="622">
        <v>0</v>
      </c>
      <c r="K84" s="622">
        <v>0.7</v>
      </c>
      <c r="L84" s="622">
        <v>1</v>
      </c>
    </row>
    <row r="85" spans="3:12" ht="10.5" customHeight="1">
      <c r="C85" s="562" t="s">
        <v>2523</v>
      </c>
      <c r="D85" s="735">
        <v>59400</v>
      </c>
      <c r="J85" s="622">
        <v>1</v>
      </c>
      <c r="K85" s="622">
        <v>0.75</v>
      </c>
      <c r="L85" s="622">
        <v>1.5</v>
      </c>
    </row>
    <row r="86" spans="3:12" ht="10.5" customHeight="1">
      <c r="C86" s="562" t="s">
        <v>2941</v>
      </c>
      <c r="D86" s="735">
        <v>69300</v>
      </c>
      <c r="J86" s="622">
        <v>2</v>
      </c>
      <c r="K86" s="622">
        <v>0.9</v>
      </c>
      <c r="L86" s="622">
        <v>3</v>
      </c>
    </row>
    <row r="87" spans="3:12" ht="10.5" customHeight="1">
      <c r="C87" s="562" t="s">
        <v>2942</v>
      </c>
      <c r="D87" s="735">
        <v>57900</v>
      </c>
      <c r="J87" s="622">
        <v>3</v>
      </c>
      <c r="K87" s="622">
        <v>1.04</v>
      </c>
      <c r="L87" s="622">
        <v>4.5</v>
      </c>
    </row>
    <row r="88" spans="3:12" ht="10.5" customHeight="1">
      <c r="C88" s="562" t="s">
        <v>3965</v>
      </c>
      <c r="D88" s="735">
        <v>60200</v>
      </c>
      <c r="J88" s="622">
        <v>4</v>
      </c>
      <c r="K88" s="622">
        <v>1.1599999999999999</v>
      </c>
      <c r="L88" s="622">
        <v>6</v>
      </c>
    </row>
    <row r="89" spans="3:12" ht="10.5" customHeight="1">
      <c r="C89" s="562" t="s">
        <v>2524</v>
      </c>
      <c r="D89" s="735">
        <v>64200</v>
      </c>
      <c r="J89" s="622">
        <v>5</v>
      </c>
      <c r="K89" s="622">
        <v>1.28</v>
      </c>
      <c r="L89" s="622">
        <v>7.5</v>
      </c>
    </row>
    <row r="90" spans="3:12" ht="10.5" customHeight="1">
      <c r="C90" s="562" t="s">
        <v>1921</v>
      </c>
      <c r="D90" s="735">
        <v>57800</v>
      </c>
    </row>
    <row r="91" spans="3:12" ht="10.5" customHeight="1">
      <c r="C91" s="562" t="s">
        <v>3896</v>
      </c>
      <c r="D91" s="735">
        <v>52300</v>
      </c>
    </row>
    <row r="92" spans="3:12" ht="10.5" customHeight="1">
      <c r="C92" s="562" t="s">
        <v>3758</v>
      </c>
      <c r="D92" s="735">
        <v>50800</v>
      </c>
    </row>
    <row r="93" spans="3:12" ht="10.5" customHeight="1">
      <c r="C93" s="563" t="s">
        <v>2282</v>
      </c>
      <c r="D93" s="735">
        <v>62000</v>
      </c>
    </row>
    <row r="94" spans="3:12" ht="10.5" customHeight="1">
      <c r="C94" s="563" t="s">
        <v>2943</v>
      </c>
      <c r="D94" s="735">
        <v>47400</v>
      </c>
    </row>
    <row r="95" spans="3:12" ht="10.5" customHeight="1">
      <c r="C95" s="563" t="s">
        <v>2525</v>
      </c>
      <c r="D95" s="735">
        <v>47700</v>
      </c>
    </row>
    <row r="96" spans="3:12" ht="10.5" customHeight="1">
      <c r="C96" s="562" t="s">
        <v>2944</v>
      </c>
      <c r="D96" s="735">
        <v>43200</v>
      </c>
    </row>
    <row r="97" spans="3:4" ht="10.5" customHeight="1">
      <c r="C97" s="563" t="s">
        <v>2063</v>
      </c>
      <c r="D97" s="735">
        <v>49100</v>
      </c>
    </row>
    <row r="98" spans="3:4" ht="10.5" customHeight="1">
      <c r="C98" s="562" t="s">
        <v>2151</v>
      </c>
      <c r="D98" s="735">
        <v>54700</v>
      </c>
    </row>
    <row r="99" spans="3:4" ht="10.5" customHeight="1">
      <c r="C99" s="563" t="s">
        <v>2946</v>
      </c>
      <c r="D99" s="735">
        <v>49500</v>
      </c>
    </row>
    <row r="100" spans="3:4" ht="10.5" customHeight="1">
      <c r="C100" s="563" t="s">
        <v>1124</v>
      </c>
      <c r="D100" s="735">
        <v>64600</v>
      </c>
    </row>
    <row r="101" spans="3:4" ht="10.5" customHeight="1">
      <c r="C101" s="563" t="s">
        <v>421</v>
      </c>
      <c r="D101" s="735">
        <v>47700</v>
      </c>
    </row>
    <row r="102" spans="3:4" ht="10.5" customHeight="1">
      <c r="C102" s="562" t="s">
        <v>809</v>
      </c>
      <c r="D102" s="735">
        <v>52800</v>
      </c>
    </row>
    <row r="103" spans="3:4" ht="10.5" customHeight="1">
      <c r="C103" s="562" t="s">
        <v>2157</v>
      </c>
      <c r="D103" s="735">
        <v>60800</v>
      </c>
    </row>
    <row r="104" spans="3:4" ht="10.5" customHeight="1">
      <c r="C104" s="562" t="s">
        <v>1582</v>
      </c>
      <c r="D104" s="735">
        <v>50900</v>
      </c>
    </row>
    <row r="105" spans="3:4" ht="10.5" customHeight="1">
      <c r="C105" s="562" t="s">
        <v>1465</v>
      </c>
      <c r="D105" s="735">
        <v>71400</v>
      </c>
    </row>
    <row r="106" spans="3:4" ht="10.5" customHeight="1">
      <c r="C106" s="563" t="s">
        <v>2385</v>
      </c>
      <c r="D106" s="735">
        <v>45100</v>
      </c>
    </row>
    <row r="107" spans="3:4" ht="10.5" customHeight="1">
      <c r="C107" s="563" t="s">
        <v>1403</v>
      </c>
      <c r="D107" s="735">
        <v>37000</v>
      </c>
    </row>
    <row r="108" spans="3:4" ht="10.5" customHeight="1">
      <c r="C108" s="563" t="s">
        <v>1405</v>
      </c>
      <c r="D108" s="735">
        <v>45700</v>
      </c>
    </row>
    <row r="109" spans="3:4" ht="10.5" customHeight="1">
      <c r="C109" s="562" t="s">
        <v>3891</v>
      </c>
      <c r="D109" s="735">
        <v>50300</v>
      </c>
    </row>
    <row r="110" spans="3:4" ht="10.5" customHeight="1">
      <c r="C110" s="563" t="s">
        <v>2143</v>
      </c>
      <c r="D110" s="735">
        <v>49000</v>
      </c>
    </row>
    <row r="111" spans="3:4" ht="10.5" customHeight="1">
      <c r="C111" s="563" t="s">
        <v>2526</v>
      </c>
      <c r="D111" s="735">
        <v>37000</v>
      </c>
    </row>
    <row r="112" spans="3:4" ht="10.5" customHeight="1">
      <c r="C112" s="563" t="s">
        <v>2149</v>
      </c>
      <c r="D112" s="735">
        <v>44300</v>
      </c>
    </row>
    <row r="113" spans="3:4" ht="10.5" customHeight="1">
      <c r="C113" s="562" t="s">
        <v>2153</v>
      </c>
      <c r="D113" s="735">
        <v>53000</v>
      </c>
    </row>
    <row r="114" spans="3:4" ht="10.5" customHeight="1">
      <c r="C114" s="562" t="s">
        <v>2159</v>
      </c>
      <c r="D114" s="735">
        <v>56700</v>
      </c>
    </row>
    <row r="115" spans="3:4" ht="10.5" customHeight="1">
      <c r="C115" s="563" t="s">
        <v>2164</v>
      </c>
      <c r="D115" s="735">
        <v>43800</v>
      </c>
    </row>
    <row r="116" spans="3:4" ht="10.5" customHeight="1">
      <c r="C116" s="562" t="s">
        <v>2822</v>
      </c>
      <c r="D116" s="735">
        <v>61700</v>
      </c>
    </row>
    <row r="117" spans="3:4" ht="10.5" customHeight="1">
      <c r="C117" s="563" t="s">
        <v>2824</v>
      </c>
      <c r="D117" s="735">
        <v>41300</v>
      </c>
    </row>
    <row r="118" spans="3:4" ht="10.5" customHeight="1">
      <c r="C118" s="563" t="s">
        <v>3893</v>
      </c>
      <c r="D118" s="735">
        <v>48900</v>
      </c>
    </row>
    <row r="119" spans="3:4" ht="10.5" customHeight="1">
      <c r="C119" s="563" t="s">
        <v>3898</v>
      </c>
      <c r="D119" s="735">
        <v>41100</v>
      </c>
    </row>
    <row r="120" spans="3:4" ht="10.5" customHeight="1">
      <c r="C120" s="563" t="s">
        <v>789</v>
      </c>
      <c r="D120" s="735">
        <v>44800</v>
      </c>
    </row>
    <row r="121" spans="3:4" ht="10.5" customHeight="1">
      <c r="C121" s="563" t="s">
        <v>671</v>
      </c>
      <c r="D121" s="735">
        <v>42200</v>
      </c>
    </row>
    <row r="122" spans="3:4" ht="10.5" customHeight="1">
      <c r="C122" s="563" t="s">
        <v>669</v>
      </c>
      <c r="D122" s="735">
        <v>42900</v>
      </c>
    </row>
    <row r="123" spans="3:4" ht="10.5" customHeight="1">
      <c r="C123" s="563" t="s">
        <v>520</v>
      </c>
      <c r="D123" s="735">
        <v>40900</v>
      </c>
    </row>
    <row r="124" spans="3:4" ht="10.5" customHeight="1">
      <c r="C124" s="563" t="s">
        <v>523</v>
      </c>
      <c r="D124" s="735">
        <v>41600</v>
      </c>
    </row>
    <row r="125" spans="3:4" ht="10.5" customHeight="1">
      <c r="C125" s="563" t="s">
        <v>3830</v>
      </c>
      <c r="D125" s="735">
        <v>40900</v>
      </c>
    </row>
    <row r="126" spans="3:4" ht="10.5" customHeight="1">
      <c r="C126" s="563" t="s">
        <v>3834</v>
      </c>
      <c r="D126" s="735">
        <v>47400</v>
      </c>
    </row>
    <row r="127" spans="3:4" ht="10.5" customHeight="1">
      <c r="C127" s="563" t="s">
        <v>2642</v>
      </c>
      <c r="D127" s="735">
        <v>46800</v>
      </c>
    </row>
    <row r="128" spans="3:4" ht="10.5" customHeight="1">
      <c r="C128" s="563" t="s">
        <v>2644</v>
      </c>
      <c r="D128" s="735">
        <v>40300</v>
      </c>
    </row>
    <row r="129" spans="3:4" ht="10.5" customHeight="1">
      <c r="C129" s="563" t="s">
        <v>2751</v>
      </c>
      <c r="D129" s="735">
        <v>41800</v>
      </c>
    </row>
    <row r="130" spans="3:4" ht="10.5" customHeight="1">
      <c r="C130" s="563" t="s">
        <v>2755</v>
      </c>
      <c r="D130" s="735">
        <v>40100</v>
      </c>
    </row>
    <row r="131" spans="3:4" ht="10.5" customHeight="1">
      <c r="C131" s="563" t="s">
        <v>999</v>
      </c>
      <c r="D131" s="735">
        <v>39300</v>
      </c>
    </row>
    <row r="132" spans="3:4" ht="10.5" customHeight="1">
      <c r="C132" s="563" t="s">
        <v>3072</v>
      </c>
      <c r="D132" s="735">
        <v>44800</v>
      </c>
    </row>
    <row r="133" spans="3:4" ht="10.5" customHeight="1">
      <c r="C133" s="563" t="s">
        <v>3074</v>
      </c>
      <c r="D133" s="735">
        <v>46300</v>
      </c>
    </row>
    <row r="134" spans="3:4" ht="10.5" customHeight="1">
      <c r="C134" s="562" t="s">
        <v>3170</v>
      </c>
      <c r="D134" s="735">
        <v>46200</v>
      </c>
    </row>
    <row r="135" spans="3:4" ht="10.5" customHeight="1">
      <c r="C135" s="563" t="s">
        <v>3172</v>
      </c>
      <c r="D135" s="735">
        <v>44500</v>
      </c>
    </row>
    <row r="136" spans="3:4" ht="10.5" customHeight="1">
      <c r="C136" s="562" t="s">
        <v>3174</v>
      </c>
      <c r="D136" s="735">
        <v>43400</v>
      </c>
    </row>
    <row r="137" spans="3:4" ht="10.5" customHeight="1">
      <c r="C137" s="563" t="s">
        <v>3177</v>
      </c>
      <c r="D137" s="735">
        <v>52400</v>
      </c>
    </row>
    <row r="138" spans="3:4" ht="10.5" customHeight="1">
      <c r="C138" s="563" t="s">
        <v>3179</v>
      </c>
      <c r="D138" s="735">
        <v>45700</v>
      </c>
    </row>
    <row r="139" spans="3:4" ht="10.5" customHeight="1">
      <c r="C139" s="563" t="s">
        <v>3181</v>
      </c>
      <c r="D139" s="735">
        <v>48000</v>
      </c>
    </row>
    <row r="140" spans="3:4" ht="10.5" customHeight="1">
      <c r="C140" s="563" t="s">
        <v>3996</v>
      </c>
      <c r="D140" s="735">
        <v>50900</v>
      </c>
    </row>
    <row r="141" spans="3:4" ht="10.5" customHeight="1">
      <c r="C141" s="563" t="s">
        <v>3736</v>
      </c>
      <c r="D141" s="735">
        <v>33800</v>
      </c>
    </row>
    <row r="142" spans="3:4" ht="10.5" customHeight="1">
      <c r="C142" s="563" t="s">
        <v>3740</v>
      </c>
      <c r="D142" s="735">
        <v>50600</v>
      </c>
    </row>
    <row r="143" spans="3:4" ht="10.5" customHeight="1">
      <c r="C143" s="563" t="s">
        <v>3745</v>
      </c>
      <c r="D143" s="735">
        <v>56600</v>
      </c>
    </row>
    <row r="144" spans="3:4" ht="10.5" customHeight="1">
      <c r="C144" s="563" t="s">
        <v>3747</v>
      </c>
      <c r="D144" s="735">
        <v>59300</v>
      </c>
    </row>
    <row r="145" spans="3:4" ht="10.5" customHeight="1">
      <c r="C145" s="563" t="s">
        <v>3750</v>
      </c>
      <c r="D145" s="735">
        <v>39000</v>
      </c>
    </row>
    <row r="146" spans="3:4" ht="10.5" customHeight="1">
      <c r="C146" s="563" t="s">
        <v>3752</v>
      </c>
      <c r="D146" s="735">
        <v>39000</v>
      </c>
    </row>
    <row r="147" spans="3:4" ht="10.5" customHeight="1">
      <c r="C147" s="563" t="s">
        <v>3754</v>
      </c>
      <c r="D147" s="735">
        <v>37000</v>
      </c>
    </row>
    <row r="148" spans="3:4" ht="10.5" customHeight="1">
      <c r="C148" s="563" t="s">
        <v>3756</v>
      </c>
      <c r="D148" s="735">
        <v>33300</v>
      </c>
    </row>
    <row r="149" spans="3:4" ht="10.5" customHeight="1">
      <c r="C149" s="563" t="s">
        <v>2057</v>
      </c>
      <c r="D149" s="735">
        <v>51300</v>
      </c>
    </row>
    <row r="150" spans="3:4" ht="10.5" customHeight="1">
      <c r="C150" s="563" t="s">
        <v>2061</v>
      </c>
      <c r="D150" s="735">
        <v>43700</v>
      </c>
    </row>
    <row r="151" spans="3:4" ht="10.5" customHeight="1">
      <c r="C151" s="562" t="s">
        <v>3813</v>
      </c>
      <c r="D151" s="735">
        <v>53100</v>
      </c>
    </row>
    <row r="152" spans="3:4" ht="10.5" customHeight="1">
      <c r="C152" s="563" t="s">
        <v>3814</v>
      </c>
      <c r="D152" s="735">
        <v>39200</v>
      </c>
    </row>
    <row r="153" spans="3:4" ht="10.5" customHeight="1">
      <c r="C153" s="563" t="s">
        <v>1705</v>
      </c>
      <c r="D153" s="735">
        <v>45300</v>
      </c>
    </row>
    <row r="154" spans="3:4" ht="10.5" customHeight="1">
      <c r="C154" s="563" t="s">
        <v>1707</v>
      </c>
      <c r="D154" s="735">
        <v>48300</v>
      </c>
    </row>
    <row r="155" spans="3:4" ht="10.5" customHeight="1">
      <c r="C155" s="563" t="s">
        <v>3821</v>
      </c>
      <c r="D155" s="735">
        <v>48100</v>
      </c>
    </row>
    <row r="156" spans="3:4" ht="10.5" customHeight="1">
      <c r="C156" s="562" t="s">
        <v>419</v>
      </c>
      <c r="D156" s="735">
        <v>57500</v>
      </c>
    </row>
    <row r="157" spans="3:4" ht="10.5" customHeight="1">
      <c r="C157" s="563" t="s">
        <v>2448</v>
      </c>
      <c r="D157" s="735">
        <v>59600</v>
      </c>
    </row>
    <row r="158" spans="3:4" ht="10.5" customHeight="1">
      <c r="C158" s="563" t="s">
        <v>2451</v>
      </c>
      <c r="D158" s="735">
        <v>49400</v>
      </c>
    </row>
    <row r="159" spans="3:4" ht="10.5" customHeight="1">
      <c r="C159" s="563" t="s">
        <v>2454</v>
      </c>
      <c r="D159" s="735">
        <v>48600</v>
      </c>
    </row>
    <row r="160" spans="3:4" ht="10.5" customHeight="1">
      <c r="C160" s="562" t="s">
        <v>2456</v>
      </c>
      <c r="D160" s="735">
        <v>47200</v>
      </c>
    </row>
    <row r="161" spans="3:4" ht="10.5" customHeight="1">
      <c r="C161" s="562" t="s">
        <v>2458</v>
      </c>
      <c r="D161" s="735">
        <v>52700</v>
      </c>
    </row>
    <row r="162" spans="3:4" ht="10.5" customHeight="1">
      <c r="C162" s="563" t="s">
        <v>2460</v>
      </c>
      <c r="D162" s="735">
        <v>40900</v>
      </c>
    </row>
    <row r="163" spans="3:4" ht="10.5" customHeight="1">
      <c r="C163" s="563" t="s">
        <v>2462</v>
      </c>
      <c r="D163" s="735">
        <v>53300</v>
      </c>
    </row>
    <row r="164" spans="3:4" ht="10.5" customHeight="1">
      <c r="C164" s="563" t="s">
        <v>2464</v>
      </c>
      <c r="D164" s="735">
        <v>33900</v>
      </c>
    </row>
    <row r="165" spans="3:4" ht="10.5" customHeight="1">
      <c r="C165" s="563" t="s">
        <v>1008</v>
      </c>
      <c r="D165" s="735">
        <v>48700</v>
      </c>
    </row>
    <row r="166" spans="3:4" ht="10.5" customHeight="1">
      <c r="C166" s="563" t="s">
        <v>1010</v>
      </c>
      <c r="D166" s="735">
        <v>49700</v>
      </c>
    </row>
    <row r="167" spans="3:4" ht="10.5" customHeight="1">
      <c r="C167" s="562" t="s">
        <v>1012</v>
      </c>
      <c r="D167" s="735">
        <v>45800</v>
      </c>
    </row>
    <row r="168" spans="3:4" ht="10.5" customHeight="1">
      <c r="C168" s="562" t="s">
        <v>1015</v>
      </c>
      <c r="D168" s="735">
        <v>45300</v>
      </c>
    </row>
    <row r="169" spans="3:4" ht="10.5" customHeight="1">
      <c r="C169" s="563" t="s">
        <v>1017</v>
      </c>
      <c r="D169" s="735">
        <v>38700</v>
      </c>
    </row>
    <row r="170" spans="3:4" ht="10.5" customHeight="1">
      <c r="C170" s="563" t="s">
        <v>1019</v>
      </c>
      <c r="D170" s="735">
        <v>41400</v>
      </c>
    </row>
    <row r="171" spans="3:4" ht="10.5" customHeight="1">
      <c r="C171" s="563" t="s">
        <v>1021</v>
      </c>
      <c r="D171" s="735">
        <v>47300</v>
      </c>
    </row>
    <row r="172" spans="3:4" ht="10.5" customHeight="1">
      <c r="C172" s="563" t="s">
        <v>1023</v>
      </c>
      <c r="D172" s="735">
        <v>25600</v>
      </c>
    </row>
    <row r="173" spans="3:4" ht="10.5" customHeight="1">
      <c r="C173" s="563" t="s">
        <v>1025</v>
      </c>
      <c r="D173" s="735">
        <v>46300</v>
      </c>
    </row>
    <row r="174" spans="3:4" ht="10.5" customHeight="1">
      <c r="C174" s="563" t="s">
        <v>2746</v>
      </c>
      <c r="D174" s="735">
        <v>37500</v>
      </c>
    </row>
    <row r="175" spans="3:4" ht="10.5" customHeight="1">
      <c r="C175" s="563" t="s">
        <v>2748</v>
      </c>
      <c r="D175" s="735">
        <v>40800</v>
      </c>
    </row>
    <row r="176" spans="3:4" ht="10.5" customHeight="1">
      <c r="C176" s="562" t="s">
        <v>1543</v>
      </c>
      <c r="D176" s="735">
        <v>51900</v>
      </c>
    </row>
    <row r="177" spans="3:4" ht="10.5" customHeight="1">
      <c r="C177" s="562" t="s">
        <v>1327</v>
      </c>
      <c r="D177" s="735">
        <v>47700</v>
      </c>
    </row>
    <row r="178" spans="3:4" ht="10.5" customHeight="1">
      <c r="C178" s="562" t="s">
        <v>1329</v>
      </c>
      <c r="D178" s="735">
        <v>43800</v>
      </c>
    </row>
    <row r="179" spans="3:4" ht="10.5" customHeight="1">
      <c r="C179" s="562" t="s">
        <v>1331</v>
      </c>
      <c r="D179" s="735">
        <v>51900</v>
      </c>
    </row>
    <row r="180" spans="3:4" ht="10.5" customHeight="1">
      <c r="C180" s="562" t="s">
        <v>1333</v>
      </c>
      <c r="D180" s="735">
        <v>39000</v>
      </c>
    </row>
    <row r="181" spans="3:4" ht="10.5" customHeight="1">
      <c r="C181" s="563" t="s">
        <v>1335</v>
      </c>
      <c r="D181" s="735">
        <v>50800</v>
      </c>
    </row>
    <row r="182" spans="3:4" ht="10.5" customHeight="1">
      <c r="C182" s="562" t="s">
        <v>1208</v>
      </c>
      <c r="D182" s="735">
        <v>41500</v>
      </c>
    </row>
    <row r="183" spans="3:4" ht="10.5" customHeight="1">
      <c r="C183" s="562" t="s">
        <v>1211</v>
      </c>
      <c r="D183" s="735">
        <v>51400</v>
      </c>
    </row>
    <row r="184" spans="3:4" ht="10.5" customHeight="1">
      <c r="C184" s="563" t="s">
        <v>1175</v>
      </c>
      <c r="D184" s="735">
        <v>45500</v>
      </c>
    </row>
    <row r="185" spans="3:4" ht="10.5" customHeight="1">
      <c r="C185" s="562" t="s">
        <v>3976</v>
      </c>
      <c r="D185" s="735">
        <v>46600</v>
      </c>
    </row>
    <row r="186" spans="3:4" ht="10.5" customHeight="1">
      <c r="C186" s="562" t="s">
        <v>3978</v>
      </c>
      <c r="D186" s="735">
        <v>37000</v>
      </c>
    </row>
    <row r="187" spans="3:4" ht="10.5" customHeight="1">
      <c r="C187" s="562" t="s">
        <v>3980</v>
      </c>
      <c r="D187" s="735">
        <v>43300</v>
      </c>
    </row>
    <row r="188" spans="3:4" ht="10.5" customHeight="1">
      <c r="C188" s="562" t="s">
        <v>3982</v>
      </c>
      <c r="D188" s="735">
        <v>52400</v>
      </c>
    </row>
    <row r="189" spans="3:4" ht="10.5" customHeight="1">
      <c r="C189" s="562" t="s">
        <v>3984</v>
      </c>
      <c r="D189" s="735">
        <v>38300</v>
      </c>
    </row>
    <row r="190" spans="3:4" ht="10.5" customHeight="1">
      <c r="C190" s="562" t="s">
        <v>3986</v>
      </c>
      <c r="D190" s="735">
        <v>47700</v>
      </c>
    </row>
    <row r="191" spans="3:4" ht="10.5" customHeight="1">
      <c r="C191" s="562" t="s">
        <v>3988</v>
      </c>
      <c r="D191" s="735">
        <v>54600</v>
      </c>
    </row>
    <row r="192" spans="3:4" ht="10.5" customHeight="1">
      <c r="C192" s="562" t="s">
        <v>676</v>
      </c>
      <c r="D192" s="735">
        <v>41700</v>
      </c>
    </row>
    <row r="193" spans="3:4" ht="10.5" customHeight="1">
      <c r="C193" s="562" t="s">
        <v>678</v>
      </c>
      <c r="D193" s="735">
        <v>42600</v>
      </c>
    </row>
    <row r="194" spans="3:4" ht="10.5" customHeight="1">
      <c r="C194" s="562" t="s">
        <v>680</v>
      </c>
      <c r="D194" s="735">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2012-02-23T17:01:14Z</cp:lastPrinted>
  <dcterms:created xsi:type="dcterms:W3CDTF">2005-09-15T20:51:37Z</dcterms:created>
  <dcterms:modified xsi:type="dcterms:W3CDTF">2012-08-03T21:22:58Z</dcterms:modified>
</cp:coreProperties>
</file>