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510" yWindow="45" windowWidth="19125" windowHeight="117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25" i="15"/>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69"/>
  <c r="K99"/>
  <c r="J99"/>
  <c r="I99"/>
  <c r="H99"/>
  <c r="G99"/>
  <c r="F99"/>
  <c r="E99"/>
  <c r="D99"/>
  <c r="C99"/>
  <c r="C69"/>
  <c r="D69"/>
  <c r="E69"/>
  <c r="F69"/>
  <c r="G69"/>
  <c r="H69"/>
  <c r="I69"/>
  <c r="J69"/>
  <c r="K69"/>
  <c r="D39"/>
  <c r="E39"/>
  <c r="F39"/>
  <c r="G39"/>
  <c r="H39"/>
  <c r="I39"/>
  <c r="J39"/>
  <c r="K39"/>
  <c r="C39"/>
  <c r="B39"/>
  <c r="V37" i="15"/>
  <c r="V129"/>
  <c r="A3" i="6"/>
  <c r="H3" s="1"/>
  <c r="M221" i="11"/>
  <c r="N182"/>
  <c r="N177"/>
  <c r="N146"/>
  <c r="N67"/>
  <c r="P49"/>
  <c r="O49"/>
  <c r="C40" i="8" l="1"/>
  <c r="D40" s="1"/>
  <c r="P218" i="11"/>
  <c r="C70" i="8"/>
  <c r="C100"/>
  <c r="O273" i="11"/>
  <c r="P273"/>
  <c r="D100" i="8" l="1"/>
  <c r="D70"/>
  <c r="E40"/>
  <c r="M291" i="11"/>
  <c r="M6" s="1"/>
  <c r="L277"/>
  <c r="A265"/>
  <c r="P246"/>
  <c r="P242" s="1"/>
  <c r="O246"/>
  <c r="O242" s="1"/>
  <c r="L233"/>
  <c r="K221"/>
  <c r="O218" l="1"/>
  <c r="F40" i="8"/>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K83" i="8" l="1"/>
  <c r="H40"/>
  <c r="G70"/>
  <c r="G100"/>
  <c r="B23"/>
  <c r="B53"/>
  <c r="D53"/>
  <c r="F53"/>
  <c r="H53"/>
  <c r="J53"/>
  <c r="B83"/>
  <c r="D83"/>
  <c r="F83"/>
  <c r="H83"/>
  <c r="J83"/>
  <c r="C23"/>
  <c r="C53"/>
  <c r="E53"/>
  <c r="G53"/>
  <c r="I53"/>
  <c r="K53"/>
  <c r="C83"/>
  <c r="E83"/>
  <c r="G83"/>
  <c r="I83"/>
  <c r="Q17" i="36"/>
  <c r="Q18"/>
  <c r="Q19"/>
  <c r="Q20"/>
  <c r="Q21"/>
  <c r="Q22"/>
  <c r="Q23"/>
  <c r="Q24"/>
  <c r="Q25"/>
  <c r="Q26"/>
  <c r="Q27"/>
  <c r="Q28"/>
  <c r="Q29"/>
  <c r="Q30"/>
  <c r="Q31"/>
  <c r="Q32"/>
  <c r="Q33"/>
  <c r="Q34"/>
  <c r="Q35"/>
  <c r="Q36"/>
  <c r="Q37"/>
  <c r="Q38"/>
  <c r="Q39"/>
  <c r="Q40"/>
  <c r="Q41"/>
  <c r="Q42"/>
  <c r="Q43"/>
  <c r="Q44"/>
  <c r="Q45"/>
  <c r="Q46"/>
  <c r="Q47"/>
  <c r="J43" i="6"/>
  <c r="H23" i="8"/>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AV48" i="36"/>
  <c r="I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CV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W48" i="36"/>
  <c r="I56" s="1"/>
  <c r="C28" i="8" l="1"/>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L254" i="11"/>
  <c r="BB48" i="36"/>
  <c r="J64" s="1"/>
  <c r="K86" i="8"/>
  <c r="I86"/>
  <c r="G86"/>
  <c r="E86"/>
  <c r="C86"/>
  <c r="K56"/>
  <c r="I56"/>
  <c r="G56"/>
  <c r="E56"/>
  <c r="C56"/>
  <c r="K26"/>
  <c r="I26"/>
  <c r="G26"/>
  <c r="E26"/>
  <c r="C26"/>
  <c r="B26"/>
  <c r="J86"/>
  <c r="H86"/>
  <c r="F86"/>
  <c r="D86"/>
  <c r="B86"/>
  <c r="J56"/>
  <c r="H56"/>
  <c r="F56"/>
  <c r="D56"/>
  <c r="B56"/>
  <c r="J26"/>
  <c r="H26"/>
  <c r="F26"/>
  <c r="D26"/>
  <c r="B36"/>
  <c r="AQ48" i="36"/>
  <c r="BD48"/>
  <c r="L64" s="1"/>
  <c r="AZ48"/>
  <c r="H64" s="1"/>
  <c r="AX48"/>
  <c r="K65" s="1"/>
  <c r="FW48"/>
  <c r="J85" s="1"/>
  <c r="F108" i="15"/>
  <c r="CU48" i="36"/>
  <c r="CW48"/>
  <c r="AU48"/>
  <c r="H65" s="1"/>
  <c r="AW48"/>
  <c r="J65" s="1"/>
  <c r="AY48"/>
  <c r="L65" s="1"/>
  <c r="BA48"/>
  <c r="I64" s="1"/>
  <c r="BC48"/>
  <c r="K64" s="1"/>
  <c r="K66" s="1"/>
  <c r="C109" i="15"/>
  <c r="AK48" i="36"/>
  <c r="H59" s="1"/>
  <c r="FT48"/>
  <c r="L90" s="1"/>
  <c r="CT48"/>
  <c r="AS48"/>
  <c r="AO48"/>
  <c r="L59" s="1"/>
  <c r="AM48"/>
  <c r="J59" s="1"/>
  <c r="Z48"/>
  <c r="L56" s="1"/>
  <c r="Y48"/>
  <c r="K56" s="1"/>
  <c r="X48"/>
  <c r="J56" s="1"/>
  <c r="M56" s="1"/>
  <c r="V48"/>
  <c r="H56" s="1"/>
  <c r="FN48"/>
  <c r="K91" s="1"/>
  <c r="FP48"/>
  <c r="H90" s="1"/>
  <c r="EX48"/>
  <c r="FH48"/>
  <c r="J92" s="1"/>
  <c r="GH48"/>
  <c r="K87" s="1"/>
  <c r="GF48"/>
  <c r="I87" s="1"/>
  <c r="FY48"/>
  <c r="L85" s="1"/>
  <c r="FB48"/>
  <c r="I89" s="1"/>
  <c r="GZ48"/>
  <c r="HL48"/>
  <c r="GS48"/>
  <c r="GO48"/>
  <c r="BG48"/>
  <c r="BY48"/>
  <c r="H94" s="1"/>
  <c r="AN48"/>
  <c r="K59" s="1"/>
  <c r="AL48"/>
  <c r="I59" s="1"/>
  <c r="AE48"/>
  <c r="L57" s="1"/>
  <c r="AD48"/>
  <c r="K57" s="1"/>
  <c r="AC48"/>
  <c r="J57" s="1"/>
  <c r="J58" s="1"/>
  <c r="J60" s="1"/>
  <c r="AB48"/>
  <c r="I57" s="1"/>
  <c r="AA48"/>
  <c r="H57" s="1"/>
  <c r="HF48"/>
  <c r="AT48"/>
  <c r="AR48"/>
  <c r="AP48"/>
  <c r="K29" i="8"/>
  <c r="J29"/>
  <c r="K85"/>
  <c r="I85"/>
  <c r="G85"/>
  <c r="E85"/>
  <c r="C85"/>
  <c r="K55"/>
  <c r="I55"/>
  <c r="G55"/>
  <c r="E55"/>
  <c r="C55"/>
  <c r="K25"/>
  <c r="I25"/>
  <c r="G25"/>
  <c r="E25"/>
  <c r="C25"/>
  <c r="J85"/>
  <c r="H85"/>
  <c r="F85"/>
  <c r="D85"/>
  <c r="B85"/>
  <c r="J55"/>
  <c r="H55"/>
  <c r="F55"/>
  <c r="D55"/>
  <c r="B55"/>
  <c r="J25"/>
  <c r="H25"/>
  <c r="F25"/>
  <c r="D25"/>
  <c r="B25"/>
  <c r="J154" i="15"/>
  <c r="J155" s="1"/>
  <c r="J157" s="1"/>
  <c r="J159" s="1"/>
  <c r="K84" i="8"/>
  <c r="I84"/>
  <c r="G84"/>
  <c r="E84"/>
  <c r="C84"/>
  <c r="K54"/>
  <c r="I54"/>
  <c r="G54"/>
  <c r="E54"/>
  <c r="C54"/>
  <c r="K24"/>
  <c r="I24"/>
  <c r="G24"/>
  <c r="E24"/>
  <c r="C24"/>
  <c r="J84"/>
  <c r="H84"/>
  <c r="F84"/>
  <c r="D84"/>
  <c r="B84"/>
  <c r="J54"/>
  <c r="H54"/>
  <c r="F54"/>
  <c r="D54"/>
  <c r="B54"/>
  <c r="J24"/>
  <c r="H24"/>
  <c r="F24"/>
  <c r="D24"/>
  <c r="B24"/>
  <c r="H100"/>
  <c r="H70"/>
  <c r="I40"/>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I58"/>
  <c r="I60" s="1"/>
  <c r="K58"/>
  <c r="M59"/>
  <c r="FK48"/>
  <c r="H91" s="1"/>
  <c r="FQ48"/>
  <c r="I90" s="1"/>
  <c r="FC48"/>
  <c r="J89" s="1"/>
  <c r="EY48"/>
  <c r="CJ48"/>
  <c r="AG48"/>
  <c r="HC48"/>
  <c r="GY48"/>
  <c r="HE48"/>
  <c r="HK48"/>
  <c r="GR48"/>
  <c r="GX48"/>
  <c r="GT48"/>
  <c r="DQ48"/>
  <c r="DL48"/>
  <c r="L73" s="1"/>
  <c r="DG48"/>
  <c r="L72" s="1"/>
  <c r="DP48"/>
  <c r="DK48"/>
  <c r="K73" s="1"/>
  <c r="DF48"/>
  <c r="K72" s="1"/>
  <c r="DO48"/>
  <c r="DJ48"/>
  <c r="J73" s="1"/>
  <c r="DE48"/>
  <c r="J72" s="1"/>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E23"/>
  <c r="G23"/>
  <c r="I23"/>
  <c r="K23"/>
  <c r="H52" i="7"/>
  <c r="L58" i="36"/>
  <c r="L60" s="1"/>
  <c r="L62" s="1"/>
  <c r="GN48"/>
  <c r="L88" s="1"/>
  <c r="GL48"/>
  <c r="J88" s="1"/>
  <c r="GJ48"/>
  <c r="H88" s="1"/>
  <c r="GD48"/>
  <c r="L86" s="1"/>
  <c r="GB48"/>
  <c r="J86" s="1"/>
  <c r="FZ48"/>
  <c r="H86" s="1"/>
  <c r="FX48"/>
  <c r="K85" s="1"/>
  <c r="FV48"/>
  <c r="I85" s="1"/>
  <c r="I84" s="1"/>
  <c r="FO48"/>
  <c r="L91" s="1"/>
  <c r="FM48"/>
  <c r="J91" s="1"/>
  <c r="M64"/>
  <c r="FI48"/>
  <c r="K92" s="1"/>
  <c r="FG48"/>
  <c r="I92" s="1"/>
  <c r="L66"/>
  <c r="J66"/>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M57" l="1"/>
  <c r="M65"/>
  <c r="H66"/>
  <c r="M66" s="1"/>
  <c r="Q66" s="1"/>
  <c r="I77"/>
  <c r="M89"/>
  <c r="Q89" s="1"/>
  <c r="M72"/>
  <c r="Q72" s="1"/>
  <c r="K77"/>
  <c r="K80"/>
  <c r="J62"/>
  <c r="M90"/>
  <c r="Q90" s="1"/>
  <c r="M99"/>
  <c r="K60"/>
  <c r="K62" s="1"/>
  <c r="H58"/>
  <c r="H60" s="1"/>
  <c r="H62" s="1"/>
  <c r="M61"/>
  <c r="M91"/>
  <c r="Q91" s="1"/>
  <c r="M79"/>
  <c r="Q79" s="1"/>
  <c r="H74"/>
  <c r="K70"/>
  <c r="J80"/>
  <c r="M78"/>
  <c r="Q78" s="1"/>
  <c r="L80"/>
  <c r="J77"/>
  <c r="Q59"/>
  <c r="J70"/>
  <c r="H70"/>
  <c r="L70"/>
  <c r="M69"/>
  <c r="Q69" s="1"/>
  <c r="M73"/>
  <c r="Q73" s="1"/>
  <c r="I80"/>
  <c r="M75"/>
  <c r="Q75" s="1"/>
  <c r="M76"/>
  <c r="Q76" s="1"/>
  <c r="L77"/>
  <c r="J282" i="11"/>
  <c r="B41" i="8"/>
  <c r="B38"/>
  <c r="B37"/>
  <c r="J40"/>
  <c r="I70"/>
  <c r="I100"/>
  <c r="I70" i="36"/>
  <c r="B14" i="8"/>
  <c r="J44" s="1"/>
  <c r="G104" i="36"/>
  <c r="H80"/>
  <c r="K84"/>
  <c r="M68"/>
  <c r="Q68" s="1"/>
  <c r="H77"/>
  <c r="I74"/>
  <c r="H50" i="3"/>
  <c r="O42" s="1"/>
  <c r="I213" i="11"/>
  <c r="I214" s="1"/>
  <c r="M85" i="36"/>
  <c r="J84"/>
  <c r="H84"/>
  <c r="L84"/>
  <c r="M88"/>
  <c r="M86"/>
  <c r="J74"/>
  <c r="L74"/>
  <c r="I62"/>
  <c r="K74"/>
  <c r="B34" i="8"/>
  <c r="P52" i="7"/>
  <c r="Q99" i="36"/>
  <c r="I51" i="7"/>
  <c r="Q64" i="36"/>
  <c r="J96"/>
  <c r="J98" s="1"/>
  <c r="J100" s="1"/>
  <c r="K96"/>
  <c r="K98" s="1"/>
  <c r="K100" s="1"/>
  <c r="L96"/>
  <c r="L98" s="1"/>
  <c r="L100" s="1"/>
  <c r="M97"/>
  <c r="M92"/>
  <c r="Q92" s="1"/>
  <c r="Q61"/>
  <c r="I50" i="7"/>
  <c r="F74" i="8"/>
  <c r="I44"/>
  <c r="Q56" i="36"/>
  <c r="H51" i="7"/>
  <c r="H34" i="8"/>
  <c r="D34"/>
  <c r="C64"/>
  <c r="E64"/>
  <c r="G64"/>
  <c r="I64"/>
  <c r="K64"/>
  <c r="C94"/>
  <c r="E94"/>
  <c r="G94"/>
  <c r="I94"/>
  <c r="K94"/>
  <c r="K34"/>
  <c r="G34"/>
  <c r="C34"/>
  <c r="J34"/>
  <c r="F34"/>
  <c r="B64"/>
  <c r="D64"/>
  <c r="F64"/>
  <c r="H64"/>
  <c r="J64"/>
  <c r="B94"/>
  <c r="D94"/>
  <c r="F94"/>
  <c r="H94"/>
  <c r="J94"/>
  <c r="I34"/>
  <c r="E34"/>
  <c r="N6" i="36"/>
  <c r="P6"/>
  <c r="M95"/>
  <c r="Q95" s="1"/>
  <c r="H96"/>
  <c r="I96"/>
  <c r="I98" s="1"/>
  <c r="I100" s="1"/>
  <c r="M94"/>
  <c r="Q94" s="1"/>
  <c r="Q97"/>
  <c r="Q65" l="1"/>
  <c r="M58"/>
  <c r="M80"/>
  <c r="H50" i="7"/>
  <c r="H49" s="1"/>
  <c r="H53" s="1"/>
  <c r="Q57" i="36"/>
  <c r="Q15"/>
  <c r="Q14"/>
  <c r="Q16"/>
  <c r="L214" i="11"/>
  <c r="P201" s="1"/>
  <c r="C37" i="8"/>
  <c r="K14"/>
  <c r="H14"/>
  <c r="E74"/>
  <c r="F44"/>
  <c r="D14"/>
  <c r="B44"/>
  <c r="B74"/>
  <c r="G14"/>
  <c r="D74"/>
  <c r="Q13" i="36"/>
  <c r="Q12"/>
  <c r="Q10"/>
  <c r="Q11"/>
  <c r="M60"/>
  <c r="H54" i="7"/>
  <c r="M84" i="36"/>
  <c r="Q84" s="1"/>
  <c r="M77"/>
  <c r="F44" i="7" s="1"/>
  <c r="F45"/>
  <c r="M70" i="36"/>
  <c r="Q70" s="1"/>
  <c r="C41" i="8"/>
  <c r="C38"/>
  <c r="D37"/>
  <c r="E37"/>
  <c r="J100"/>
  <c r="J70"/>
  <c r="K40"/>
  <c r="O201" i="11"/>
  <c r="E44" i="8"/>
  <c r="I74"/>
  <c r="C14"/>
  <c r="J74"/>
  <c r="O104" i="36"/>
  <c r="J14" i="8"/>
  <c r="C44"/>
  <c r="K44"/>
  <c r="G74"/>
  <c r="B15"/>
  <c r="K75" s="1"/>
  <c r="E14"/>
  <c r="H44"/>
  <c r="H74"/>
  <c r="Q58" i="36"/>
  <c r="P50" i="7"/>
  <c r="F14" i="8"/>
  <c r="G44"/>
  <c r="C74"/>
  <c r="K74"/>
  <c r="I14"/>
  <c r="D44"/>
  <c r="Q80" i="36"/>
  <c r="O41" i="3"/>
  <c r="O43" s="1"/>
  <c r="H51"/>
  <c r="M74" i="36"/>
  <c r="C36" i="8"/>
  <c r="P140" i="7"/>
  <c r="M62" i="36"/>
  <c r="R13" i="24"/>
  <c r="R11"/>
  <c r="D125" i="15" s="1"/>
  <c r="R12" i="24"/>
  <c r="M96" i="36"/>
  <c r="H98"/>
  <c r="H55" i="7" l="1"/>
  <c r="Q77" i="36"/>
  <c r="D36" i="8"/>
  <c r="P141" i="7"/>
  <c r="L31" i="11"/>
  <c r="B75" i="8"/>
  <c r="B76" s="1"/>
  <c r="B80" s="1"/>
  <c r="G15"/>
  <c r="F75"/>
  <c r="K15"/>
  <c r="F45"/>
  <c r="J15"/>
  <c r="J16" s="1"/>
  <c r="Q60" i="36"/>
  <c r="L32" i="11"/>
  <c r="C45" i="8"/>
  <c r="K45"/>
  <c r="K46" s="1"/>
  <c r="E75"/>
  <c r="I15"/>
  <c r="I16" s="1"/>
  <c r="D45"/>
  <c r="D46" s="1"/>
  <c r="J45"/>
  <c r="J75"/>
  <c r="J76" s="1"/>
  <c r="D15"/>
  <c r="E45"/>
  <c r="E46" s="1"/>
  <c r="B45"/>
  <c r="I75"/>
  <c r="I76" s="1"/>
  <c r="D41"/>
  <c r="D38"/>
  <c r="F37"/>
  <c r="O193" i="11"/>
  <c r="P193"/>
  <c r="K70" i="8"/>
  <c r="K100"/>
  <c r="C15"/>
  <c r="C16" s="1"/>
  <c r="D75"/>
  <c r="D76" s="1"/>
  <c r="H15"/>
  <c r="I45"/>
  <c r="G75"/>
  <c r="G76" s="1"/>
  <c r="J177" i="11"/>
  <c r="L177" s="1"/>
  <c r="E93" i="15"/>
  <c r="B16" i="8"/>
  <c r="E15"/>
  <c r="E16" s="1"/>
  <c r="H45"/>
  <c r="H46" s="1"/>
  <c r="H75"/>
  <c r="H76" s="1"/>
  <c r="F15"/>
  <c r="F16" s="1"/>
  <c r="G45"/>
  <c r="G46" s="1"/>
  <c r="C75"/>
  <c r="C76" s="1"/>
  <c r="F42" i="7"/>
  <c r="Q74" i="36"/>
  <c r="K76" i="8"/>
  <c r="K80" s="1"/>
  <c r="C46"/>
  <c r="J158" i="36"/>
  <c r="J157"/>
  <c r="P71" i="7"/>
  <c r="P69"/>
  <c r="Q62" i="36"/>
  <c r="G125" i="15"/>
  <c r="J159" i="36"/>
  <c r="P67" i="7"/>
  <c r="F115" i="15"/>
  <c r="P160" i="36"/>
  <c r="D38" i="15"/>
  <c r="M98" i="36"/>
  <c r="Q98" s="1"/>
  <c r="H100"/>
  <c r="M100" s="1"/>
  <c r="P49" i="7"/>
  <c r="P51" s="1"/>
  <c r="P53" s="1"/>
  <c r="P58" s="1"/>
  <c r="Q96" i="36"/>
  <c r="J145" i="15"/>
  <c r="J146" s="1"/>
  <c r="J148" s="1"/>
  <c r="O30" i="11" l="1"/>
  <c r="P30"/>
  <c r="P291" s="1"/>
  <c r="P6" s="1"/>
  <c r="E36" i="8"/>
  <c r="G80"/>
  <c r="I20"/>
  <c r="K50"/>
  <c r="D50"/>
  <c r="C50"/>
  <c r="I46"/>
  <c r="I50" s="1"/>
  <c r="E76"/>
  <c r="E80" s="1"/>
  <c r="K16"/>
  <c r="K20" s="1"/>
  <c r="G16"/>
  <c r="G20" s="1"/>
  <c r="E50"/>
  <c r="E20"/>
  <c r="G50"/>
  <c r="F20"/>
  <c r="D80"/>
  <c r="I80"/>
  <c r="J20"/>
  <c r="H16"/>
  <c r="H20" s="1"/>
  <c r="B46"/>
  <c r="B50" s="1"/>
  <c r="D16"/>
  <c r="D20" s="1"/>
  <c r="J46"/>
  <c r="J50" s="1"/>
  <c r="F46"/>
  <c r="F50" s="1"/>
  <c r="F76"/>
  <c r="F80" s="1"/>
  <c r="B20"/>
  <c r="C20"/>
  <c r="H80"/>
  <c r="H50"/>
  <c r="C80"/>
  <c r="J80"/>
  <c r="E41"/>
  <c r="E38"/>
  <c r="G37"/>
  <c r="K5"/>
  <c r="P145" i="15"/>
  <c r="P146" s="1"/>
  <c r="P148" s="1"/>
  <c r="K6" i="8"/>
  <c r="L30" i="11"/>
  <c r="R30"/>
  <c r="O291"/>
  <c r="M145" i="15"/>
  <c r="M146" s="1"/>
  <c r="M148" s="1"/>
  <c r="J152"/>
  <c r="M151"/>
  <c r="B21" i="8"/>
  <c r="Q100" i="36"/>
  <c r="Q53" s="1"/>
  <c r="D39" i="15"/>
  <c r="M125"/>
  <c r="F36" i="8" l="1"/>
  <c r="P147" i="36"/>
  <c r="K7" i="8"/>
  <c r="J149" i="15"/>
  <c r="J161" s="1"/>
  <c r="P292" i="11"/>
  <c r="F41" i="8"/>
  <c r="F38"/>
  <c r="H37"/>
  <c r="O6" i="11"/>
  <c r="O292"/>
  <c r="B81" i="8"/>
  <c r="J81"/>
  <c r="H81"/>
  <c r="F81"/>
  <c r="D81"/>
  <c r="C81"/>
  <c r="K51"/>
  <c r="I51"/>
  <c r="G51"/>
  <c r="E51"/>
  <c r="C51"/>
  <c r="D21"/>
  <c r="F21"/>
  <c r="H21"/>
  <c r="J21"/>
  <c r="K81"/>
  <c r="G81"/>
  <c r="J51"/>
  <c r="F51"/>
  <c r="E21"/>
  <c r="I81"/>
  <c r="E81"/>
  <c r="B51"/>
  <c r="H51"/>
  <c r="D51"/>
  <c r="C21"/>
  <c r="G21"/>
  <c r="I21"/>
  <c r="K21"/>
  <c r="G36" l="1"/>
  <c r="G38"/>
  <c r="P157" i="36"/>
  <c r="N149"/>
  <c r="N148"/>
  <c r="M163" i="15"/>
  <c r="J165"/>
  <c r="J41" i="3" s="1"/>
  <c r="L41" s="1"/>
  <c r="G41" i="8"/>
  <c r="H38"/>
  <c r="I37"/>
  <c r="H36" l="1"/>
  <c r="J6" i="7"/>
  <c r="J40" i="3"/>
  <c r="L40" s="1"/>
  <c r="E92" i="15"/>
  <c r="B19" i="8"/>
  <c r="N157" i="36"/>
  <c r="P165"/>
  <c r="H41" i="8"/>
  <c r="I38"/>
  <c r="J37"/>
  <c r="I36" l="1"/>
  <c r="K49"/>
  <c r="J19"/>
  <c r="D49"/>
  <c r="K19"/>
  <c r="D19"/>
  <c r="E19"/>
  <c r="G49"/>
  <c r="F49"/>
  <c r="B49"/>
  <c r="D79"/>
  <c r="G79"/>
  <c r="J79"/>
  <c r="B79"/>
  <c r="F19"/>
  <c r="E49"/>
  <c r="F79"/>
  <c r="G19"/>
  <c r="I79"/>
  <c r="J49"/>
  <c r="E79"/>
  <c r="H79"/>
  <c r="K79"/>
  <c r="H19"/>
  <c r="I19"/>
  <c r="C49"/>
  <c r="C19"/>
  <c r="I49"/>
  <c r="H49"/>
  <c r="C79"/>
  <c r="B22"/>
  <c r="B31" s="1"/>
  <c r="B35"/>
  <c r="I41"/>
  <c r="J38"/>
  <c r="K37"/>
  <c r="J36" l="1"/>
  <c r="B33"/>
  <c r="B30"/>
  <c r="B32"/>
  <c r="H65"/>
  <c r="H52"/>
  <c r="H61" s="1"/>
  <c r="C35"/>
  <c r="C22"/>
  <c r="C31" s="1"/>
  <c r="I35"/>
  <c r="I22"/>
  <c r="I31" s="1"/>
  <c r="K95"/>
  <c r="K82"/>
  <c r="K91" s="1"/>
  <c r="E95"/>
  <c r="E82"/>
  <c r="E91" s="1"/>
  <c r="I95"/>
  <c r="I82"/>
  <c r="I91" s="1"/>
  <c r="F95"/>
  <c r="F82"/>
  <c r="F91" s="1"/>
  <c r="F35"/>
  <c r="F22"/>
  <c r="F31" s="1"/>
  <c r="J95"/>
  <c r="J82"/>
  <c r="J91" s="1"/>
  <c r="D95"/>
  <c r="D82"/>
  <c r="D91" s="1"/>
  <c r="F65"/>
  <c r="F52"/>
  <c r="F61" s="1"/>
  <c r="E35"/>
  <c r="E22"/>
  <c r="E31" s="1"/>
  <c r="K35"/>
  <c r="K22"/>
  <c r="K31" s="1"/>
  <c r="J35"/>
  <c r="J22"/>
  <c r="J31" s="1"/>
  <c r="C95"/>
  <c r="C82"/>
  <c r="C91" s="1"/>
  <c r="I65"/>
  <c r="I52"/>
  <c r="I61" s="1"/>
  <c r="C65"/>
  <c r="C52"/>
  <c r="C61" s="1"/>
  <c r="H35"/>
  <c r="H22"/>
  <c r="H31" s="1"/>
  <c r="H95"/>
  <c r="H82"/>
  <c r="H91" s="1"/>
  <c r="J65"/>
  <c r="J52"/>
  <c r="J61" s="1"/>
  <c r="G35"/>
  <c r="G22"/>
  <c r="G31" s="1"/>
  <c r="E65"/>
  <c r="E52"/>
  <c r="E61" s="1"/>
  <c r="B95"/>
  <c r="B82"/>
  <c r="B91" s="1"/>
  <c r="G95"/>
  <c r="G82"/>
  <c r="G91" s="1"/>
  <c r="B65"/>
  <c r="B52"/>
  <c r="B61" s="1"/>
  <c r="G65"/>
  <c r="G52"/>
  <c r="G61" s="1"/>
  <c r="D35"/>
  <c r="D22"/>
  <c r="D31" s="1"/>
  <c r="D65"/>
  <c r="D52"/>
  <c r="D61" s="1"/>
  <c r="K65"/>
  <c r="K52"/>
  <c r="K61" s="1"/>
  <c r="J41"/>
  <c r="K38"/>
  <c r="B67"/>
  <c r="K30"/>
  <c r="K36" l="1"/>
  <c r="G62"/>
  <c r="G63"/>
  <c r="K62"/>
  <c r="K63"/>
  <c r="D32"/>
  <c r="D30"/>
  <c r="D33"/>
  <c r="B62"/>
  <c r="B63"/>
  <c r="B93"/>
  <c r="B92"/>
  <c r="G32"/>
  <c r="G30"/>
  <c r="G33"/>
  <c r="H92"/>
  <c r="H93"/>
  <c r="C62"/>
  <c r="C63"/>
  <c r="C92"/>
  <c r="C93"/>
  <c r="J32"/>
  <c r="J33"/>
  <c r="J30"/>
  <c r="E30"/>
  <c r="E33"/>
  <c r="E32"/>
  <c r="D93"/>
  <c r="D92"/>
  <c r="F30"/>
  <c r="F32"/>
  <c r="F33"/>
  <c r="I93"/>
  <c r="I92"/>
  <c r="K92"/>
  <c r="K93"/>
  <c r="C30"/>
  <c r="C33"/>
  <c r="C32"/>
  <c r="D62"/>
  <c r="D63"/>
  <c r="G93"/>
  <c r="G92"/>
  <c r="E62"/>
  <c r="E63"/>
  <c r="J63"/>
  <c r="J62"/>
  <c r="H33"/>
  <c r="H32"/>
  <c r="H30"/>
  <c r="I63"/>
  <c r="I62"/>
  <c r="K33"/>
  <c r="K32"/>
  <c r="F63"/>
  <c r="F62"/>
  <c r="J92"/>
  <c r="J93"/>
  <c r="F93"/>
  <c r="F92"/>
  <c r="E92"/>
  <c r="E93"/>
  <c r="I33"/>
  <c r="I30"/>
  <c r="I32"/>
  <c r="H63"/>
  <c r="H62"/>
  <c r="K41"/>
  <c r="B68"/>
  <c r="C67"/>
  <c r="B60"/>
  <c r="B66" l="1"/>
  <c r="B71"/>
  <c r="C68"/>
  <c r="D67"/>
  <c r="C60"/>
  <c r="C66" l="1"/>
  <c r="C71"/>
  <c r="D68"/>
  <c r="E67"/>
  <c r="D60"/>
  <c r="D66" l="1"/>
  <c r="D71"/>
  <c r="E68"/>
  <c r="F67"/>
  <c r="E60"/>
  <c r="E66" l="1"/>
  <c r="E71"/>
  <c r="F68"/>
  <c r="G67"/>
  <c r="F60"/>
  <c r="F66" l="1"/>
  <c r="F71"/>
  <c r="G68"/>
  <c r="H67"/>
  <c r="G60"/>
  <c r="G66" l="1"/>
  <c r="G71"/>
  <c r="H68"/>
  <c r="I67"/>
  <c r="H60"/>
  <c r="H66" l="1"/>
  <c r="H71"/>
  <c r="I68"/>
  <c r="J67"/>
  <c r="I60"/>
  <c r="I66" l="1"/>
  <c r="I71"/>
  <c r="J68"/>
  <c r="K67"/>
  <c r="J60"/>
  <c r="J66" l="1"/>
  <c r="J71"/>
  <c r="K68"/>
  <c r="B97"/>
  <c r="K60"/>
  <c r="K66" l="1"/>
  <c r="K71"/>
  <c r="B98"/>
  <c r="C97"/>
  <c r="B90"/>
  <c r="B101" l="1"/>
  <c r="C98"/>
  <c r="D97"/>
  <c r="B96"/>
  <c r="C90"/>
  <c r="C96" l="1"/>
  <c r="C101"/>
  <c r="D98"/>
  <c r="E97"/>
  <c r="D90"/>
  <c r="D96" l="1"/>
  <c r="D101"/>
  <c r="E98"/>
  <c r="F97"/>
  <c r="E90"/>
  <c r="E96" l="1"/>
  <c r="E101"/>
  <c r="F98"/>
  <c r="G97"/>
  <c r="F90"/>
  <c r="F96" l="1"/>
  <c r="F101"/>
  <c r="G98"/>
  <c r="H97"/>
  <c r="G90"/>
  <c r="G96" l="1"/>
  <c r="G101"/>
  <c r="H98"/>
  <c r="I97"/>
  <c r="H90"/>
  <c r="H96" l="1"/>
  <c r="H101"/>
  <c r="I98"/>
  <c r="J97"/>
  <c r="I90"/>
  <c r="I96" l="1"/>
  <c r="I101"/>
  <c r="J98"/>
  <c r="K97"/>
  <c r="J90"/>
  <c r="J96" l="1"/>
  <c r="J101"/>
  <c r="K98"/>
  <c r="K90"/>
  <c r="K96" l="1"/>
  <c r="K101"/>
</calcChain>
</file>

<file path=xl/sharedStrings.xml><?xml version="1.0" encoding="utf-8"?>
<sst xmlns="http://schemas.openxmlformats.org/spreadsheetml/2006/main" count="7895" uniqueCount="4126">
  <si>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</si>
  <si>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</si>
  <si>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</si>
  <si>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</si>
  <si>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</si>
  <si>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</si>
  <si>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</si>
  <si>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</si>
  <si>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</si>
  <si>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</si>
  <si>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</si>
  <si>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</si>
  <si>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</si>
  <si>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</si>
  <si>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</si>
  <si>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</si>
  <si>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</si>
  <si>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</si>
  <si>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</si>
  <si>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</si>
  <si>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</si>
  <si>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</si>
  <si>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</si>
  <si>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</si>
  <si>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</si>
  <si>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</si>
  <si>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</si>
  <si>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</si>
  <si>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</si>
  <si>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</si>
  <si>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</si>
  <si>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</si>
  <si>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</si>
  <si>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</si>
  <si>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</si>
  <si>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</si>
  <si>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</si>
  <si>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</si>
  <si>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</si>
  <si>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</si>
  <si>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</si>
  <si>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</si>
  <si>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</si>
  <si>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</si>
  <si>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</si>
  <si>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</si>
  <si>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</si>
  <si>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</si>
  <si>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</si>
  <si>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</si>
  <si>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</si>
  <si>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</si>
  <si>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</si>
  <si>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</si>
  <si>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</si>
  <si>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</si>
  <si>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</si>
  <si>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</si>
  <si>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</si>
  <si>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</si>
  <si>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</si>
  <si>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</si>
  <si>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</si>
  <si>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</si>
  <si>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</si>
  <si>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</si>
  <si>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</si>
  <si>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</si>
  <si>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</si>
  <si>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</si>
  <si>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</si>
  <si>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</si>
  <si>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</si>
  <si>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</si>
  <si>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</si>
  <si>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</si>
  <si>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</si>
  <si>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</si>
  <si>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</si>
  <si>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</si>
  <si>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</si>
  <si>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</si>
  <si>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</si>
  <si>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</si>
  <si>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</si>
  <si>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</si>
  <si>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</si>
  <si>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</si>
  <si>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</si>
  <si>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</si>
  <si>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</si>
  <si>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</si>
  <si>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</si>
  <si>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</si>
  <si>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</si>
  <si>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</si>
  <si>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</si>
  <si>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</si>
  <si>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</si>
  <si>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</si>
  <si>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</si>
  <si>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</si>
  <si>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</si>
  <si>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</si>
  <si>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</si>
  <si>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</si>
  <si>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</si>
  <si>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</si>
  <si>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</si>
  <si>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</si>
  <si>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</si>
  <si>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</si>
  <si>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</si>
  <si>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</si>
  <si>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</si>
  <si>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</si>
  <si>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</si>
  <si>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</si>
  <si>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</si>
  <si>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</si>
  <si>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</si>
  <si>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</si>
  <si>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</si>
  <si>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</si>
  <si>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</si>
  <si>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</si>
  <si>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</si>
  <si>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</si>
  <si>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</si>
  <si>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</si>
  <si>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</si>
  <si>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</si>
  <si>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</si>
  <si>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</si>
  <si>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</si>
  <si>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</si>
  <si>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</si>
  <si>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</si>
  <si>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</si>
  <si>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</si>
  <si>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</si>
  <si>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</si>
  <si>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</si>
  <si>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</si>
  <si>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</si>
  <si>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</si>
  <si>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</si>
  <si>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</si>
  <si>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</si>
  <si>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</si>
  <si>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</si>
  <si>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</si>
  <si>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</si>
  <si>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</si>
  <si>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</si>
  <si>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</si>
  <si>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</si>
  <si>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</si>
  <si>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</si>
  <si>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</si>
  <si>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</si>
  <si>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</si>
  <si>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</si>
  <si>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</si>
  <si>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</si>
  <si>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</si>
  <si>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</si>
  <si>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</si>
  <si>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</si>
  <si>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</si>
  <si>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</si>
  <si>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</si>
  <si>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</si>
  <si>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</si>
  <si>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</si>
  <si>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</si>
  <si>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</si>
  <si>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</si>
  <si>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</si>
  <si>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</si>
  <si>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</si>
  <si>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</si>
  <si>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</si>
  <si>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</si>
  <si>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</si>
  <si>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</si>
  <si>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</si>
  <si>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</si>
  <si>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</si>
  <si>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</si>
  <si>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</si>
  <si>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</si>
  <si>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</si>
  <si>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</si>
  <si>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</si>
  <si>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</si>
  <si>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</si>
  <si>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</si>
  <si>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</si>
  <si>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</si>
  <si>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</si>
  <si>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</si>
  <si>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</si>
  <si>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</si>
  <si>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</si>
  <si>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</si>
  <si>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</si>
  <si>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</si>
  <si>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</si>
  <si>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</si>
  <si>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</si>
  <si>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</si>
  <si>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</si>
  <si>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</si>
  <si>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</si>
  <si>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</si>
  <si>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</si>
  <si>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</si>
  <si>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</si>
  <si>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</si>
  <si>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</si>
  <si>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</si>
  <si>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</si>
  <si>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</si>
  <si>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</si>
  <si>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</si>
  <si>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</si>
  <si>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</si>
  <si>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</si>
  <si>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</si>
  <si>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</si>
  <si>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</si>
  <si>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</si>
  <si>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</si>
  <si>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</si>
  <si>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</si>
  <si>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</si>
  <si>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</si>
  <si>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</si>
  <si>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</si>
  <si>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</si>
  <si>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</si>
  <si>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</si>
  <si>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</si>
  <si>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</si>
  <si>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</si>
  <si>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</si>
  <si>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</si>
  <si>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</si>
  <si>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</si>
  <si>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</si>
  <si>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</si>
  <si>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</si>
  <si>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</si>
  <si>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</si>
  <si>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</si>
  <si>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</si>
  <si>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</si>
  <si>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</si>
  <si>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</si>
  <si>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</si>
  <si>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</si>
  <si>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</si>
  <si>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</si>
  <si>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</si>
  <si>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</si>
  <si>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</si>
  <si>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</si>
  <si>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</si>
  <si>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</si>
  <si>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</si>
  <si>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</si>
  <si>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</si>
  <si>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</si>
  <si>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</si>
  <si>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</si>
  <si>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</si>
  <si>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</si>
  <si>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</si>
  <si>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</si>
  <si>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</si>
  <si>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</si>
  <si>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</si>
  <si>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</si>
  <si>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</si>
  <si>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</si>
  <si>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</si>
  <si>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</si>
  <si>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</si>
  <si>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</si>
  <si>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</si>
  <si>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</si>
  <si>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</si>
  <si>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</si>
  <si>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</si>
  <si>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</si>
  <si>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</si>
  <si>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</si>
  <si>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</si>
  <si>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</si>
  <si>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</si>
  <si>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</si>
  <si>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</si>
  <si>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</si>
  <si>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</si>
  <si>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</si>
  <si>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</si>
  <si>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</si>
  <si>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</si>
  <si>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</si>
  <si>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</si>
  <si>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</si>
  <si>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</si>
  <si>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</si>
  <si>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</si>
  <si>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</si>
  <si>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</si>
  <si>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</si>
  <si>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</si>
  <si>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</si>
  <si>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</si>
  <si>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</si>
  <si>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</si>
  <si>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</si>
  <si>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</si>
  <si>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</si>
  <si>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</si>
  <si>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</si>
  <si>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</si>
  <si>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</si>
  <si>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</si>
  <si>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</si>
  <si>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</si>
  <si>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</si>
  <si>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</si>
  <si>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</si>
  <si>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</si>
  <si>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</si>
  <si>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</si>
  <si>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</si>
  <si>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</si>
  <si>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</si>
  <si>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</si>
  <si>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</si>
  <si>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</si>
  <si>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</si>
  <si>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</si>
  <si>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</si>
  <si>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</si>
  <si>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</si>
  <si>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</si>
  <si>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</si>
  <si>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</si>
  <si>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</si>
  <si>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</si>
  <si>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</si>
  <si>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</si>
  <si>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</si>
  <si>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</si>
  <si>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</si>
  <si>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</si>
  <si>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</si>
  <si>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</si>
  <si>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</si>
  <si>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</si>
  <si>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</si>
  <si>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</si>
  <si>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</si>
  <si>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</si>
  <si>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</si>
  <si>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</si>
  <si>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</si>
  <si>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</si>
  <si>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</si>
  <si>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</si>
  <si>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</si>
  <si>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</si>
  <si>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</si>
  <si>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</si>
  <si>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</si>
  <si>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</si>
  <si>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</si>
  <si>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</si>
  <si>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</si>
  <si>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</si>
  <si>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</si>
  <si>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</si>
  <si>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</si>
  <si>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</si>
  <si>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</si>
  <si>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</si>
  <si>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</si>
  <si>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</si>
  <si>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</si>
  <si>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</si>
  <si>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</si>
  <si>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</si>
  <si>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</si>
  <si>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</si>
  <si>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</si>
  <si>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</si>
  <si>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</si>
  <si>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</si>
  <si>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</si>
  <si>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</si>
  <si>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</si>
  <si>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</si>
  <si>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</si>
  <si>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</si>
  <si>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</si>
  <si>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</si>
  <si>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</si>
  <si>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</si>
  <si>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</si>
  <si>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</si>
  <si>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</si>
  <si>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</si>
  <si>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</si>
  <si>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</si>
  <si>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</si>
  <si>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</si>
  <si>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</si>
  <si>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</si>
  <si>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</si>
  <si>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</si>
  <si>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</si>
  <si>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</si>
  <si>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</si>
  <si>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</si>
  <si>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</si>
  <si>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</si>
  <si>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</si>
  <si>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</si>
  <si>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</si>
  <si>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</si>
  <si>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</si>
  <si>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</si>
  <si>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</si>
  <si>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</si>
  <si>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</si>
  <si>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</si>
  <si>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</si>
  <si>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</si>
  <si>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</si>
  <si>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</si>
  <si>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</si>
  <si>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</si>
  <si>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</si>
  <si>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</si>
  <si>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</si>
  <si>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</si>
  <si>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</si>
  <si>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</si>
  <si>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</si>
  <si>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</si>
  <si>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</si>
  <si>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</si>
  <si>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</si>
  <si>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</si>
  <si>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</si>
  <si>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</si>
  <si>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</si>
  <si>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</si>
  <si>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</si>
  <si>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</si>
  <si>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</si>
  <si>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</si>
  <si>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</si>
  <si>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</si>
  <si>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</si>
  <si>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</si>
  <si>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</si>
  <si>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</si>
  <si>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</si>
  <si>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</si>
  <si>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</si>
  <si>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</si>
  <si>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</si>
  <si>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</si>
  <si>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</si>
  <si>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</si>
  <si>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</si>
  <si>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</si>
  <si>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</si>
  <si>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</si>
  <si>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</si>
  <si>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</si>
  <si>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</si>
  <si>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</si>
  <si>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</si>
  <si>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</si>
  <si>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</si>
  <si>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</si>
  <si>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</si>
  <si>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</si>
  <si>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</si>
  <si>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</si>
  <si>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</si>
  <si>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</si>
  <si>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</si>
  <si>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</si>
  <si>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</si>
  <si>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</si>
  <si>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</si>
  <si>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</si>
  <si>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</si>
  <si>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</si>
  <si>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</si>
  <si>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</si>
  <si>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</si>
  <si>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</si>
  <si>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</si>
  <si>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</si>
  <si>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</si>
  <si>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</si>
  <si>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</si>
  <si>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</si>
  <si>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</si>
  <si>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</si>
  <si>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</si>
  <si>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</si>
  <si>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</si>
  <si>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</si>
  <si>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</si>
  <si>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</si>
  <si>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</si>
  <si>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</si>
  <si>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</si>
  <si>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</si>
  <si>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</si>
  <si>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</si>
  <si>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</si>
  <si>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</si>
  <si>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</si>
  <si>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</si>
  <si>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</si>
  <si>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</si>
  <si>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</si>
  <si>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</si>
  <si>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</si>
  <si>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</si>
  <si>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</si>
  <si>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</si>
  <si>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</si>
  <si>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</si>
  <si>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</si>
  <si>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</si>
  <si>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</si>
  <si>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</si>
  <si>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</si>
  <si>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</si>
  <si>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</si>
  <si>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</si>
  <si>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</si>
  <si>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</si>
  <si>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</si>
  <si>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</si>
  <si>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</si>
  <si>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</si>
  <si>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</si>
  <si>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</si>
  <si>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</si>
  <si>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</si>
  <si>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</si>
  <si>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</si>
  <si>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</si>
  <si>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</si>
  <si>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</si>
  <si>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</si>
  <si>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</si>
  <si>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</si>
  <si>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</si>
  <si>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</si>
  <si>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</si>
  <si>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</si>
  <si>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</si>
  <si>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</si>
  <si>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</si>
  <si>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</si>
  <si>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</si>
  <si>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</si>
  <si>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</si>
  <si>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</si>
  <si>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</si>
  <si>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</si>
  <si>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</si>
  <si>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</si>
  <si>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</si>
  <si>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</si>
  <si>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</si>
  <si>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</si>
  <si>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</si>
  <si>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</si>
  <si>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</si>
  <si>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</si>
  <si>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</si>
  <si>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</si>
  <si>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</si>
  <si>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</si>
  <si>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</si>
  <si>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</si>
  <si>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</si>
  <si>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</si>
  <si>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</si>
  <si>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</si>
  <si>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</si>
  <si>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</si>
  <si>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</si>
  <si>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</si>
  <si>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</si>
  <si>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</si>
  <si>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</si>
  <si>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</si>
  <si>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</si>
  <si>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</si>
  <si>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</si>
  <si>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</si>
  <si>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</si>
  <si>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</si>
  <si>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</si>
  <si>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</si>
  <si>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</si>
  <si>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</si>
  <si>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</si>
  <si>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</si>
  <si>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</si>
  <si>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</si>
  <si>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</si>
  <si>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</si>
  <si>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</si>
  <si>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</si>
  <si>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</si>
  <si>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</si>
  <si>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</si>
  <si>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</si>
  <si>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</si>
  <si>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</si>
  <si>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</si>
  <si>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</si>
  <si>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</si>
  <si>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</si>
  <si>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</si>
  <si>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</si>
  <si>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</si>
  <si>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</si>
  <si>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</si>
  <si>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</si>
  <si>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</si>
  <si>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</si>
  <si>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</si>
  <si>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</si>
  <si>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</si>
  <si>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</si>
  <si>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</si>
  <si>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</si>
  <si>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</si>
  <si>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</si>
  <si>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</si>
  <si>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</si>
  <si>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</si>
  <si>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</si>
  <si>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</si>
  <si>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</si>
  <si>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</si>
  <si>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</si>
  <si>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</si>
  <si>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</si>
  <si>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</si>
  <si>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</si>
  <si>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</si>
  <si>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</si>
  <si>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</si>
  <si>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</si>
  <si>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</si>
  <si>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</si>
  <si>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</si>
  <si>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</si>
  <si>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</si>
  <si>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</si>
  <si>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</si>
  <si>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</si>
  <si>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</si>
  <si>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</si>
  <si>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</si>
  <si>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</si>
  <si>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</si>
  <si>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</si>
  <si>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</si>
  <si>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</si>
  <si>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</si>
  <si>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</si>
  <si>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</si>
  <si>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</si>
  <si>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</si>
  <si>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</si>
  <si>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</si>
  <si>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</si>
  <si>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</si>
  <si>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</si>
  <si>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</si>
  <si>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</si>
  <si>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</si>
  <si>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</si>
  <si>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</si>
  <si>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</si>
  <si>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</si>
  <si>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</si>
  <si>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</si>
  <si>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</si>
  <si>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</si>
  <si>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</si>
  <si>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</si>
  <si>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</si>
  <si>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</si>
  <si>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</si>
  <si>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</si>
  <si>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</si>
  <si>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</si>
  <si>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</si>
  <si>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</si>
  <si>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</si>
  <si>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</si>
  <si>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</si>
  <si>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</si>
  <si>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</si>
  <si>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</si>
  <si>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</si>
  <si>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</si>
  <si>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</si>
  <si>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</si>
  <si>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</si>
  <si>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</si>
  <si>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</si>
  <si>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</si>
  <si>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</si>
  <si>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</si>
  <si>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</si>
  <si>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</si>
  <si>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</si>
  <si>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</si>
  <si>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</si>
  <si>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</si>
  <si>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</si>
  <si>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</si>
  <si>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</si>
  <si>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</si>
  <si>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</si>
  <si>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</si>
  <si>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</si>
  <si>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</si>
  <si>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</si>
  <si>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</si>
  <si>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</si>
  <si>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</si>
  <si>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</si>
  <si>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</si>
  <si>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</si>
  <si>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</si>
  <si>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</si>
  <si>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</si>
  <si>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</si>
  <si>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</si>
  <si>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</si>
  <si>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</si>
  <si>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</si>
  <si>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</si>
  <si>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</si>
  <si>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</si>
  <si>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</si>
  <si>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</si>
  <si>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</si>
  <si>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</si>
  <si>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</si>
  <si>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</si>
  <si>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</si>
  <si>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</si>
  <si>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</si>
  <si>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</si>
  <si>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</si>
  <si>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</si>
  <si>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</si>
  <si>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</si>
  <si>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</si>
  <si>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</si>
  <si>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</si>
  <si>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</si>
  <si>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</si>
  <si>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</si>
  <si>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</si>
  <si>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</si>
  <si>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</si>
  <si>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</si>
  <si>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</si>
  <si>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</si>
  <si>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</si>
  <si>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</si>
  <si>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</si>
  <si>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</si>
  <si>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</si>
  <si>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</si>
  <si>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</si>
  <si>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</si>
  <si>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</si>
  <si>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</si>
  <si>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</si>
  <si>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</si>
  <si>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</si>
  <si>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</si>
  <si>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</si>
  <si>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</si>
  <si>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</si>
  <si>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</si>
  <si>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</si>
  <si>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</si>
  <si>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</si>
  <si>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</si>
  <si>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</si>
  <si>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</si>
  <si>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</si>
  <si>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</si>
  <si>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</si>
  <si>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</si>
  <si>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</si>
  <si>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</si>
  <si>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</si>
  <si>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</si>
  <si>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</si>
  <si>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</si>
  <si>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</si>
  <si>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</si>
  <si>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</si>
  <si>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</si>
  <si>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</si>
  <si>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</si>
  <si>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</si>
  <si>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</si>
  <si>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</si>
  <si>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</si>
  <si>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</si>
  <si>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</si>
  <si>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</si>
  <si>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</si>
  <si>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</si>
  <si>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</si>
  <si>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</si>
  <si>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</si>
  <si>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</si>
  <si>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</si>
  <si>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</si>
  <si>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</si>
  <si>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</si>
  <si>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</si>
  <si>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</si>
  <si>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</si>
  <si>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</si>
  <si>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</si>
  <si>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</si>
  <si>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</si>
  <si>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</si>
  <si>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</si>
  <si>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</si>
  <si>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</si>
  <si>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</si>
  <si>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</si>
  <si>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</si>
  <si>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</si>
  <si>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</si>
  <si>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</si>
  <si>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</si>
  <si>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</si>
  <si>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</si>
  <si>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</si>
  <si>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</si>
  <si>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</si>
  <si>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</si>
  <si>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</si>
  <si>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</si>
  <si>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</si>
  <si>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</si>
  <si>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</si>
  <si>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</si>
  <si>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</si>
  <si>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</si>
  <si>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</si>
  <si>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</si>
  <si>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</si>
  <si>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</si>
  <si>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</si>
  <si>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</si>
  <si>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</si>
  <si>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</si>
  <si>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</si>
  <si>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</si>
  <si>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</si>
  <si>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</si>
  <si>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</si>
  <si>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</si>
  <si>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</si>
  <si>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</si>
  <si>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</si>
  <si>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</si>
  <si>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</si>
  <si>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</si>
  <si>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</si>
  <si>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</si>
  <si>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</si>
  <si>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</si>
  <si>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</si>
  <si>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</si>
  <si>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</si>
  <si>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</si>
  <si>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</si>
  <si>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</si>
  <si>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</si>
  <si>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</si>
  <si>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</si>
  <si>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</si>
  <si>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</si>
  <si>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</si>
  <si>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</si>
  <si>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</si>
  <si>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</si>
  <si>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</si>
  <si>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</si>
  <si>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</si>
  <si>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</si>
  <si>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</si>
  <si>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</si>
  <si>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</si>
  <si>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</si>
  <si>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</si>
  <si>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</si>
  <si>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</si>
  <si>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</si>
  <si>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</si>
  <si>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</si>
  <si>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</si>
  <si>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</si>
  <si>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</si>
  <si>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</si>
  <si>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</si>
  <si>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</si>
  <si>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</si>
  <si>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</si>
  <si>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</si>
  <si>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</si>
  <si>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</si>
  <si>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</si>
  <si>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</si>
  <si>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</si>
  <si>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</si>
  <si>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</si>
  <si>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</si>
  <si>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</si>
  <si>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</si>
  <si>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</si>
  <si>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</si>
  <si>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</si>
  <si>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</si>
  <si>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</si>
  <si>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</si>
  <si>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</si>
  <si>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</si>
  <si>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</si>
  <si>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</si>
  <si>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</si>
  <si>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</si>
  <si>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</si>
  <si>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</si>
  <si>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</si>
  <si>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</si>
  <si>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</si>
  <si>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</si>
  <si>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</si>
  <si>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</si>
  <si>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</si>
  <si>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</si>
  <si>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</si>
  <si>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</si>
  <si>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</si>
  <si>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</si>
  <si>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</si>
  <si>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</si>
  <si>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</si>
  <si>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</si>
  <si>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</si>
  <si>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</si>
  <si>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</si>
  <si>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</si>
  <si>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</si>
  <si>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</si>
  <si>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</si>
  <si>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</si>
  <si>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</si>
  <si>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</si>
  <si>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</si>
  <si>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</si>
  <si>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</si>
  <si>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</si>
  <si>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</si>
  <si>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</si>
  <si>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</si>
  <si>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</si>
  <si>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</si>
  <si>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</si>
  <si>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</si>
  <si>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</si>
  <si>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</si>
  <si>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</si>
  <si>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</si>
  <si>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</si>
  <si>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</si>
  <si>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</si>
  <si>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</si>
  <si>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</si>
  <si>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</si>
  <si>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</si>
  <si>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</si>
  <si>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</si>
  <si>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</si>
  <si>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</si>
  <si>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</si>
  <si>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</si>
  <si>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</si>
  <si>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</si>
  <si>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</si>
  <si>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</si>
  <si>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</si>
  <si>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</si>
  <si>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</si>
  <si>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</si>
  <si>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</si>
  <si>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</si>
  <si>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</si>
  <si>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</si>
  <si>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</si>
  <si>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</si>
  <si>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</si>
  <si>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</si>
  <si>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</si>
  <si>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</si>
  <si>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</si>
  <si>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</si>
  <si>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</si>
  <si>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</si>
  <si>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</si>
  <si>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</si>
  <si>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</si>
  <si>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</si>
  <si>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</si>
  <si>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</si>
  <si>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</si>
  <si>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</si>
  <si>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</si>
  <si>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</si>
  <si>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</si>
  <si>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</si>
  <si>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</si>
  <si>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</si>
  <si>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</si>
  <si>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</si>
  <si>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</si>
  <si>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</si>
  <si>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</si>
  <si>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</si>
  <si>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</si>
  <si>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</si>
  <si>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</si>
  <si>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</si>
  <si>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</si>
  <si>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</si>
  <si>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</si>
  <si>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</si>
  <si>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</si>
  <si>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</si>
  <si>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</si>
  <si>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</si>
  <si>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</si>
  <si>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</si>
  <si>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</si>
  <si>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</si>
  <si>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</si>
  <si>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</si>
  <si>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</si>
  <si>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</si>
  <si>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</si>
  <si>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</si>
  <si>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</si>
  <si>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</si>
  <si>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</si>
  <si>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</si>
  <si>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</si>
  <si>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</si>
  <si>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</si>
  <si>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</si>
  <si>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</si>
  <si>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</si>
  <si>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</si>
  <si>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</si>
  <si>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</si>
  <si>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</si>
  <si>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</si>
  <si>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</si>
  <si>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</si>
  <si>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</si>
  <si>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</si>
  <si>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</si>
  <si>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</si>
  <si>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</si>
  <si>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</si>
  <si>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</si>
  <si>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</si>
  <si>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</si>
  <si>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</si>
  <si>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</si>
  <si>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</si>
  <si>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</si>
  <si>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</si>
  <si>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</si>
  <si>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</si>
  <si>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</si>
  <si>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</si>
  <si>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</si>
  <si>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</si>
  <si>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</si>
  <si>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</si>
  <si>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</si>
  <si>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</si>
  <si>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</si>
  <si>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</si>
  <si>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</si>
  <si>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</si>
  <si>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</si>
  <si>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</si>
  <si>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</si>
  <si>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</si>
  <si>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</si>
  <si>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</si>
  <si>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</si>
  <si>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</si>
  <si>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</si>
  <si>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</si>
  <si>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</si>
  <si>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</si>
  <si>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</si>
  <si>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</si>
  <si>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</si>
  <si>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</si>
  <si>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</si>
  <si>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</si>
  <si>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</si>
  <si>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</si>
  <si>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</si>
  <si>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</si>
  <si>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</si>
  <si>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</si>
  <si>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</si>
  <si>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</si>
  <si>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</si>
  <si>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</si>
  <si>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</si>
  <si>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</si>
  <si>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</si>
  <si>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</si>
  <si>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</si>
  <si>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</si>
  <si>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</si>
  <si>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</si>
  <si>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</si>
  <si>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</si>
  <si>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</si>
  <si>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</si>
  <si>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</si>
  <si>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</si>
  <si>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</si>
  <si>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</si>
  <si>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</si>
  <si>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</si>
  <si>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</si>
  <si>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</si>
  <si>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</si>
  <si>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</si>
  <si>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</si>
  <si>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</si>
  <si>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</si>
  <si>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</si>
  <si>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</si>
  <si>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</si>
  <si>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</si>
  <si>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</si>
  <si>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</si>
  <si>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</si>
  <si>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</si>
  <si>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</si>
  <si>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</si>
  <si>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</si>
  <si>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</si>
  <si>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</si>
  <si>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</si>
  <si>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</si>
  <si>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</si>
  <si>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</si>
  <si>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</si>
  <si>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</si>
  <si>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</si>
  <si>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</si>
  <si>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</si>
  <si>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</si>
  <si>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</si>
  <si>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</si>
  <si>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</si>
  <si>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</si>
  <si>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</si>
  <si>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</si>
  <si>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</si>
  <si>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</si>
  <si>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</si>
  <si>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</si>
  <si>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</si>
  <si>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</si>
  <si>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</si>
  <si>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</si>
  <si>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</si>
  <si>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</si>
  <si>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</si>
  <si>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</si>
  <si>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</si>
  <si>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</si>
  <si>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</si>
  <si>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</si>
  <si>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</si>
  <si>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</si>
  <si>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</si>
  <si>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</si>
  <si>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</si>
  <si>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</si>
  <si>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</si>
  <si>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</si>
  <si>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</si>
  <si>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</si>
  <si>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</si>
  <si>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</si>
  <si>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</si>
  <si>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</si>
  <si>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</si>
  <si>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</si>
  <si>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</si>
  <si>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</si>
  <si>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</si>
  <si>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</si>
  <si>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</si>
  <si>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</si>
  <si>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</si>
  <si>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</si>
  <si>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</si>
  <si>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</si>
  <si>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</si>
  <si>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</si>
  <si>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</si>
  <si>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</si>
  <si>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</si>
  <si>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</si>
  <si>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</si>
  <si>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</si>
  <si>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</si>
  <si>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</si>
  <si>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</si>
  <si>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</si>
  <si>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</si>
  <si>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</si>
  <si>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</si>
  <si>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</si>
  <si>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</si>
  <si>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</si>
  <si>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</si>
  <si>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</si>
  <si>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</si>
  <si>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</si>
  <si>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</si>
  <si>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</si>
  <si>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</si>
  <si>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</si>
  <si>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</si>
  <si>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</si>
  <si>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</si>
  <si>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</si>
  <si>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</si>
  <si>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</si>
  <si>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</si>
  <si>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</si>
  <si>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</si>
  <si>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</si>
  <si>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</si>
  <si>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</si>
  <si>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</si>
  <si>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</si>
  <si>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</si>
  <si>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</si>
  <si>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</si>
  <si>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</si>
  <si>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</si>
  <si>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</si>
  <si>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</si>
  <si>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</si>
  <si>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</si>
  <si>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</si>
  <si>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</si>
  <si>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</si>
  <si>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</si>
  <si>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</si>
  <si>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</si>
  <si>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</si>
  <si>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</si>
  <si>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</si>
  <si>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</si>
  <si>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</si>
  <si>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</si>
  <si>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</si>
  <si>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</si>
  <si>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</si>
  <si>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</si>
  <si>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</si>
  <si>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</si>
  <si>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</si>
  <si>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</si>
  <si>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</si>
  <si>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</si>
  <si>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</si>
  <si>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</si>
  <si>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</si>
  <si>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</si>
  <si>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</si>
  <si>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</si>
  <si>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</si>
  <si>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</si>
  <si>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</si>
  <si>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</si>
  <si>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</si>
  <si>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</si>
  <si>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</si>
  <si>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</si>
  <si>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</si>
  <si>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</si>
  <si>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</si>
  <si>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</si>
  <si>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</si>
  <si>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</si>
  <si>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</si>
  <si>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</si>
  <si>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</si>
  <si>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</si>
  <si>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</si>
  <si>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</si>
  <si>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</si>
  <si>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</si>
  <si>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</si>
  <si>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</si>
  <si>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</si>
  <si>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</si>
  <si>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</si>
  <si>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</si>
  <si>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</si>
  <si>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</si>
  <si>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</si>
  <si>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</si>
  <si>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</si>
  <si>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</si>
  <si>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</si>
  <si>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</si>
  <si>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</si>
  <si>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</si>
  <si>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</si>
  <si>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</si>
  <si>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</si>
  <si>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</si>
  <si>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</si>
  <si>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</si>
  <si>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</si>
  <si>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</si>
  <si>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</si>
  <si>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</si>
  <si>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</si>
  <si>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</si>
  <si>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</si>
  <si>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</si>
  <si>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</si>
  <si>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</si>
  <si>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</si>
  <si>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</si>
  <si>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</si>
  <si>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</si>
  <si>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</si>
  <si>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</si>
  <si>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</si>
  <si>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</si>
  <si>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</si>
  <si>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</si>
  <si>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</si>
  <si>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</si>
  <si>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</si>
  <si>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</si>
  <si>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</si>
  <si>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</si>
  <si>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</si>
  <si>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</si>
  <si>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</si>
  <si>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</si>
  <si>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</si>
  <si>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</si>
  <si>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</si>
  <si>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</si>
  <si>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</si>
  <si>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</si>
  <si>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</si>
  <si>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</si>
  <si>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</si>
  <si>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</si>
  <si>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</si>
  <si>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</si>
  <si>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</si>
  <si>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</si>
  <si>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</si>
  <si>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</si>
  <si>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</si>
  <si>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</si>
  <si>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</si>
  <si>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</si>
  <si>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</si>
  <si>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</si>
  <si>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</si>
  <si>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</si>
  <si>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</si>
  <si>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</si>
  <si>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</si>
  <si>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</si>
  <si>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</si>
  <si>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</si>
  <si>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</si>
  <si>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</si>
  <si>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</si>
  <si>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</si>
  <si>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</si>
  <si>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</si>
  <si>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</si>
  <si>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</si>
  <si>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</si>
  <si>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</si>
  <si>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</si>
  <si>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</si>
  <si>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</si>
  <si>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</si>
  <si>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</si>
  <si>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</si>
  <si>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</si>
  <si>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</si>
  <si>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</si>
  <si>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</si>
  <si>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</si>
  <si>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</si>
  <si>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</si>
  <si>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</si>
  <si>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</si>
  <si>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</si>
  <si>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</si>
  <si>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</si>
  <si>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</si>
  <si>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</si>
  <si>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</si>
  <si>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</si>
  <si>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</si>
  <si>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</si>
  <si>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</si>
  <si>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</si>
  <si>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</si>
  <si>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</si>
  <si>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</si>
  <si>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</si>
  <si>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</si>
  <si>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</si>
  <si>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</si>
  <si>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</si>
  <si>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</si>
  <si>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</si>
  <si>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</si>
  <si>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</si>
  <si>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</si>
  <si>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</si>
  <si>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</si>
  <si>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</si>
  <si>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</si>
  <si>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</si>
  <si>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</si>
  <si>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</si>
  <si>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</si>
  <si>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</si>
  <si>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</si>
  <si>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</si>
  <si>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</si>
  <si>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</si>
  <si>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</si>
  <si>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</si>
  <si>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</si>
  <si>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</si>
  <si>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</si>
  <si>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</si>
  <si>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</si>
  <si>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</si>
  <si>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</si>
  <si>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</si>
  <si>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</si>
  <si>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</si>
  <si>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</si>
  <si>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</si>
  <si>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</si>
  <si>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</si>
  <si>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</si>
  <si>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</si>
  <si>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</si>
  <si>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</si>
  <si>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</si>
  <si>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</si>
  <si>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</si>
  <si>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</si>
  <si>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</si>
  <si>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</si>
  <si>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</si>
  <si>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</si>
  <si>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</si>
  <si>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</si>
  <si>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</si>
  <si>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</si>
  <si>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</si>
  <si>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</si>
  <si>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</si>
  <si>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</si>
  <si>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</si>
  <si>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</si>
  <si>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</si>
  <si>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</si>
  <si>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</si>
  <si>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</si>
  <si>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</si>
  <si>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</si>
  <si>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</si>
  <si>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</si>
  <si>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</si>
  <si>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</si>
  <si>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</si>
  <si>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</si>
  <si>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</si>
  <si>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</si>
  <si>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</si>
  <si>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</si>
  <si>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</si>
  <si>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</si>
  <si>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</si>
  <si>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</si>
  <si>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</si>
  <si>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</si>
  <si>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</si>
  <si>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</si>
  <si>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</si>
  <si>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</si>
  <si>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</si>
  <si>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</si>
  <si>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</si>
  <si>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</si>
  <si>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</si>
  <si>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</si>
  <si>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</si>
  <si>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</si>
  <si>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</si>
  <si>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</si>
  <si>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</si>
  <si>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</si>
  <si>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</si>
  <si>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</si>
  <si>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</si>
  <si>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</si>
  <si>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</si>
  <si>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</si>
  <si>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</si>
  <si>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</si>
  <si>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</si>
  <si>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</si>
  <si>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</si>
  <si>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</si>
  <si>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</si>
  <si>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</si>
  <si>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</si>
  <si>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</si>
  <si>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</si>
  <si>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</si>
  <si>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</si>
  <si>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</si>
  <si>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</si>
  <si>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</si>
  <si>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</si>
  <si>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</si>
  <si>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</si>
  <si>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</si>
  <si>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</si>
  <si>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</si>
  <si>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</si>
  <si>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</si>
  <si>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</si>
  <si>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</si>
  <si>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</si>
  <si>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</si>
  <si>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</si>
  <si>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</si>
  <si>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</si>
  <si>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</si>
  <si>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</si>
  <si>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</si>
  <si>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</si>
  <si>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</si>
  <si>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</si>
  <si>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</si>
  <si>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</si>
  <si>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</si>
  <si>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</si>
  <si>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</si>
  <si>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</si>
  <si>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</si>
  <si>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</si>
  <si>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</si>
  <si>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</si>
  <si>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</si>
  <si>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</si>
  <si>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</si>
  <si>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</si>
  <si>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</si>
  <si>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</si>
  <si>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</si>
  <si>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</si>
  <si>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</si>
  <si>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</si>
  <si>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</si>
  <si>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</si>
  <si>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</si>
  <si>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</si>
  <si>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</si>
  <si>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</si>
  <si>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</si>
  <si>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</si>
  <si>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</si>
  <si>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</si>
  <si>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</si>
  <si>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</si>
  <si>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</si>
  <si>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</si>
  <si>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</si>
  <si>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</si>
  <si>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</si>
  <si>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</si>
  <si>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</si>
  <si>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</si>
  <si>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</si>
  <si>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</si>
  <si>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</si>
  <si>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</si>
  <si>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</si>
  <si>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</si>
  <si>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</si>
  <si>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</si>
  <si>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</si>
  <si>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</si>
  <si>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</si>
  <si>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</si>
  <si>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</si>
  <si>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</si>
  <si>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</si>
  <si>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</si>
  <si>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</si>
  <si>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</si>
  <si>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</si>
  <si>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</si>
  <si>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</si>
  <si>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</si>
  <si>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</si>
  <si>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</si>
  <si>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</si>
  <si>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</si>
  <si>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</si>
  <si>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</si>
  <si>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</si>
  <si>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</si>
  <si>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</si>
  <si>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</si>
  <si>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</si>
  <si>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</si>
  <si>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</si>
  <si>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</si>
  <si>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</si>
  <si>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</si>
  <si>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</si>
  <si>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</si>
  <si>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</si>
  <si>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</si>
  <si>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</si>
  <si>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</si>
  <si>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</si>
  <si>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</si>
  <si>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</si>
  <si>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</si>
  <si>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</si>
  <si>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</si>
  <si>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</si>
  <si>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</si>
  <si>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</si>
  <si>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</si>
  <si>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</si>
  <si>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</si>
  <si>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</si>
  <si>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</si>
  <si>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</si>
  <si>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</si>
  <si>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</si>
  <si>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</si>
  <si>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</si>
  <si>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</si>
  <si>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</si>
  <si>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</si>
  <si>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</si>
  <si>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</si>
  <si>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</si>
  <si>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</si>
  <si>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</si>
  <si>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</si>
  <si>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</si>
  <si>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</si>
  <si>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</si>
  <si>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</si>
  <si>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</si>
  <si>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</si>
  <si>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</si>
  <si>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</si>
  <si>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</si>
  <si>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</si>
  <si>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</si>
  <si>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</si>
  <si>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</si>
  <si>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</si>
  <si>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</si>
  <si>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</si>
  <si>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</si>
  <si>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</si>
  <si>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</si>
  <si>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</si>
  <si>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</si>
  <si>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</si>
  <si>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</si>
  <si>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</si>
  <si>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</si>
  <si>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</si>
  <si>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</si>
  <si>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</si>
  <si>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</si>
  <si>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</si>
  <si>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</si>
  <si>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</si>
  <si>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</si>
  <si>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</si>
  <si>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</si>
  <si>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</si>
  <si>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</si>
  <si>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</si>
  <si>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</si>
  <si>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</si>
  <si>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</si>
  <si>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</si>
  <si>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</si>
  <si>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</si>
  <si>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</si>
  <si>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</si>
  <si>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</si>
  <si>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</si>
  <si>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</si>
  <si>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</si>
  <si>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</si>
  <si>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</si>
  <si>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</si>
  <si>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</si>
  <si>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</si>
  <si>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</si>
  <si>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</si>
  <si>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</si>
  <si>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</si>
  <si>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</si>
  <si>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</si>
  <si>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</si>
  <si>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</si>
  <si>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</si>
  <si>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</si>
  <si>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</si>
  <si>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</si>
  <si>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</si>
  <si>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</si>
  <si>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</si>
  <si>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</si>
  <si>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</si>
  <si>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</si>
  <si>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</si>
  <si>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</si>
  <si>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</si>
  <si>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</si>
  <si>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</si>
  <si>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</si>
  <si>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</si>
  <si>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</si>
  <si>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</si>
  <si>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</si>
  <si>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</si>
  <si>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</si>
  <si>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</si>
  <si>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</si>
  <si>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</si>
  <si>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</si>
  <si>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</si>
  <si>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</si>
  <si>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</si>
  <si>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</si>
  <si>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</si>
  <si>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</si>
  <si>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</si>
  <si>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</si>
  <si>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</si>
  <si>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</si>
  <si>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</si>
  <si>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</si>
  <si>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</si>
  <si>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</si>
  <si>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</si>
  <si>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</si>
  <si>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</si>
  <si>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</si>
  <si>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</si>
  <si>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</si>
  <si>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</si>
  <si>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</si>
  <si>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</si>
  <si>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</si>
  <si>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</si>
  <si>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</si>
  <si>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</si>
  <si>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</si>
  <si>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</si>
  <si>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</si>
  <si>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</si>
  <si>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</si>
  <si>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</si>
  <si>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</si>
  <si>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</si>
  <si>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</si>
  <si>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</si>
  <si>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</si>
  <si>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</si>
  <si>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</si>
  <si>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</si>
  <si>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</si>
  <si>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</si>
  <si>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</si>
  <si>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</si>
  <si>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</si>
  <si>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</si>
  <si>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</si>
  <si>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</si>
  <si>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</si>
  <si>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</si>
  <si>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</si>
  <si>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</si>
  <si>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</si>
  <si>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</si>
  <si>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</si>
  <si>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</si>
  <si>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</si>
  <si>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</si>
  <si>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</si>
  <si>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</si>
  <si>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</si>
  <si>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</si>
  <si>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</si>
  <si>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</si>
  <si>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</si>
  <si>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</si>
  <si>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</si>
  <si>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</si>
  <si>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</si>
  <si>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</si>
  <si>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</si>
  <si>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</si>
  <si>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</si>
  <si>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</si>
  <si>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</si>
  <si>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</si>
  <si>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</si>
  <si>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</si>
  <si>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</si>
  <si>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</si>
  <si>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</si>
  <si>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</si>
  <si>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</si>
  <si>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</si>
  <si>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</si>
  <si>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</si>
  <si>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</si>
  <si>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</si>
  <si>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</si>
  <si>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</si>
  <si>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</si>
  <si>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</si>
  <si>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</si>
  <si>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</si>
  <si>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</si>
  <si>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</si>
  <si>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</si>
  <si>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</si>
  <si>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</si>
  <si>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</si>
  <si>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</si>
  <si>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</si>
  <si>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</si>
  <si>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</si>
  <si>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</si>
  <si>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</si>
  <si>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</si>
  <si>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</si>
  <si>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</si>
  <si>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</si>
  <si>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</si>
  <si>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</si>
  <si>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</si>
  <si>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</si>
  <si>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</si>
  <si>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</si>
  <si>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</si>
  <si>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</si>
  <si>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</si>
  <si>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</si>
  <si>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</si>
  <si>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</si>
  <si>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</si>
  <si>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</si>
  <si>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</si>
  <si>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</si>
  <si>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</si>
  <si>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</si>
  <si>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</si>
  <si>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</si>
  <si>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</si>
  <si>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</si>
  <si>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</si>
  <si>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</si>
  <si>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</si>
  <si>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</si>
  <si>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</si>
  <si>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</si>
  <si>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</si>
  <si>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</si>
  <si>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</si>
  <si>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</si>
  <si>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</si>
  <si>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</si>
  <si>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</si>
  <si>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</si>
  <si>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</si>
  <si>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</si>
  <si>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</si>
  <si>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</si>
  <si>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</si>
  <si>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</si>
  <si>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</si>
  <si>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</si>
  <si>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</si>
  <si>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</si>
  <si>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</si>
  <si>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</si>
  <si>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</si>
  <si>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</si>
  <si>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</si>
  <si>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</si>
  <si>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</si>
  <si>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</si>
  <si>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</si>
  <si>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</si>
  <si>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</si>
  <si>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</si>
  <si>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</si>
  <si>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</si>
  <si>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</si>
  <si>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</si>
  <si>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</si>
  <si>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</si>
  <si>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</si>
  <si>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</si>
  <si>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</si>
  <si>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</si>
  <si>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</si>
  <si>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</si>
  <si>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</si>
  <si>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</si>
  <si>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</si>
  <si>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</si>
  <si>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</si>
  <si>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</si>
  <si>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</si>
  <si>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</si>
  <si>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</si>
  <si>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</si>
  <si>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</si>
  <si>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</si>
  <si>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</si>
  <si>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</si>
  <si>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</si>
  <si>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</si>
  <si>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</si>
  <si>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</si>
  <si>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</si>
  <si>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</si>
  <si>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</si>
  <si>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</si>
  <si>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</si>
  <si>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</si>
  <si>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</si>
  <si>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</si>
  <si>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</si>
  <si>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</si>
  <si>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</si>
  <si>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</si>
  <si>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</si>
  <si>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</si>
  <si>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</si>
  <si>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</si>
  <si>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</si>
  <si>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</si>
  <si>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</si>
  <si>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</si>
  <si>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</si>
  <si>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</si>
  <si>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</si>
  <si>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</si>
  <si>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</si>
  <si>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</si>
  <si>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</si>
  <si>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</si>
  <si>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</si>
  <si>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</si>
  <si>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</si>
  <si>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</si>
  <si>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</si>
  <si>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</si>
  <si>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</si>
  <si>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</si>
  <si>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</si>
  <si>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</si>
  <si>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</si>
  <si>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</si>
  <si>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</si>
  <si>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</si>
  <si>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</si>
  <si>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</si>
  <si>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</si>
  <si>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</si>
  <si>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</si>
  <si>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</si>
  <si>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</si>
  <si>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</si>
  <si>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</si>
  <si>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</si>
  <si>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</si>
  <si>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</si>
  <si>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</si>
  <si>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</si>
  <si>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</si>
  <si>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</si>
  <si>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</si>
  <si>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</si>
  <si>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</si>
  <si>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</si>
  <si>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</si>
  <si>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</si>
  <si>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</si>
  <si>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</si>
  <si>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</si>
  <si>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</si>
  <si>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</si>
  <si>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</si>
  <si>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</si>
  <si>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</si>
  <si>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</si>
  <si>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</si>
  <si>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</si>
  <si>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</si>
  <si>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</si>
  <si>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</si>
  <si>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</si>
  <si>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</si>
  <si>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</si>
  <si>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</si>
  <si>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</si>
  <si>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</si>
  <si>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</si>
  <si>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</si>
  <si>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</si>
  <si>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</si>
  <si>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</si>
  <si>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</si>
  <si>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</si>
  <si>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</si>
  <si>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</si>
  <si>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</si>
  <si>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</si>
  <si>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</si>
  <si>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</si>
  <si>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</si>
  <si>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</si>
  <si>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</si>
  <si>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</si>
  <si>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</si>
  <si>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</si>
  <si>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</si>
  <si>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</si>
  <si>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</si>
  <si>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</si>
  <si>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</si>
  <si>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</si>
  <si>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</si>
  <si>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</si>
  <si>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</si>
  <si>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</si>
  <si>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</si>
  <si>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</si>
  <si>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</si>
  <si>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</si>
  <si>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</si>
  <si>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</si>
  <si>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</si>
  <si>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</si>
  <si>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</si>
  <si>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</si>
  <si>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</si>
  <si>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</si>
  <si>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</si>
  <si>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</si>
  <si>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</si>
  <si>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</si>
  <si>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</si>
  <si>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</si>
  <si>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</si>
  <si>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</si>
  <si>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</si>
  <si>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</si>
  <si>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</si>
  <si>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</si>
  <si>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</si>
  <si>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</si>
  <si>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</si>
  <si>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</si>
  <si>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</si>
  <si>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</si>
  <si>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</si>
  <si>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</si>
  <si>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</si>
  <si>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</si>
  <si>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</si>
  <si>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</si>
  <si>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</si>
  <si>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</si>
  <si>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</si>
  <si>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</si>
  <si>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</si>
  <si>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</si>
  <si>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</si>
  <si>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</si>
  <si>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</si>
  <si>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</si>
  <si>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</si>
  <si>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</si>
  <si>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</si>
  <si>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</si>
  <si>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</si>
  <si>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</si>
  <si>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</si>
  <si>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</si>
  <si>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</si>
  <si>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</si>
  <si>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</si>
  <si>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</si>
  <si>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</si>
  <si>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</si>
  <si>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</si>
  <si>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</si>
  <si>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</si>
  <si>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</si>
  <si>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</si>
  <si>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</si>
  <si>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</si>
  <si>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</si>
  <si>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</si>
  <si>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</si>
  <si>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</si>
  <si>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</si>
  <si>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</si>
  <si>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</si>
  <si>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</si>
  <si>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</si>
  <si>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</si>
  <si>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</si>
  <si>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</si>
  <si>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</si>
  <si>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</si>
  <si>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</si>
  <si>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</si>
  <si>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</si>
  <si>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</si>
  <si>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</si>
  <si>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</si>
  <si>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</si>
  <si>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</si>
  <si>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</si>
  <si>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</si>
  <si>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</si>
  <si>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</si>
  <si>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</si>
  <si>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</si>
  <si>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</si>
  <si>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</si>
  <si>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</si>
  <si>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</si>
  <si>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</si>
  <si>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</si>
  <si>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</si>
  <si>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</si>
  <si>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</si>
  <si>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</si>
  <si>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</si>
  <si>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</si>
  <si>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</si>
  <si>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</si>
  <si>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</si>
  <si>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</si>
  <si>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</si>
  <si>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</si>
  <si>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</si>
  <si>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</si>
  <si>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</si>
  <si>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</si>
  <si>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</si>
  <si>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</si>
  <si>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</si>
  <si>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</si>
  <si>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</si>
  <si>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</si>
  <si>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</si>
  <si>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</si>
  <si>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</si>
  <si>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</si>
  <si>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</si>
  <si>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</si>
  <si>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</si>
  <si>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</si>
  <si>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</si>
  <si>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</si>
  <si>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</si>
  <si>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</si>
  <si>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</si>
  <si>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</si>
  <si>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</si>
  <si>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</si>
  <si>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</si>
  <si>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</si>
  <si>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</si>
  <si>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</si>
  <si>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</si>
  <si>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</si>
  <si>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</si>
  <si>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</si>
  <si>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</si>
  <si>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</si>
  <si>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</si>
  <si>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</si>
  <si>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</si>
  <si>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</si>
  <si>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</si>
  <si>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</si>
  <si>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</si>
  <si>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</si>
  <si>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</si>
  <si>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</si>
  <si>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</si>
  <si>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</si>
  <si>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</si>
  <si>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</si>
  <si>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</si>
  <si>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</si>
  <si>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</si>
  <si>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</si>
  <si>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</si>
  <si>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</si>
  <si>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</si>
  <si>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</si>
  <si>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</si>
  <si>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</si>
  <si>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</si>
  <si>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</si>
  <si>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</si>
  <si>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</si>
  <si>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</si>
  <si>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</si>
  <si>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</si>
  <si>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</si>
  <si>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</si>
  <si>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</si>
  <si>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</si>
  <si>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</si>
  <si>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</si>
  <si>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</si>
  <si>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</si>
  <si>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</si>
  <si>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</si>
  <si>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</si>
  <si>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</si>
  <si>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</si>
  <si>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</si>
  <si>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</si>
  <si>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</si>
  <si>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</si>
  <si>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</si>
  <si>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</si>
  <si>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</si>
  <si>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</si>
  <si>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</si>
  <si>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</si>
  <si>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</si>
  <si>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</si>
  <si>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</si>
  <si>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</si>
  <si>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</si>
  <si>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</si>
  <si>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</si>
  <si>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</si>
  <si>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</si>
  <si>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</si>
  <si>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</si>
  <si>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</si>
  <si>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</si>
  <si>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</si>
  <si>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</si>
  <si>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</si>
  <si>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</si>
  <si>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</si>
  <si>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</si>
  <si>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</si>
  <si>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</si>
  <si>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</si>
  <si>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</si>
  <si>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</si>
  <si>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</si>
  <si>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</si>
  <si>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</si>
  <si>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</si>
  <si>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</si>
  <si>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</si>
  <si>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</si>
  <si>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</si>
  <si>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</si>
  <si>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</si>
  <si>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</si>
  <si>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</si>
  <si>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</si>
  <si>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</si>
  <si>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</si>
  <si>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</si>
  <si>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</si>
  <si>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</si>
  <si>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</si>
  <si>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</si>
  <si>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</si>
  <si>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</si>
  <si>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</si>
  <si>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</si>
  <si>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</si>
  <si>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</si>
  <si>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</si>
  <si>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</si>
  <si>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</si>
  <si>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</si>
  <si>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</si>
  <si>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</si>
  <si>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</si>
  <si>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</si>
  <si>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</si>
  <si>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</si>
  <si>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</si>
  <si>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</si>
  <si>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</si>
  <si>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</si>
  <si>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</si>
  <si>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</si>
  <si>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</si>
  <si>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</si>
  <si>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</si>
  <si>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</si>
  <si>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</si>
  <si>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</si>
  <si>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</si>
  <si>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</si>
  <si>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</si>
  <si>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</si>
  <si>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</si>
  <si>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</si>
  <si>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</si>
  <si>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</si>
  <si>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</si>
  <si>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</si>
  <si>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</si>
  <si>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</si>
  <si>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</si>
  <si>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</si>
  <si>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</si>
  <si>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</si>
  <si>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</si>
  <si>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</si>
  <si>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</si>
  <si>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</si>
  <si>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</si>
  <si>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</si>
  <si>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</si>
  <si>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</si>
  <si>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</si>
  <si>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</si>
  <si>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</si>
  <si>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</si>
  <si>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</si>
  <si>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</si>
  <si>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</si>
  <si>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</si>
  <si>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</si>
  <si>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</si>
  <si>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</si>
  <si>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</si>
  <si>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</si>
  <si>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</si>
  <si>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</si>
  <si>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</si>
  <si>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</si>
  <si>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</si>
  <si>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</si>
  <si>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</si>
  <si>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</si>
  <si>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</si>
  <si>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</si>
  <si>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</si>
  <si>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</si>
  <si>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</si>
  <si>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</si>
  <si>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</si>
  <si>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</si>
  <si>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</si>
  <si>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</si>
  <si>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</si>
  <si>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</si>
  <si>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</si>
  <si>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</si>
  <si>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</si>
  <si>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</si>
  <si>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</si>
  <si>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</si>
  <si>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</si>
  <si>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</si>
  <si>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</si>
  <si>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</si>
  <si>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</si>
  <si>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</si>
  <si>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</si>
  <si>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</si>
  <si>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</si>
  <si>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</si>
  <si>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</si>
  <si>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</si>
  <si>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</si>
  <si>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</si>
  <si>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</si>
  <si>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</si>
  <si>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</si>
  <si>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</si>
  <si>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</si>
  <si>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</si>
  <si>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</si>
  <si>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</si>
  <si>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</si>
  <si>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</si>
  <si>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</si>
  <si>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</si>
  <si>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</si>
  <si>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</si>
  <si>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</si>
  <si>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</si>
  <si>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</si>
  <si>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</si>
  <si>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</si>
  <si>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</si>
  <si>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</si>
  <si>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</si>
  <si>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</si>
  <si>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</si>
  <si>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</si>
  <si>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</si>
  <si>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</si>
  <si>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</si>
  <si>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</si>
  <si>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</si>
  <si>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</si>
  <si>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</si>
  <si>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</si>
  <si>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</si>
  <si>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</si>
  <si>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</si>
  <si>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</si>
  <si>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</si>
  <si>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</si>
  <si>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</si>
  <si>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</si>
  <si>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</si>
  <si>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</si>
  <si>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</si>
  <si>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</si>
  <si>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</si>
  <si>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</si>
  <si>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</si>
  <si>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</si>
  <si>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</si>
  <si>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</si>
  <si>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</si>
  <si>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</si>
  <si>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</si>
  <si>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</si>
  <si>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</si>
  <si>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</si>
  <si>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</si>
  <si>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</si>
  <si>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</si>
  <si>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</si>
  <si>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</si>
  <si>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</si>
  <si>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</si>
  <si>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</si>
  <si>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</si>
  <si>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</si>
  <si>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</si>
  <si>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</si>
  <si>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</si>
  <si>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</si>
  <si>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</si>
  <si>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</si>
  <si>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</si>
  <si>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</si>
  <si>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</si>
  <si>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</si>
  <si>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</si>
  <si>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</si>
  <si>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</si>
  <si>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</si>
  <si>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</si>
  <si>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</si>
  <si>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</si>
  <si>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</si>
  <si>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</si>
  <si>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</si>
  <si>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</si>
  <si>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</si>
  <si>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</si>
  <si>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</si>
  <si>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</si>
  <si>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</si>
  <si>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</si>
  <si>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</si>
  <si>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</si>
  <si>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</si>
  <si>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</si>
  <si>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</si>
  <si>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</si>
  <si>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</si>
  <si>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</si>
  <si>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</si>
  <si>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</si>
  <si>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</si>
  <si>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</si>
  <si>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</si>
  <si>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</si>
  <si>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</si>
  <si>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</si>
  <si>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</si>
  <si>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</si>
  <si>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</si>
  <si>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</si>
  <si>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</si>
  <si>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</si>
  <si>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</si>
  <si>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</si>
  <si>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</si>
  <si>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</si>
  <si>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</si>
  <si>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</si>
  <si>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</si>
  <si>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</si>
  <si>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</si>
  <si>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</si>
  <si>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</si>
  <si>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</si>
  <si>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</si>
  <si>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</si>
  <si>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</si>
  <si>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</si>
  <si>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</si>
  <si>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</si>
  <si>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</si>
  <si>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</si>
  <si>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</si>
  <si>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</si>
  <si>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</si>
  <si>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</si>
  <si>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</si>
  <si>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</si>
  <si>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</si>
  <si>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</si>
  <si>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</si>
  <si>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</si>
  <si>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</si>
  <si>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</si>
  <si>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</si>
  <si>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</si>
  <si>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</si>
  <si>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</si>
  <si>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</si>
  <si>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</si>
  <si>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</si>
  <si>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</si>
  <si>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</si>
  <si>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</si>
  <si>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</si>
  <si>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</si>
  <si>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</si>
  <si>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</si>
  <si>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</si>
  <si>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</si>
  <si>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</si>
  <si>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</si>
  <si>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</si>
  <si>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</si>
  <si>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</si>
  <si>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</si>
  <si>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</si>
  <si>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</si>
  <si>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</si>
  <si>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</si>
  <si>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</si>
  <si>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</si>
  <si>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</si>
  <si>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</si>
  <si>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</si>
  <si>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</si>
  <si>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</si>
  <si>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</si>
  <si>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</si>
  <si>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</si>
  <si>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</si>
  <si>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</si>
  <si>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</si>
  <si>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</si>
  <si>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</si>
  <si>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</si>
  <si>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</si>
  <si>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</si>
  <si>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</si>
  <si>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</si>
  <si>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</si>
  <si>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</si>
  <si>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</si>
  <si>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</si>
  <si>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</si>
  <si>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</si>
  <si>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</si>
  <si>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</si>
  <si>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</si>
  <si>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</si>
  <si>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</si>
  <si>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</si>
  <si>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</si>
  <si>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</si>
  <si>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</si>
  <si>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</si>
  <si>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</si>
  <si>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</si>
  <si>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</si>
  <si>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</si>
  <si>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</si>
  <si>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</si>
  <si>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</si>
  <si>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</si>
  <si>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</si>
  <si>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</si>
  <si>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</si>
  <si>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</si>
  <si>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</si>
  <si>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</si>
  <si>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</si>
  <si>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</si>
  <si>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</si>
  <si>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</si>
  <si>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</si>
  <si>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</si>
  <si>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</si>
  <si>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</si>
  <si>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</si>
  <si>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</si>
  <si>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</si>
  <si>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</si>
  <si>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</si>
  <si>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</si>
  <si>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</si>
  <si>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</si>
  <si>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</si>
  <si>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</si>
  <si>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</si>
  <si>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</si>
  <si>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</si>
  <si>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</si>
  <si>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</si>
  <si>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</si>
  <si>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</si>
  <si>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</si>
  <si>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</si>
  <si>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</si>
  <si>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</si>
  <si>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</si>
  <si>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</si>
  <si>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</si>
  <si>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</si>
  <si>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</si>
  <si>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</si>
  <si>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</si>
  <si>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</si>
  <si>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</si>
  <si>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</si>
  <si>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</si>
  <si>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</si>
  <si>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</si>
  <si>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</si>
  <si>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</si>
  <si>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</si>
  <si>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</si>
  <si>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</si>
  <si>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</si>
  <si>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</si>
  <si>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</si>
  <si>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</si>
  <si>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</si>
  <si>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</si>
  <si>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</si>
  <si>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</si>
  <si>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</si>
  <si>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</si>
  <si>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</si>
  <si>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</si>
  <si>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</si>
  <si>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</si>
  <si>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</si>
  <si>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</si>
  <si>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</si>
  <si>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</si>
  <si>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</si>
  <si>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</si>
  <si>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</si>
  <si>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</si>
  <si>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</si>
  <si>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</si>
  <si>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</si>
  <si>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</si>
  <si>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</si>
  <si>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</si>
  <si>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</si>
  <si>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</si>
  <si>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</si>
  <si>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</si>
  <si>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</si>
  <si>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</si>
  <si>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</si>
  <si>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</si>
  <si>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</si>
  <si>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</si>
  <si>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</si>
  <si>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</si>
  <si>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</si>
  <si>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</si>
  <si>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</si>
  <si>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</si>
  <si>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</si>
  <si>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</si>
  <si>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</si>
  <si>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</si>
  <si>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</si>
  <si>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</si>
  <si>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</si>
  <si>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</si>
  <si>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</si>
  <si>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</si>
  <si>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</si>
  <si>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</si>
  <si>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</si>
  <si>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</si>
  <si>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</si>
  <si>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</si>
  <si>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</si>
  <si>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</si>
  <si>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</si>
  <si>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</si>
  <si>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</si>
  <si>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</si>
  <si>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</si>
  <si>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</si>
  <si>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</si>
  <si>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</si>
  <si>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</si>
  <si>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</si>
  <si>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</si>
  <si>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</si>
  <si>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</si>
  <si>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</si>
  <si>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</si>
  <si>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</si>
  <si>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</si>
  <si>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</si>
  <si>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</si>
  <si>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</si>
  <si>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</si>
  <si>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</si>
  <si>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</si>
  <si>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</si>
  <si>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</si>
  <si>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</si>
  <si>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</si>
  <si>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</si>
  <si>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</si>
  <si>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</si>
  <si>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</si>
  <si>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</si>
  <si>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</si>
  <si>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</si>
  <si>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</si>
  <si>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</si>
  <si>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</si>
  <si>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</si>
  <si>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</si>
  <si>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</si>
  <si>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</si>
  <si>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</si>
  <si>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</si>
  <si>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</si>
  <si>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</si>
  <si>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</si>
  <si>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</si>
  <si>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</si>
  <si>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</si>
  <si>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</si>
  <si>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</si>
  <si>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</si>
  <si>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</si>
  <si>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</si>
  <si>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</si>
  <si>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</si>
  <si>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</si>
  <si>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</si>
  <si>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</si>
  <si>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</si>
  <si>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</si>
  <si>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</si>
  <si>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</si>
  <si>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</si>
  <si>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</si>
  <si>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</si>
  <si>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</si>
  <si>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</si>
  <si>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</si>
  <si>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</si>
  <si>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</si>
  <si>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</si>
  <si>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</si>
  <si>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</si>
  <si>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</si>
  <si>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</si>
  <si>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</si>
  <si>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</si>
  <si>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</si>
  <si>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</si>
  <si>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</si>
  <si>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</si>
  <si>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</si>
  <si>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</si>
  <si>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</si>
  <si>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</si>
  <si>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</si>
  <si>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</si>
  <si>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</si>
  <si>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</si>
  <si>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</si>
  <si>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</si>
  <si>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</si>
  <si>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</si>
  <si>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</si>
  <si>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</si>
  <si>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</si>
  <si>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</si>
  <si>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</si>
  <si>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</si>
  <si>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</si>
  <si>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</si>
  <si>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</si>
  <si>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</si>
  <si>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</si>
  <si>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</si>
  <si>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</si>
  <si>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</si>
  <si>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</si>
  <si>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</si>
  <si>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</si>
  <si>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</si>
  <si>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</si>
  <si>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</si>
  <si>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</si>
  <si>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</si>
  <si>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</si>
  <si>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</si>
  <si>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</si>
  <si>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</si>
  <si>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</si>
  <si>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</si>
  <si>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</si>
  <si>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</si>
  <si>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</si>
  <si>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</si>
  <si>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</si>
  <si>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</si>
  <si>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</si>
  <si>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</si>
  <si>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</si>
  <si>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</si>
  <si>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</si>
  <si>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</si>
  <si>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</si>
  <si>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</si>
  <si>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</si>
  <si>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</si>
  <si>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</si>
  <si>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</si>
  <si>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</si>
  <si>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</si>
  <si>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</si>
  <si>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</si>
  <si>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</si>
  <si>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</si>
  <si>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</si>
  <si>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</si>
  <si>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</si>
  <si>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</si>
  <si>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</si>
  <si>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</si>
  <si>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</si>
  <si>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</si>
  <si>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</si>
  <si>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</si>
  <si>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</si>
  <si>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</si>
  <si>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</si>
  <si>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</si>
  <si>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</si>
  <si>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</si>
  <si>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</si>
  <si>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</si>
  <si>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</si>
  <si>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</si>
  <si>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</si>
  <si>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</si>
  <si>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</si>
  <si>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</si>
  <si>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</si>
  <si>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</si>
  <si>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</si>
  <si>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</si>
  <si>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</si>
  <si>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</si>
  <si>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</si>
  <si>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</si>
  <si>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</si>
  <si>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</si>
  <si>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</si>
  <si>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</si>
  <si>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</si>
  <si>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</si>
  <si>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</si>
  <si>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</si>
  <si>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</si>
  <si>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</si>
  <si>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</si>
  <si>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</si>
  <si>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</si>
  <si>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</si>
  <si>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</si>
  <si>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</si>
  <si>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</si>
  <si>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</si>
  <si>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</si>
  <si>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</si>
  <si>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</si>
  <si>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</si>
  <si>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</si>
  <si>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</si>
  <si>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</si>
  <si>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</si>
  <si>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</si>
  <si>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</si>
  <si>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</si>
  <si>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</si>
  <si>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</si>
  <si>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</si>
  <si>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</si>
  <si>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</si>
  <si>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</si>
  <si>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</si>
  <si>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</si>
  <si>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</si>
  <si>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</si>
  <si>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</si>
  <si>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</si>
  <si>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</si>
  <si>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</si>
  <si>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</si>
  <si>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</si>
  <si>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</si>
  <si>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</si>
  <si>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</si>
  <si>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</si>
  <si>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</si>
  <si>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</si>
  <si>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</si>
  <si>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</si>
  <si>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</si>
  <si>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</si>
  <si>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</si>
  <si>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</si>
  <si>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</si>
  <si>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</si>
  <si>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</si>
  <si>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</si>
  <si>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</si>
  <si>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</si>
  <si>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</si>
  <si>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</si>
  <si>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</si>
  <si>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</si>
  <si>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</si>
  <si>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</si>
  <si>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</si>
  <si>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</si>
  <si>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</si>
  <si>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</si>
  <si>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</si>
  <si>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</si>
  <si>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</si>
  <si>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</si>
  <si>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</si>
  <si>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</si>
  <si>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</si>
  <si>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</si>
  <si>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</si>
  <si>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</si>
  <si>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</si>
  <si>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</si>
  <si>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</si>
  <si>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</si>
  <si>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</si>
  <si>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</si>
  <si>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</si>
  <si>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</si>
  <si>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</si>
  <si>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</si>
  <si>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</si>
  <si>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</si>
  <si>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</si>
  <si>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</si>
  <si>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</si>
  <si>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</si>
  <si>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</si>
  <si>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</si>
  <si>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</si>
  <si>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</si>
  <si>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</si>
  <si>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</si>
  <si>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</si>
  <si>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</si>
  <si>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</si>
  <si>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</si>
  <si>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</si>
  <si>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</si>
  <si>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</si>
  <si>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</si>
  <si>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</si>
  <si>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</si>
  <si>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</si>
  <si>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</si>
  <si>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</si>
  <si>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</si>
  <si>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</si>
  <si>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</si>
  <si>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</si>
  <si>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</si>
  <si>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</si>
  <si>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</si>
  <si>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</si>
  <si>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</si>
  <si>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</si>
  <si>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</si>
  <si>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</si>
  <si>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</si>
  <si>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</si>
  <si>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</si>
  <si>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</si>
  <si>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</si>
  <si>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</si>
  <si>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</si>
  <si>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</si>
  <si>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</si>
  <si>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</si>
  <si>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</si>
  <si>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</si>
  <si>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</si>
  <si>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</si>
  <si>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</si>
  <si>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</si>
  <si>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</si>
  <si>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</si>
  <si>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</si>
  <si>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</si>
  <si>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</si>
  <si>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</si>
  <si>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</si>
  <si>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</si>
  <si>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</si>
  <si>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</si>
  <si>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</si>
  <si>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</si>
  <si>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</si>
  <si>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</si>
  <si>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</si>
  <si>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</si>
  <si>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</si>
  <si>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</si>
  <si>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</si>
  <si>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</si>
  <si>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</si>
  <si>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</si>
  <si>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</si>
  <si>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</si>
  <si>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</si>
  <si>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</si>
  <si>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</si>
  <si>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</si>
  <si>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</si>
  <si>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</si>
  <si>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</si>
  <si>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</si>
  <si>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</si>
  <si>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</si>
  <si>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</si>
  <si>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</si>
  <si>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</si>
  <si>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</si>
  <si>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</si>
  <si>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</si>
  <si>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</si>
  <si>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</si>
  <si>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</si>
  <si>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</si>
  <si>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</si>
  <si>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</si>
  <si>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</si>
  <si>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</si>
  <si>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</si>
  <si>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</si>
  <si>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</si>
  <si>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</si>
  <si>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</si>
  <si>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</si>
  <si>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</si>
  <si>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</si>
  <si>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</si>
  <si>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</si>
  <si>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</si>
  <si>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</si>
  <si>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</si>
  <si>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</si>
  <si>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</si>
  <si>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</si>
  <si>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</si>
  <si>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</si>
  <si>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</si>
  <si>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</si>
  <si>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</si>
  <si>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</si>
  <si>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</si>
  <si>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</si>
  <si>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</si>
  <si>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</si>
  <si>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</si>
  <si>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</si>
  <si>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</si>
  <si>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</si>
  <si>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</si>
  <si>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</si>
  <si>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</si>
  <si>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</si>
  <si>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</si>
  <si>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</si>
  <si>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</si>
  <si>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</si>
  <si>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</si>
  <si>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</si>
  <si>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</si>
  <si>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</si>
  <si>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</si>
  <si>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</si>
  <si>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</si>
  <si>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</si>
  <si>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</si>
  <si>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</si>
  <si>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</si>
  <si>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</si>
  <si>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</si>
  <si>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</si>
  <si>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</si>
  <si>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</si>
  <si>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</si>
  <si>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</si>
  <si>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</si>
  <si>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</si>
  <si>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</si>
  <si>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</si>
  <si>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</si>
  <si>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</si>
  <si>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</si>
  <si>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</si>
  <si>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</si>
  <si>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</si>
  <si>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</si>
  <si>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</si>
  <si>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</si>
  <si>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</si>
  <si>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</si>
  <si>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</si>
  <si>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</si>
  <si>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</si>
  <si>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</si>
  <si>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</si>
  <si>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</si>
  <si>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</si>
  <si>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</si>
  <si>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</si>
  <si>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</si>
  <si>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</si>
  <si>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</si>
  <si>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</si>
  <si>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</si>
  <si>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</si>
  <si>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</si>
  <si>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</si>
  <si>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</si>
  <si>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</si>
  <si>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</si>
  <si>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</si>
  <si>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</si>
  <si>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</si>
  <si>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</si>
  <si>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</si>
  <si>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</si>
  <si>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</si>
  <si>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</si>
  <si>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</si>
  <si>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</si>
  <si>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</si>
  <si>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</si>
  <si>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</si>
  <si>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</si>
  <si>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</si>
  <si>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</si>
  <si>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</si>
  <si>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</si>
  <si>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</si>
  <si>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</si>
  <si>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</si>
  <si>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</si>
  <si>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</si>
  <si>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</si>
  <si>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</si>
  <si>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</si>
  <si>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</si>
  <si>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</si>
  <si>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</si>
  <si>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</si>
  <si>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</si>
  <si>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</si>
  <si>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</si>
  <si>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</si>
  <si>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</si>
  <si>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</si>
  <si>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</si>
  <si>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</si>
  <si>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</si>
  <si>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</si>
  <si>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</si>
  <si>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</si>
  <si>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</si>
  <si>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</si>
  <si>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</si>
  <si>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</si>
  <si>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</si>
  <si>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</si>
  <si>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</si>
  <si>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</si>
  <si>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</si>
  <si>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</si>
  <si>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</si>
  <si>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</si>
  <si>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</si>
  <si>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</si>
  <si>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</si>
  <si>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</si>
  <si>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</si>
  <si>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</si>
  <si>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</si>
  <si>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</si>
  <si>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</si>
  <si>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</si>
  <si>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</si>
  <si>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</si>
  <si>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</si>
  <si>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</si>
  <si>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</si>
  <si>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</si>
  <si>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</si>
  <si>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</si>
  <si>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</si>
  <si>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</si>
  <si>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</si>
  <si>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</si>
  <si>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</si>
  <si>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</si>
  <si>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</si>
  <si>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</si>
  <si>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</si>
  <si>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</si>
  <si>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</si>
  <si>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</si>
  <si>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</si>
  <si>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</si>
  <si>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</si>
  <si>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</si>
  <si>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</si>
  <si>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</si>
  <si>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</si>
  <si>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</si>
  <si>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</si>
  <si>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</si>
  <si>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</si>
  <si>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</si>
  <si>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</si>
  <si>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</si>
  <si>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</si>
  <si>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</si>
  <si>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</si>
  <si>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</si>
  <si>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</si>
  <si>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</si>
  <si>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</si>
  <si>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</si>
  <si>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</si>
  <si>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</si>
  <si>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</si>
  <si>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</si>
  <si>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</si>
  <si>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</si>
  <si>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</si>
  <si>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</si>
  <si>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</si>
  <si>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</si>
  <si>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</si>
  <si>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</si>
  <si>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</si>
  <si>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</si>
  <si>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</si>
  <si>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</si>
  <si>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</si>
  <si>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</si>
  <si>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</si>
  <si>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</si>
  <si>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</si>
  <si>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</si>
  <si>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</si>
  <si>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</si>
  <si>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</si>
  <si>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</si>
  <si>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</si>
  <si>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</si>
  <si>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</si>
  <si>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</si>
  <si>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</si>
  <si>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</si>
  <si>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</si>
  <si>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</si>
  <si>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</si>
  <si>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</si>
  <si>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</si>
  <si>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</si>
  <si>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</si>
  <si>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</si>
  <si>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</si>
  <si>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</si>
  <si>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</si>
  <si>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</si>
  <si>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</si>
  <si>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</si>
  <si>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</si>
  <si>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</si>
  <si>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</si>
  <si>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</si>
  <si>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</si>
  <si>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</si>
  <si>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</si>
  <si>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</si>
  <si>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</si>
  <si>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</si>
  <si>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</si>
  <si>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</si>
  <si>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</si>
  <si>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</si>
  <si>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</si>
  <si>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</si>
  <si>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</si>
  <si>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</si>
  <si>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</si>
  <si>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</si>
  <si>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</si>
  <si>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</si>
  <si>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</si>
  <si>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</si>
  <si>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</si>
  <si>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</si>
  <si>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</si>
  <si>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</si>
  <si>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</si>
  <si>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</si>
  <si>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</si>
  <si>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</si>
  <si>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</si>
  <si>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</si>
  <si>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</si>
  <si>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</si>
  <si>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</si>
  <si>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</si>
  <si>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</si>
  <si>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</si>
  <si>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</si>
  <si>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</si>
  <si>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</si>
  <si>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</si>
  <si>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</si>
  <si>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</si>
  <si>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</si>
  <si>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</si>
  <si>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</si>
  <si>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</si>
  <si>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</si>
  <si>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</si>
  <si>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</si>
  <si>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</si>
  <si>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</si>
  <si>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</si>
  <si>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</si>
  <si>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</si>
  <si>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</si>
  <si>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</si>
  <si>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</si>
  <si>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</si>
  <si>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</si>
  <si>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</si>
  <si>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</si>
  <si>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</si>
  <si>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</si>
  <si>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</si>
  <si>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</si>
  <si>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</si>
  <si>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</si>
  <si>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</si>
  <si>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</si>
  <si>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</si>
  <si>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</si>
  <si>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</si>
  <si>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</si>
  <si>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</si>
  <si>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</si>
  <si>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</si>
  <si>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</si>
  <si>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</si>
  <si>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</si>
  <si>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</si>
  <si>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</si>
  <si>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</si>
  <si>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</si>
  <si>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</si>
  <si>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</si>
  <si>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</si>
  <si>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</si>
  <si>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</si>
  <si>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</si>
  <si>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</si>
  <si>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</si>
  <si>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</si>
  <si>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</si>
  <si>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</si>
  <si>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</si>
  <si>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</si>
  <si>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</si>
  <si>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</si>
  <si>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</si>
  <si>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</si>
  <si>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</si>
  <si>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</si>
  <si>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</si>
  <si>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</si>
  <si>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</si>
  <si>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</si>
  <si>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</si>
  <si>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</si>
  <si>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</si>
  <si>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</si>
  <si>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</si>
  <si>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</si>
  <si>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</si>
  <si>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</si>
  <si>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</si>
  <si>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</si>
  <si>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</si>
  <si>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</si>
  <si>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</si>
  <si>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</si>
  <si>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</si>
  <si>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</si>
  <si>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</si>
  <si>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</si>
  <si>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</si>
  <si>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</si>
  <si>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</si>
  <si>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</si>
  <si>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</si>
  <si>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</si>
  <si>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</si>
  <si>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</si>
  <si>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</si>
  <si>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</si>
  <si>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</si>
  <si>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</si>
  <si>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</si>
  <si>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</si>
  <si>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</si>
  <si>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</si>
  <si>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</si>
  <si>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</si>
  <si>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</si>
  <si>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</si>
  <si>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</si>
  <si>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</si>
  <si>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</si>
  <si>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</si>
  <si>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</si>
  <si>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</si>
  <si>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</si>
  <si>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</si>
  <si>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</si>
  <si>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</si>
  <si>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</si>
  <si>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</si>
  <si>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</si>
  <si>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</si>
  <si>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</si>
  <si>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</si>
  <si>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</si>
  <si>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</si>
  <si>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</si>
  <si>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</si>
  <si>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</si>
  <si>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</si>
  <si>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</si>
  <si>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</si>
  <si>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</si>
  <si>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</si>
  <si>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</si>
  <si>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</si>
  <si>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</si>
  <si>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</si>
  <si>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</si>
  <si>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</si>
  <si>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</si>
  <si>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</si>
  <si>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</si>
  <si>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</si>
  <si>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</si>
  <si>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</si>
  <si>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</si>
  <si>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</si>
  <si>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</si>
  <si>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</si>
  <si>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</si>
  <si>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</si>
  <si>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</si>
  <si>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</si>
  <si>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</si>
  <si>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</si>
  <si>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</si>
  <si>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</si>
  <si>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</si>
  <si>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</si>
  <si>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</si>
  <si>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</si>
  <si>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</si>
  <si>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</si>
  <si>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</si>
  <si>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</si>
  <si>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</si>
  <si>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</si>
  <si>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</si>
  <si>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</si>
  <si>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</si>
  <si>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</si>
  <si>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</si>
  <si>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</si>
  <si>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</si>
  <si>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</si>
  <si>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</si>
  <si>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</si>
  <si>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</si>
  <si>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</si>
  <si>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</si>
  <si>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</si>
  <si>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</si>
  <si>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</si>
  <si>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</si>
  <si>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</si>
  <si>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</si>
  <si>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</si>
  <si>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</si>
  <si>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</si>
  <si>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</si>
  <si>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</si>
  <si>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</si>
  <si>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</si>
  <si>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</si>
  <si>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</si>
  <si>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</si>
  <si>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</si>
  <si>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</si>
  <si>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</si>
  <si>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</si>
  <si>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</si>
  <si>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</si>
  <si>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</si>
  <si>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</si>
  <si>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</si>
  <si>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</si>
  <si>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</si>
  <si>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</si>
  <si>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</si>
  <si>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</si>
  <si>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</si>
  <si>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</si>
  <si>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</si>
  <si>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</si>
  <si>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</si>
  <si>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</si>
  <si>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</si>
  <si>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</si>
  <si>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</si>
  <si>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</si>
  <si>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</si>
  <si>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</si>
  <si>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</si>
  <si>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</si>
  <si>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</si>
  <si>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</si>
  <si>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</si>
  <si>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</si>
  <si>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</si>
  <si>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</si>
  <si>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</si>
  <si>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</si>
  <si>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</si>
  <si>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</si>
  <si>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</si>
  <si>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</si>
  <si>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</si>
  <si>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</si>
  <si>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</si>
  <si>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</si>
  <si>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</si>
  <si>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</si>
  <si>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</si>
  <si>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</si>
  <si>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</si>
  <si>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</si>
  <si>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</si>
  <si>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</si>
  <si>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</si>
  <si>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</si>
  <si>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</si>
  <si>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</si>
  <si>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</si>
  <si>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</si>
  <si>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</si>
  <si>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</si>
  <si>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</si>
  <si>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</si>
  <si>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</si>
  <si>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</si>
  <si>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</si>
  <si>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</si>
  <si>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</si>
  <si>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</si>
  <si>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</si>
  <si>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</si>
  <si>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</si>
  <si>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</si>
  <si>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</si>
  <si>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</si>
  <si>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</si>
  <si>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</si>
  <si>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</si>
  <si>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</si>
  <si>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</si>
  <si>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</si>
  <si>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</si>
  <si>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</si>
  <si>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</si>
  <si>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</si>
  <si>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</si>
  <si>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</si>
  <si>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</si>
  <si>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</si>
  <si>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</si>
  <si>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</si>
  <si>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</si>
  <si>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</si>
  <si>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</si>
  <si>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</si>
  <si>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</si>
  <si>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</si>
  <si>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</si>
  <si>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</si>
  <si>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</si>
  <si>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</si>
  <si>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</si>
  <si>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</si>
  <si>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</si>
  <si>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</si>
  <si>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</si>
  <si>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</si>
  <si>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</si>
  <si>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</si>
  <si>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</si>
  <si>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</si>
  <si>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</si>
  <si>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</si>
  <si>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</si>
  <si>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</si>
  <si>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</si>
  <si>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</si>
  <si>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</si>
  <si>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</si>
  <si>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</si>
  <si>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</si>
  <si>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</si>
  <si>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</si>
  <si>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</si>
  <si>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</si>
  <si>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</si>
  <si>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</si>
  <si>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</si>
  <si>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</si>
  <si>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</si>
  <si>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</si>
  <si>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</si>
  <si>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</si>
  <si>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</si>
  <si>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</si>
  <si>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</si>
  <si>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</si>
  <si>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</si>
  <si>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</si>
  <si>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</si>
  <si>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</si>
  <si>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</si>
  <si>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</si>
  <si>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</si>
  <si>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</si>
  <si>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</si>
  <si>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</si>
  <si>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</si>
  <si>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</si>
  <si>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</si>
  <si>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</si>
  <si>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</si>
  <si>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</si>
  <si>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</si>
  <si>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</si>
  <si>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</si>
  <si>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</si>
  <si>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</si>
  <si>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</si>
  <si>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</si>
  <si>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</si>
  <si>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</si>
  <si>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</si>
  <si>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</si>
  <si>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</si>
  <si>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</si>
  <si>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</si>
  <si>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</si>
  <si>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</si>
  <si>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</si>
  <si>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</si>
  <si>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</si>
  <si>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</si>
  <si>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</si>
  <si>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</si>
  <si>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</si>
  <si>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</si>
  <si>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</si>
  <si>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</si>
  <si>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</si>
  <si>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</si>
  <si>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</si>
  <si>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</si>
  <si>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</si>
  <si>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</si>
  <si>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</si>
  <si>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</si>
  <si>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</si>
  <si>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</si>
  <si>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</si>
  <si>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</si>
  <si>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</si>
  <si>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</si>
  <si>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</si>
  <si>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</si>
  <si>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</si>
  <si>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</si>
  <si>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</si>
  <si>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</si>
  <si>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</si>
  <si>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</si>
  <si>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</si>
  <si>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</si>
  <si>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</si>
  <si>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</si>
  <si>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</si>
  <si>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</si>
  <si>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</si>
  <si>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</si>
  <si>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</si>
  <si>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</si>
  <si>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</si>
  <si>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</si>
  <si>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</si>
  <si>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</si>
  <si>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</si>
  <si>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</si>
  <si>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</si>
  <si>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</si>
  <si>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</si>
  <si>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</si>
  <si>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</si>
  <si>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</si>
  <si>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</si>
  <si>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</si>
  <si>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</si>
  <si>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</si>
  <si>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</si>
  <si>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</si>
  <si>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</si>
  <si>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</si>
  <si>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</si>
  <si>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</si>
  <si>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</si>
  <si>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</si>
  <si>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</si>
  <si>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</si>
  <si>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</si>
  <si>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</si>
  <si>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</si>
  <si>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</si>
  <si>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</si>
  <si>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</si>
  <si>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</si>
  <si>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</si>
  <si>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</si>
  <si>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</si>
  <si>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</si>
  <si>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</si>
  <si>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</si>
  <si>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</si>
  <si>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</si>
  <si>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</si>
  <si>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</si>
  <si>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</si>
  <si>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</si>
  <si>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</si>
  <si>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</si>
  <si>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</si>
  <si>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</si>
  <si>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</si>
  <si>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</si>
  <si>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</si>
  <si>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</si>
  <si>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</si>
  <si>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</si>
  <si>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</si>
  <si>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</si>
  <si>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</si>
  <si>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</si>
  <si>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</si>
  <si>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</si>
  <si>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</si>
  <si>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</si>
  <si>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</si>
  <si>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</si>
  <si>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</si>
  <si>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</si>
  <si>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</si>
  <si>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</si>
  <si>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</si>
  <si>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</si>
  <si>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</si>
  <si>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</si>
  <si>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</si>
  <si>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</si>
  <si>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</si>
  <si>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</si>
  <si>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</si>
  <si>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</si>
  <si>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</si>
  <si>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</si>
  <si>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</si>
  <si>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</si>
  <si>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</si>
  <si>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</si>
  <si>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</si>
  <si>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</si>
  <si>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</si>
  <si>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</si>
  <si>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</si>
  <si>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</si>
  <si>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</si>
  <si>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</si>
  <si>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</si>
  <si>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</si>
  <si>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</si>
  <si>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</si>
  <si>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</si>
  <si>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Brendan Barr</t>
  </si>
  <si>
    <t>Norsouth, 2000 Riveredge Parkway, Suite 950</t>
  </si>
  <si>
    <t>Brendan@Norsouth.com</t>
  </si>
  <si>
    <t>Vice President</t>
  </si>
  <si>
    <t>No</t>
  </si>
  <si>
    <t>NS Partners, LLC</t>
  </si>
  <si>
    <t>HearthSide Sugarloaf</t>
  </si>
  <si>
    <t>Braselton Court LP</t>
  </si>
  <si>
    <t>329 Commercial Drive, Suite 110</t>
  </si>
  <si>
    <t>Billj@norsouth.com</t>
  </si>
  <si>
    <t>William E. Johnston</t>
  </si>
  <si>
    <t>Manager</t>
  </si>
  <si>
    <t>2000 Riveredge Parkway, Suite 950</t>
  </si>
  <si>
    <t>Dave@norsouth.com</t>
  </si>
  <si>
    <t>David H. Dixon</t>
  </si>
  <si>
    <t>Norsouth Development Company of Georgia, LLC</t>
  </si>
  <si>
    <t>Norsouth Construction Company of Georgia, LLC</t>
  </si>
  <si>
    <t>Mike Creeden</t>
  </si>
  <si>
    <t>Mike@norsouth.com</t>
  </si>
  <si>
    <t>Norsouth Management Company, Inc.</t>
  </si>
  <si>
    <t>Melanie Poole</t>
  </si>
  <si>
    <t>Mpoole@norsouth.com</t>
  </si>
  <si>
    <t>Hunter MacLean Exley &amp; Dunn</t>
  </si>
  <si>
    <t>200 East Julian Street</t>
  </si>
  <si>
    <t>Ted Henneman</t>
  </si>
  <si>
    <t>Attorney</t>
  </si>
  <si>
    <t>Thenneman@huntermaclean.com</t>
  </si>
  <si>
    <t>Reznick Group</t>
  </si>
  <si>
    <t>2002 Summit Boulevard, Suite 1000</t>
  </si>
  <si>
    <t>Timothy.kemper@reznickgroup.com</t>
  </si>
  <si>
    <t>Tim Kemper</t>
  </si>
  <si>
    <t>Managing Principal</t>
  </si>
  <si>
    <t>Foley Design Associates Architects, Inc.</t>
  </si>
  <si>
    <t>1513 Cleveland Avenue, Building 100, Suite 102</t>
  </si>
  <si>
    <t>William H. Foley</t>
  </si>
  <si>
    <t>President</t>
  </si>
  <si>
    <t>Billfoley@foleydesign.com</t>
  </si>
  <si>
    <t>Yes</t>
  </si>
  <si>
    <t>For Profit</t>
  </si>
  <si>
    <t>DCA HOME Loan</t>
  </si>
  <si>
    <t>Amortizing</t>
  </si>
  <si>
    <t>Norsouth Development Co. of GA</t>
  </si>
  <si>
    <t xml:space="preserve">Wetlands investigation </t>
  </si>
  <si>
    <t>N/A-CS</t>
  </si>
  <si>
    <t>Floating</t>
  </si>
  <si>
    <t>Common</t>
  </si>
  <si>
    <t>3+ Story</t>
  </si>
  <si>
    <t>Electric Heat Pump</t>
  </si>
  <si>
    <t>Georgia DCA</t>
  </si>
  <si>
    <t>MF</t>
  </si>
  <si>
    <t xml:space="preserve">construction due diligence and application fees </t>
  </si>
  <si>
    <t xml:space="preserve">Employee Incentive </t>
  </si>
  <si>
    <t>Cable and Internet</t>
  </si>
  <si>
    <t xml:space="preserve">Resident Services </t>
  </si>
  <si>
    <t>Bill Orr</t>
  </si>
  <si>
    <t>4982 Highway 53</t>
  </si>
  <si>
    <t>Mayor</t>
  </si>
  <si>
    <t>HFOP</t>
  </si>
  <si>
    <t xml:space="preserve">SunTrust Community Capital </t>
  </si>
  <si>
    <t>SunTrust Community Capital</t>
  </si>
  <si>
    <t>Brian.womble@suntrust.com</t>
  </si>
  <si>
    <t>Brian Womble</t>
  </si>
  <si>
    <t>First Vice President</t>
  </si>
  <si>
    <t>1018 Beaver Dam Road</t>
  </si>
  <si>
    <t>Stable Communities &lt; 10%</t>
  </si>
  <si>
    <t xml:space="preserve">Start up costs </t>
  </si>
  <si>
    <t xml:space="preserve">Noise Assessment </t>
  </si>
  <si>
    <t xml:space="preserve">Fire protection consultant &amp; utility availability assessment </t>
  </si>
  <si>
    <t xml:space="preserve">Landscape architect design and supervision fees </t>
  </si>
  <si>
    <t>Earth Craft House Multifamily</t>
  </si>
  <si>
    <t>Agree</t>
  </si>
  <si>
    <t>Pass</t>
  </si>
  <si>
    <t>Contract/Option</t>
  </si>
  <si>
    <t>Qualified without Conditions</t>
  </si>
  <si>
    <t>Non-minority</t>
  </si>
  <si>
    <t xml:space="preserve">The Applicant has relationships with a number of supportive services providers in the area and Norsouth Management Company will also provide a number of social and rec. programs on site. </t>
  </si>
  <si>
    <t>Real Property Research Group</t>
  </si>
  <si>
    <t>Ten months</t>
  </si>
  <si>
    <t xml:space="preserve">7.5 units per months </t>
  </si>
  <si>
    <t xml:space="preserve">Stratford Court </t>
  </si>
  <si>
    <t>2011-049</t>
  </si>
  <si>
    <t>Room</t>
  </si>
  <si>
    <t>Gazebo</t>
  </si>
  <si>
    <t>On-site laundry</t>
  </si>
  <si>
    <t>Equipped fitness center</t>
  </si>
  <si>
    <t xml:space="preserve">Equipped computer center </t>
  </si>
  <si>
    <t xml:space="preserve">All required documents are included and are organized as required by the QAP and checklist.  We do not believe that any financial or other adjustments will be required. </t>
  </si>
  <si>
    <t xml:space="preserve">Braselton Court is surrounded by a wide variety of desirable sites as evidenced by the certification worksheet included in tab 19.  The surrounding community has a good mix of stable residential, retail and commercial uses with no undesirable characteristics.  </t>
  </si>
  <si>
    <t xml:space="preserve">Not applicable </t>
  </si>
  <si>
    <t>Braselton Court will qualify for the EarthCraft House Multifamily building certification as evidenced by the draft score sheet included in tab 24.  We have also provided the Certificate of Participation in Southface's green building training course for Brendan Barr in that same tab.</t>
  </si>
  <si>
    <t xml:space="preserve">The market study indicates strong demand for this project, the required capture rates are lower than the DCA maximum allowed by the QAP and the rents are very favorable in comparison to the other rental properties - both senior and general occupancy - as seen in Table 38 in the study. </t>
  </si>
  <si>
    <t xml:space="preserve">The Applicant agrees to forgo the cancellation option for at least five (5) years after the close of the Compliance period.  Tenant ownership is not applicable. </t>
  </si>
  <si>
    <t>USDA evidence of rural qualification is located in tab 2.  Norsouth is not claiming any other rural points.</t>
  </si>
  <si>
    <t>One Consulting Group</t>
  </si>
  <si>
    <t xml:space="preserve">The project is zoned O/I and a conditional use permit was approved by the City Council in May 2012 that allows for the development of no more than 80 units of multifamily housing. </t>
  </si>
  <si>
    <t>Braselton Court, LP</t>
  </si>
  <si>
    <t>The proposed site is zoned O/I and a conditional use permit was approved by the Braselton City Council on May14, 2012 that allows for the development of 80 multifamily units. All required zoning documentation is included in Tab 11.</t>
  </si>
  <si>
    <t>Jackson EMC</t>
  </si>
  <si>
    <t xml:space="preserve">Town of Braselton </t>
  </si>
  <si>
    <t>Evidence of all public meetings and presentations are included in tab 13 along with a letter of support from the Mayor of Braselton.</t>
  </si>
  <si>
    <t>Arpeggio Acoustic Consulting, LLC</t>
  </si>
  <si>
    <t>60dB</t>
  </si>
  <si>
    <t>Road noise (State route 211)</t>
  </si>
  <si>
    <t xml:space="preserve">There were no adverse environmental conditions noted at this property.  The PE concluded that no further study is required.  All required HOME documentation has been included in the report. </t>
  </si>
  <si>
    <t xml:space="preserve">All required amenities are documented on the conceptual site development plan in tab 15.  There was no DCA Architectural Standards waiver required or requested for this project. </t>
  </si>
  <si>
    <t xml:space="preserve">This is a new construction project therefore this section is not applicable. </t>
  </si>
  <si>
    <t xml:space="preserve">All required documents are included in tab 15. </t>
  </si>
  <si>
    <t xml:space="preserve">This project will qualify for EarthCraft House Multifamily building certification and as such will meet or exceed all DCA building sustainability requirements.  </t>
  </si>
  <si>
    <t xml:space="preserve">The project will meet all accessibility standards and the Applicant will hire an accessibility inspector to review the plans and inspect the building to ensure compliance with all federal and state requirements.  </t>
  </si>
  <si>
    <t xml:space="preserve">See conceptual site development plan in tab 15 for evidence of all the architectural design and quality standards.  This project is new construction so item 18-A is not applicable.  </t>
  </si>
  <si>
    <t xml:space="preserve">This section is not applicable for this project. </t>
  </si>
  <si>
    <t>16.03, 101.02, 101.03, 506.09, 1801.05, 1803.03</t>
  </si>
  <si>
    <t xml:space="preserve">The HUD Site and Neighborhood Standards forms were completed using 2010 census tract information per DCA Q&amp;A #6.  The contiguous census tracts are also from the 2010 census map. </t>
  </si>
  <si>
    <t xml:space="preserve">No additional legal opinions are required for this project. </t>
  </si>
  <si>
    <t xml:space="preserve">This is a new construction project on vacant land, therefore there will be no displacement or relocation of tenants in this project.  This section is not applicable.  </t>
  </si>
  <si>
    <t xml:space="preserve">The Applicant received a DCA HOME loan consent for this project which is located in tab 5.  </t>
  </si>
  <si>
    <t xml:space="preserve">This section is not applicable. </t>
  </si>
  <si>
    <t>A DCA Pre-Determination letter for the project team qualifications is included in tab 3, however, no compliance scoring has been provided at this time.</t>
  </si>
  <si>
    <t xml:space="preserve">20 A-C: All items were provided in the performance workbook for the project team at pre-application.  Per the latest DCA Q&amp;A, these items have not been resubmitted as there has been no change in the project team.  20D: The Applicant signed the necessary releases for compliance history from other state housing agencies and provided those releases at pre-application as required by DCA. </t>
  </si>
  <si>
    <t xml:space="preserve">There is no local public housing authority in the Town of Braselton or Barrow County that administers a Section 8 program, therefore the Applicant is using the 2011 DCA utility allowance table for the middle region of Georgia.  The most up to date table was effective June 1, 2011. </t>
  </si>
  <si>
    <t>Competitive Round</t>
  </si>
  <si>
    <t>PA12-68</t>
  </si>
  <si>
    <t>1155 Peachtree Street, Suite 300</t>
  </si>
  <si>
    <t>Per DCA guidance, the Applicant used the 2011 gross rent limits to be consistent with the 2011 utility allowance table referenced in the previous tab.  The FMR was used as the max gross rent for the 2 BR at 60% AMI units since it is lower than the LIHTC rents at 60% AMI on the 2011 max rent table.  Real estate tax calculations are provided in tab 8 of the application and is based on the latest milage rates for Barrow County.  The City of Braselton does not charge real estate taxes. Our insurance calculation is based on current pricing from our agent Westcott &amp; Associates for similar projects in the Norsouth portfolio.  Because this is a rural project located in the Atlanta MSA we have budgeted operating expenses of over $4,000 per unit consistent with DCA's minimum requirements.</t>
  </si>
  <si>
    <t xml:space="preserve">Our project meets the DCA requirement of a minimum combined debt service coverage ratio of 1.20 for the twenty (20) year HOME loan compliance period.  We have assumed that all cash flow in years 1-3 will be used to pay down the deferred development fee per the terms of the Development Services Agreement and the cash flow water fall contemplated in the SunTrust Community Capital Letter of Intent.  The equity investor's asset managment fee is consistent with the terms of their preliminary commitment and it escalates at 3% per year as outlined in their letter.  </t>
  </si>
  <si>
    <t xml:space="preserve">Braselton Court </t>
  </si>
  <si>
    <t xml:space="preserve">Braselton Court is a proposed senior oriented rental community in Braselton, Barrow County, Georgia.  The project will contain 79 rental units (and one non-rental employee unit) all of which will benefit from Low Income Housing Tax Credits and be reserved for households earning at or below 50 and 60 percent of Area Median Income.  As a Housing for Older Persons community, tenancy will be restricted to those age 55 or older.  With a mix of one and two bedroom unit types, potential renter households include single persons, couples and roommates.  Braselton Court will be developed by Norsouth Development Company of Georgia, LLC, managed by Norsouth Management Company, Inc. and owned by Braselton Court, L.P.
Braselton Court's 80 residential units will be contained within a three story building, with interior access corridors and central elevators.  The construction characteristics for the project will include a wood frame building with a brick and cementitious siding exterior.  All interior amenities, as well as the management office, will be housed within the building.  Parking for the community will include 90 surface resident spaces plus visitor spaces.  Sidewalks will be constructed to link the community to the surrounding commercial and retail uses.
Situated along the Interstate 85 corridor, Braselton Court is positioned between the more densely developed suburbs of northeast Gwinnett County and the exurban communities of Flowery Branch, Oakwood and Jefferson.  This is an emerging area for development given its close proximity to Lake Lanier and convenient access to major employment centers via Interstate 85 / 985.  Given the rapidly growing nature of the Interstate 85 / 985 corridors, significant neighborhood investment has taken place around the Braselton Court location for the past five years, and continues to occur.  The vast majority of the growth has been residential, yet significant roadway improvements are under construction or planned which should further promote future investment in the area.  These roadway projects include:  the widening of Old Winder Highway from two lanes to four lanes, an extension of Braselton Parkway from Jesse Cronic Road to Old Winder Highway, and the widening of Friendship Road from Interstate 985 to Old Winder Highway in anticipation of the 2015 opening of the new Georgia Medical Center - Braselton hospital.
The 4.87 acre Braselton Court site is located at the northeastern corner of the Beaver Dam Road / Old Winder Highway (State Highway 211) intersection, approximately one-half mile south of Interstate 85.  The project will have superior visibility and accessibility due to its location just off of Old Winder Highway; an east-west county road which links the subject site with the residential neighborhoods of Chateau Elan, Reunion Golf Club and Del Webb's new Village at Deaton Creek; all within a few miles.  From this major thoroughfare and its connections to Interstate 85 and 985, the suburban areas of Gwinnett / Hall Counties and their neighboring communities can be easily reached.  Due to its proximity to the county border, Braselton Court's immediate area also includes portions of three other counties:  Gwinnett, Hall and Jackson.  In addition to its close proximity to an abundance of residential development, Braselton Court is located only a few miles from River Place, the new health care destination in Braselton.  The campus is already home to Medical Plaza 1 and is the future site of the Georgia Medical Center - Braselton hospital.  All in all, the Braselton Court area experienced significant population and household growth over the past decade, a trend expected to continue.
Braselton Court will feature a single, three story residential building with internal corridors providing elevator access to all units above ground level.  The building will be oriented along a wooded portion of the property to provide a private and natural setting for the residents.  The building will have a modern design with extremely attractive facade and roofline offsets, a combination of brick and cementitious siding, various architectural features and a private exterior courtyard.  All units will feature, among other amenities, spacious kitchens with pantry, nine foot ceilings, large walk-in closets and Energy Star Appliances.  The community will be highly amenitized to encourage physical activity and resident socialization.  Amenities will include, but will not be limited to: a fitness center, community room, library with business center, resident gardens and an outdoor gazebo with barbeque area.
Braselton Court is located in a Rural Area as defined by the United States Department of Agriculture, and thus will seek the rural setaside.  Given the rapidly growing and rural nature of the primary market area, this community will serve an unmet need for affordable senior housing, as none exists in the vicinity today.  The community will be located in an attractive and growing area of Barrow County along the Interstate 85 corridor which is convenient to neighborhood amenities including shopping, medical service providers and parks and recreation.  Based on an analysis of projected household growth, overall affordability and demand estimates, current rental market conditions and socio-economic and demographic characteristics, Braselton Court will help address a housing void for senior householders in the primary market area.  As the primary market area continues to experience strong population and household growth in the future, this demand for senior housing will also increase.
</t>
  </si>
  <si>
    <t xml:space="preserve">Documentation for local government fees </t>
  </si>
  <si>
    <t>Tab 8</t>
  </si>
  <si>
    <t xml:space="preserve">Community Renderings </t>
  </si>
  <si>
    <t xml:space="preserve">Tab 15 </t>
  </si>
  <si>
    <t xml:space="preserve">Section IV - Project is located in the town of Braselton, Barrow County, Georgia.  Winder was inputted in this section in an effort to achieve the appropriate 'Barrow County' default.
Section IV - Census tract number provided is for the subject site location as of the 2010 Census.  The Applicant is using the census tract as of the 2000 census (1801.01) for claiming Stable Communities points as directed by DCA in the General Q&amp;A posting #1.
Section V(F) - The total parking spaces exceed the 1 space per unit requirement of the town of Braselton as indicated in the Conditional Use Permit approved in May 2012.  </t>
  </si>
  <si>
    <t xml:space="preserve">The construction loan interest rate is an underwriting rate that is commonly used as an interest rate floor in any variable rate loan underwriting.  The actual rate on the date and per the terms of the SunTrust letter is 3.24%.  The tax credit equity pricing and the interest rate for the permanent loan is based on the preliminary financing commitments provided by SunTrust Community Capital and are indicative of current terms and pricing for such projects.   The deferred development fee will be repaid per the terms of the Limited Partnership Agreement and Development Services Agreement as allowed by DCA in Threshold Section 1.  It will be paid from available cash flow per the terms of the LPA waterfall and will be paid well within the required fifteen (15) years.  A detailed payment schedule is reflected in the pro-forma tab of this core application. The DCA HOME loan is an amortizing loan per the terms of the QAP and it maintains a 1.20 debt service coverage ratio or better throughout the HOME loan compliance period as required by DCA. </t>
  </si>
  <si>
    <t xml:space="preserve">The Applicant determined the construction hard costs through direct input from Norsouth Construction Company and their construction cost estimating tool.  This tool uses inputs from the development program, conceptual site plan, unit sizes, unit mix and common area asumptions.  This information is then used to determine material quantities which are then priced using current pricing from comparable project that are begin built by Norsouth Construction.  Developer fee is calculated at 15% of TDC, less the developer fee, land costs and builder profit due to the identity of interest between the Developer and GC.  Local government fees are budgeted based on data from the governing authority and documentation is included in tab 30 of our application.  The rent up reserve is sized using three months of operating expenses.  Based on our lease up projections and absorption pace, this should be sufficient to cover lease up period deficits.  Similarly, the construction interest reserve is calculated as aproximately one year of interest on our loan of $3,049,097 at 5.00%.  The Operating Deficit Reserve is sized to aproximately six months of operating expenses with replacement reserves and six months of "must pay" debt service (including DCA HOME) as required by our equity investor and the DCA underwriting guidelines.  Items are included in the "other" categories as it applies to the particular aspects of this project and are based on the Developer's experience with similar costs on other tax credit senior housing projects.  Costs are included for noise assessment, utility availability services, fire protection plan review, wetlands investigation, construction loan due diligence and application fees, landscape architecture design and supervision fees and leasing start up costs.  </t>
  </si>
  <si>
    <t xml:space="preserve">All required preliminary financing commitments are in place with SunTrust Community Capital for federal and state tax credit equity as well as construction/permanent debt.  The DCA HOME consent is also provided in Tab 5.  The deferred development fee will be paid per the terms of the Limited Partnership Agreement and Development Services Agreement as allowed by DCA in QAP Appendix 1 (Section 1).  A detailed repayment scheduled is reflected in the pro-forma tab of this core application. </t>
  </si>
  <si>
    <t xml:space="preserve">Stratford Court was funded in 2011 and is within 10-miles, but it is located outside the PMA as defined by RPRG.  The Reserve at Ivy Creek is the only tax credit property located within the PMA, but based on a review of DCA funded projects, it was not funded between 2009 and 2011.  Furthermore, The Reserve is a family tenancy project.  All required documents are included in tab 11. </t>
  </si>
  <si>
    <t xml:space="preserve">The project site is legally accessable off Beaver Dam Road as reflected in tab 10. Items 8-B and 8-C are not applicable. </t>
  </si>
  <si>
    <t xml:space="preserve">The proposed project will be all electric therefore gas is not applicable.  Electric service is located adjacent to the site as noted on the conceptual site development plan in tab 12. </t>
  </si>
  <si>
    <t xml:space="preserve">An agreement to extend the sanitary sewer to our site is included in the Purchase and Sale Agreement.  Costs to extend that line are accounted for in the construction costs and teh work will be performed by the Purchaser.  Water service is located in the right of way adjacent to the site as noted on the site development plan in tab 12. </t>
  </si>
  <si>
    <t xml:space="preserve">We believe this project meets DCA's optimal utilization of resources because in addition to being in line with key utilization benchmarks published by DCA, this project will provided much needed affordable housing for seniors in the primary market area that has no similar newly constructed age restricted affordable housing.  </t>
  </si>
  <si>
    <t xml:space="preserve">The Applicant agrees to set aside sixteen (16) units of the total residential units at 50% AMI rent and income limits in accordance with HOME requirements.  Units will be spread across each of the unit and bedroom types. </t>
  </si>
  <si>
    <t>Not applicable</t>
  </si>
  <si>
    <t xml:space="preserve">Section 8.(A.) - The census tract number provided (1801.01) for purposes of claiming Stable Communities points is the census tract in which the proposed site was located as of the 2000 census per DCA guidance in general Q&amp;A #1.  This census tract number has changed from 2000 to 2010, and the proposed site is located in census tract 1801.03 as per the 2010 census. </t>
  </si>
  <si>
    <t xml:space="preserve">As evidenced by DCA's previous projects list, there have been NO 9%, 4% or HOME projects awarded within the Town of Braselton within the past five (5) DCA funding cycles.  </t>
  </si>
  <si>
    <t>Town of Braselton</t>
  </si>
  <si>
    <t xml:space="preserve">Evidence of payment of the required earnest money deposits by Applicant is provided in tab 9.  </t>
  </si>
  <si>
    <t xml:space="preserve">Debarment Explaination </t>
  </si>
  <si>
    <t xml:space="preserve">Tab 3 </t>
  </si>
  <si>
    <t>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
  Part IV. (6) - Please see the explanation on the debarment of the Contractor - William E. Johnston - included within Tab 30.</t>
  </si>
  <si>
    <t>2012-039</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</si>
</sst>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30" zoomScaleNormal="13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2012-039, Braselton Court , Barrow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4013</v>
      </c>
      <c r="I8" s="1235"/>
    </row>
    <row r="9" spans="1:9" s="40" customFormat="1" ht="12.6" customHeight="1" thickBot="1">
      <c r="A9" s="101"/>
      <c r="B9" s="789"/>
      <c r="C9" s="390"/>
      <c r="D9" s="390"/>
      <c r="E9" s="391" t="s">
        <v>3942</v>
      </c>
      <c r="F9" s="391"/>
      <c r="G9" s="1234" t="s">
        <v>4013</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4013</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4013</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4013</v>
      </c>
    </row>
    <row r="18" spans="1:7" s="40" customFormat="1" ht="12" customHeight="1">
      <c r="A18" s="101"/>
      <c r="B18" s="239"/>
      <c r="C18" s="789"/>
      <c r="D18" s="391"/>
      <c r="E18" s="391" t="s">
        <v>3970</v>
      </c>
      <c r="F18" s="391"/>
      <c r="G18" s="1234" t="s">
        <v>4013</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4013</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4013</v>
      </c>
    </row>
    <row r="50" spans="1:7" s="40" customFormat="1" ht="13.5">
      <c r="A50" s="386"/>
      <c r="B50" s="406"/>
      <c r="C50" s="1245" t="s">
        <v>3931</v>
      </c>
      <c r="D50" s="391"/>
      <c r="E50" s="882" t="s">
        <v>3969</v>
      </c>
      <c r="F50" s="883"/>
      <c r="G50" s="1234" t="s">
        <v>2104</v>
      </c>
    </row>
    <row r="51" spans="1:7" s="40" customFormat="1" ht="12" customHeight="1">
      <c r="A51" s="101"/>
      <c r="B51" s="239"/>
      <c r="C51" s="789"/>
      <c r="D51" s="391"/>
      <c r="E51" s="391" t="s">
        <v>3260</v>
      </c>
      <c r="F51" s="391"/>
      <c r="G51" s="1234" t="s">
        <v>4013</v>
      </c>
    </row>
    <row r="52" spans="1:7" s="40" customFormat="1" ht="12" customHeight="1">
      <c r="A52" s="101"/>
      <c r="B52" s="239"/>
      <c r="C52" s="789"/>
      <c r="D52" s="391"/>
      <c r="E52" s="391" t="s">
        <v>3918</v>
      </c>
      <c r="F52" s="391"/>
      <c r="G52" s="1234" t="s">
        <v>2104</v>
      </c>
    </row>
    <row r="53" spans="1:7" s="40" customFormat="1" ht="12" customHeight="1">
      <c r="A53" s="101"/>
      <c r="B53" s="239"/>
      <c r="C53" s="391"/>
      <c r="D53" s="391"/>
      <c r="E53" s="395" t="s">
        <v>3201</v>
      </c>
      <c r="F53" s="395"/>
      <c r="G53" s="1234" t="s">
        <v>4013</v>
      </c>
    </row>
    <row r="54" spans="1:7" s="40" customFormat="1" ht="12" customHeight="1">
      <c r="A54" s="101"/>
      <c r="B54" s="239"/>
      <c r="C54" s="391"/>
      <c r="D54" s="391"/>
      <c r="E54" s="882" t="s">
        <v>3920</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4013</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4013</v>
      </c>
    </row>
    <row r="87" spans="1:7" s="40" customFormat="1" ht="12" customHeight="1">
      <c r="A87" s="104"/>
      <c r="B87" s="391"/>
      <c r="C87" s="391"/>
      <c r="D87" s="391"/>
      <c r="E87" s="1236" t="s">
        <v>1723</v>
      </c>
      <c r="F87" s="391"/>
      <c r="G87" s="1234" t="s">
        <v>4013</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4013</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4013</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4013</v>
      </c>
    </row>
    <row r="113" spans="1:7" s="40" customFormat="1" ht="12" customHeight="1">
      <c r="A113" s="101"/>
      <c r="B113" s="395"/>
      <c r="C113" s="239"/>
      <c r="D113" s="395"/>
      <c r="E113" s="395" t="s">
        <v>680</v>
      </c>
      <c r="F113" s="401"/>
      <c r="G113" s="1234" t="s">
        <v>4013</v>
      </c>
    </row>
    <row r="114" spans="1:7" s="40" customFormat="1" ht="12" customHeight="1">
      <c r="A114" s="101"/>
      <c r="B114" s="391"/>
      <c r="C114" s="239"/>
      <c r="D114" s="391"/>
      <c r="E114" s="395" t="s">
        <v>3607</v>
      </c>
      <c r="F114" s="397"/>
      <c r="G114" s="1234" t="s">
        <v>4013</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4013</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4013</v>
      </c>
    </row>
    <row r="122" spans="1:7" s="40" customFormat="1" ht="12" customHeight="1">
      <c r="A122" s="104"/>
      <c r="B122" s="390"/>
      <c r="C122" s="239"/>
      <c r="D122" s="395"/>
      <c r="E122" s="882" t="s">
        <v>3686</v>
      </c>
      <c r="F122" s="883"/>
      <c r="G122" s="1234" t="s">
        <v>4013</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4013</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4013</v>
      </c>
    </row>
    <row r="128" spans="1:7" s="40" customFormat="1" ht="12" customHeight="1">
      <c r="A128" s="101"/>
      <c r="B128" s="390"/>
      <c r="C128" s="239"/>
      <c r="D128" s="391"/>
      <c r="E128" s="391" t="s">
        <v>1537</v>
      </c>
      <c r="F128" s="391"/>
      <c r="G128" s="1234" t="s">
        <v>4013</v>
      </c>
    </row>
    <row r="129" spans="1:7" s="40" customFormat="1" ht="12" customHeight="1">
      <c r="A129" s="101"/>
      <c r="B129" s="391"/>
      <c r="C129" s="239"/>
      <c r="D129" s="391"/>
      <c r="E129" s="395" t="s">
        <v>1538</v>
      </c>
      <c r="F129" s="401"/>
      <c r="G129" s="1234" t="s">
        <v>4013</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4013</v>
      </c>
    </row>
    <row r="133" spans="1:7" s="40" customFormat="1" ht="12" customHeight="1">
      <c r="A133" s="101"/>
      <c r="B133" s="884"/>
      <c r="C133" s="885"/>
      <c r="D133" s="885"/>
      <c r="E133" s="395" t="s">
        <v>1785</v>
      </c>
      <c r="F133" s="395"/>
      <c r="G133" s="1234" t="s">
        <v>4013</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4013</v>
      </c>
    </row>
    <row r="140" spans="1:7" s="40" customFormat="1" ht="12" customHeight="1">
      <c r="A140" s="386"/>
      <c r="B140" s="587" t="s">
        <v>3178</v>
      </c>
      <c r="C140" s="404"/>
      <c r="D140" s="391"/>
      <c r="E140" s="392" t="s">
        <v>2373</v>
      </c>
      <c r="F140" s="391"/>
      <c r="G140" s="1234" t="s">
        <v>4013</v>
      </c>
    </row>
    <row r="141" spans="1:7" s="40" customFormat="1" ht="12" customHeight="1">
      <c r="A141" s="101"/>
      <c r="B141" s="239"/>
      <c r="C141" s="391"/>
      <c r="D141" s="391"/>
      <c r="E141" s="391" t="s">
        <v>3092</v>
      </c>
      <c r="F141" s="391"/>
      <c r="G141" s="1234" t="s">
        <v>4013</v>
      </c>
    </row>
    <row r="142" spans="1:7" s="40" customFormat="1" ht="12" customHeight="1">
      <c r="A142" s="101"/>
      <c r="B142" s="391"/>
      <c r="C142" s="391"/>
      <c r="D142" s="391"/>
      <c r="E142" s="391" t="s">
        <v>3608</v>
      </c>
      <c r="F142" s="391"/>
      <c r="G142" s="1234" t="s">
        <v>4013</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4013</v>
      </c>
    </row>
    <row r="145" spans="1:7" s="40" customFormat="1" ht="12" customHeight="1">
      <c r="A145" s="101"/>
      <c r="B145" s="395"/>
      <c r="C145" s="390"/>
      <c r="D145" s="395"/>
      <c r="E145" s="395" t="s">
        <v>3401</v>
      </c>
      <c r="F145" s="395"/>
      <c r="G145" s="1234" t="s">
        <v>4013</v>
      </c>
    </row>
    <row r="146" spans="1:7" s="40" customFormat="1" ht="12" customHeight="1">
      <c r="A146" s="101"/>
      <c r="B146" s="395"/>
      <c r="C146" s="413"/>
      <c r="D146" s="395"/>
      <c r="E146" s="395" t="s">
        <v>678</v>
      </c>
      <c r="F146" s="395"/>
      <c r="G146" s="1234" t="s">
        <v>4013</v>
      </c>
    </row>
    <row r="147" spans="1:7" s="40" customFormat="1" ht="12" customHeight="1">
      <c r="A147" s="101"/>
      <c r="B147" s="395"/>
      <c r="C147" s="395"/>
      <c r="D147" s="414"/>
      <c r="E147" s="395" t="s">
        <v>679</v>
      </c>
      <c r="F147" s="395"/>
      <c r="G147" s="1234" t="s">
        <v>4013</v>
      </c>
    </row>
    <row r="148" spans="1:7" s="40" customFormat="1" ht="12" customHeight="1">
      <c r="A148" s="101"/>
      <c r="B148" s="395"/>
      <c r="C148" s="395"/>
      <c r="D148" s="414"/>
      <c r="E148" s="395" t="s">
        <v>911</v>
      </c>
      <c r="F148" s="395"/>
      <c r="G148" s="1234" t="s">
        <v>4013</v>
      </c>
    </row>
    <row r="149" spans="1:7" s="1246" customFormat="1" ht="12" customHeight="1">
      <c r="A149" s="101"/>
      <c r="B149" s="395"/>
      <c r="C149" s="395"/>
      <c r="D149" s="414"/>
      <c r="E149" s="395" t="s">
        <v>2142</v>
      </c>
      <c r="F149" s="395"/>
      <c r="G149" s="1234" t="s">
        <v>4013</v>
      </c>
    </row>
    <row r="150" spans="1:7" s="40" customFormat="1" ht="12" customHeight="1">
      <c r="A150" s="101"/>
      <c r="B150" s="395"/>
      <c r="C150" s="395"/>
      <c r="D150" s="395"/>
      <c r="E150" s="789" t="s">
        <v>3334</v>
      </c>
      <c r="F150" s="401"/>
      <c r="G150" s="1234" t="s">
        <v>4013</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4013</v>
      </c>
    </row>
    <row r="170" spans="1:7" s="40" customFormat="1" ht="12" customHeight="1">
      <c r="A170" s="101"/>
      <c r="B170" s="239"/>
      <c r="C170" s="789"/>
      <c r="D170" s="1236"/>
      <c r="E170" s="881" t="s">
        <v>807</v>
      </c>
      <c r="F170" s="883"/>
      <c r="G170" s="1234" t="s">
        <v>4013</v>
      </c>
    </row>
    <row r="171" spans="1:7" s="40" customFormat="1" ht="12" customHeight="1">
      <c r="A171" s="101"/>
      <c r="B171" s="400"/>
      <c r="C171" s="1236"/>
      <c r="D171" s="1236"/>
      <c r="E171" s="397" t="s">
        <v>36</v>
      </c>
      <c r="F171" s="391"/>
      <c r="G171" s="1234" t="s">
        <v>4013</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4013</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2104</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4013</v>
      </c>
    </row>
    <row r="195" spans="1:7" s="40" customFormat="1" ht="26.25" customHeight="1">
      <c r="A195" s="101"/>
      <c r="B195" s="1237"/>
      <c r="C195" s="239"/>
      <c r="D195" s="1237"/>
      <c r="E195" s="1260" t="s">
        <v>3911</v>
      </c>
      <c r="F195" s="1261"/>
      <c r="G195" s="1234" t="s">
        <v>4013</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4013</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4122</v>
      </c>
      <c r="F230" s="1271" t="s">
        <v>4123</v>
      </c>
      <c r="G230" s="1234" t="s">
        <v>4013</v>
      </c>
    </row>
    <row r="231" spans="1:7" s="40" customFormat="1" ht="12.6" customHeight="1">
      <c r="A231" s="101"/>
      <c r="C231" s="1272" t="s">
        <v>946</v>
      </c>
      <c r="D231" s="1112"/>
      <c r="E231" s="1273" t="s">
        <v>4103</v>
      </c>
      <c r="F231" s="1273" t="s">
        <v>4104</v>
      </c>
      <c r="G231" s="1274" t="s">
        <v>4013</v>
      </c>
    </row>
    <row r="232" spans="1:7" s="40" customFormat="1" ht="12.6" customHeight="1">
      <c r="A232" s="101"/>
      <c r="C232" s="1272"/>
      <c r="D232" s="1112"/>
      <c r="E232" s="1273" t="s">
        <v>4105</v>
      </c>
      <c r="F232" s="1273" t="s">
        <v>4106</v>
      </c>
      <c r="G232" s="1274" t="s">
        <v>4013</v>
      </c>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4013</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4013</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20" zoomScaleNormal="12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2012-039 Braselton Court , Winder, Barrow County</v>
      </c>
      <c r="B1" s="1002"/>
      <c r="C1" s="1002"/>
      <c r="D1" s="1002"/>
      <c r="E1" s="1002"/>
      <c r="F1" s="1002"/>
      <c r="G1" s="1002"/>
      <c r="H1" s="1002"/>
      <c r="I1" s="1002"/>
      <c r="J1" s="1002"/>
      <c r="K1" s="1002"/>
      <c r="L1" s="1002"/>
      <c r="M1" s="1002"/>
      <c r="N1" s="1002"/>
      <c r="O1" s="1002"/>
      <c r="P1" s="1003"/>
      <c r="T1" s="1081" t="str">
        <f>A1</f>
        <v>PART SIX - PROJECTED REVENUES &amp; EXPENSES  -  2012-039 Braselton Court , Winder, Barrow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t="s">
        <v>4020</v>
      </c>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3980</v>
      </c>
      <c r="J6" s="851" t="s">
        <v>3386</v>
      </c>
      <c r="N6" s="1087" t="str">
        <f>'Part I-Project Information'!$J$26</f>
        <v>Atlanta-Sandy Springs-Marietta</v>
      </c>
      <c r="O6" s="1087"/>
      <c r="P6" s="672">
        <f>VLOOKUP('Part I-Project Information'!$J$26,'DCA Underwriting Assumptions'!$C$84:$D$194,2)</f>
        <v>69300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5</v>
      </c>
      <c r="F10" s="1517">
        <v>752</v>
      </c>
      <c r="G10" s="1517">
        <v>641</v>
      </c>
      <c r="H10" s="1517">
        <v>532</v>
      </c>
      <c r="I10" s="1517">
        <v>102</v>
      </c>
      <c r="J10" s="1518"/>
      <c r="K10" s="224">
        <f>MAX(0,H10-I10)</f>
        <v>430</v>
      </c>
      <c r="L10" s="224">
        <f t="shared" ref="L10:L47" si="0">MAX(0,E10*K10)</f>
        <v>2150</v>
      </c>
      <c r="M10" s="1519" t="s">
        <v>3980</v>
      </c>
      <c r="N10" s="1519" t="s">
        <v>4022</v>
      </c>
      <c r="O10" s="1519" t="s">
        <v>3213</v>
      </c>
      <c r="P10" s="673">
        <f>IF(H10="","",H10*12/0.3)</f>
        <v>21280</v>
      </c>
      <c r="Q10" s="674">
        <f>IF(H10="","",P10/($P$6*VLOOKUP(C10,'DCA Underwriting Assumptions'!$J$84:$K$89,2,FALSE)))</f>
        <v>0.40942760942760942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5</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3760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5</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5</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5</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v>
      </c>
      <c r="E11" s="1523">
        <v>11</v>
      </c>
      <c r="F11" s="1523">
        <v>1014</v>
      </c>
      <c r="G11" s="1523">
        <v>768</v>
      </c>
      <c r="H11" s="1523">
        <v>706</v>
      </c>
      <c r="I11" s="1523">
        <v>131</v>
      </c>
      <c r="J11" s="1524"/>
      <c r="K11" s="225">
        <f t="shared" ref="K11:K27" si="172">MAX(0,H11-I11)</f>
        <v>575</v>
      </c>
      <c r="L11" s="225">
        <f t="shared" si="0"/>
        <v>6325</v>
      </c>
      <c r="M11" s="1525" t="s">
        <v>3980</v>
      </c>
      <c r="N11" s="1525" t="s">
        <v>4022</v>
      </c>
      <c r="O11" s="1525" t="s">
        <v>3213</v>
      </c>
      <c r="P11" s="673">
        <f>IF(H11="","",H11*12/0.3)</f>
        <v>28240</v>
      </c>
      <c r="Q11" s="674">
        <f>IF(H11="","",P11/($P$6*VLOOKUP(C11,'DCA Underwriting Assumptions'!$J$84:$K$89,2,FALSE)))</f>
        <v>0.45278178611511943</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11</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11154</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11</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11</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11</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1670</v>
      </c>
      <c r="C12" s="1521">
        <v>1</v>
      </c>
      <c r="D12" s="1522">
        <v>1</v>
      </c>
      <c r="E12" s="1523">
        <v>19</v>
      </c>
      <c r="F12" s="1523">
        <v>752</v>
      </c>
      <c r="G12" s="1523">
        <v>769</v>
      </c>
      <c r="H12" s="1523">
        <v>607</v>
      </c>
      <c r="I12" s="1523">
        <v>102</v>
      </c>
      <c r="J12" s="1524"/>
      <c r="K12" s="225">
        <f t="shared" si="172"/>
        <v>505</v>
      </c>
      <c r="L12" s="225">
        <f t="shared" si="0"/>
        <v>9595</v>
      </c>
      <c r="M12" s="1525" t="s">
        <v>3980</v>
      </c>
      <c r="N12" s="1525" t="s">
        <v>4022</v>
      </c>
      <c r="O12" s="1525" t="s">
        <v>3213</v>
      </c>
      <c r="P12" s="673">
        <f>IF(H12="","",H12*12/0.3)</f>
        <v>24280</v>
      </c>
      <c r="Q12" s="674">
        <f>IF(H12="","",P12/($P$6*VLOOKUP(C12,'DCA Underwriting Assumptions'!$J$84:$K$89,2,FALSE)))</f>
        <v>0.46714766714766714</v>
      </c>
      <c r="R12" s="820"/>
      <c r="S12" s="674"/>
      <c r="T12" s="1462"/>
      <c r="U12" s="1463"/>
      <c r="V12" s="757" t="str">
        <f t="shared" si="1"/>
        <v/>
      </c>
      <c r="W12" s="757">
        <f t="shared" si="2"/>
        <v>19</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14288</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19</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19</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19</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2</v>
      </c>
      <c r="D13" s="1522">
        <v>2</v>
      </c>
      <c r="E13" s="1523">
        <v>44</v>
      </c>
      <c r="F13" s="1523">
        <v>1014</v>
      </c>
      <c r="G13" s="1523">
        <v>881</v>
      </c>
      <c r="H13" s="1523">
        <v>721</v>
      </c>
      <c r="I13" s="1523">
        <v>131</v>
      </c>
      <c r="J13" s="1524"/>
      <c r="K13" s="225">
        <f t="shared" si="172"/>
        <v>590</v>
      </c>
      <c r="L13" s="225">
        <f t="shared" si="0"/>
        <v>25960</v>
      </c>
      <c r="M13" s="1525" t="s">
        <v>3980</v>
      </c>
      <c r="N13" s="1525" t="s">
        <v>4022</v>
      </c>
      <c r="O13" s="1525" t="s">
        <v>3213</v>
      </c>
      <c r="P13" s="673">
        <f>IF(H13="","",H13*12/0.3)</f>
        <v>28840</v>
      </c>
      <c r="Q13" s="674">
        <f>IF(H13="","",P13/($P$6*VLOOKUP(C13,'DCA Underwriting Assumptions'!$J$84:$K$89,2,FALSE)))</f>
        <v>0.46240179573512907</v>
      </c>
      <c r="R13" s="820"/>
      <c r="S13" s="674"/>
      <c r="T13" s="1462"/>
      <c r="U13" s="1463"/>
      <c r="V13" s="757" t="str">
        <f t="shared" si="1"/>
        <v/>
      </c>
      <c r="W13" s="757" t="str">
        <f t="shared" si="2"/>
        <v/>
      </c>
      <c r="X13" s="757">
        <f t="shared" si="3"/>
        <v>44</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44616</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44</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44</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44</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4019</v>
      </c>
      <c r="C14" s="1521">
        <v>2</v>
      </c>
      <c r="D14" s="1522">
        <v>2</v>
      </c>
      <c r="E14" s="1523">
        <v>1</v>
      </c>
      <c r="F14" s="1523">
        <v>1014</v>
      </c>
      <c r="G14" s="1523">
        <v>0</v>
      </c>
      <c r="H14" s="1523">
        <v>0</v>
      </c>
      <c r="I14" s="1523">
        <v>0</v>
      </c>
      <c r="J14" s="1524"/>
      <c r="K14" s="225">
        <f t="shared" si="172"/>
        <v>0</v>
      </c>
      <c r="L14" s="225">
        <f t="shared" si="0"/>
        <v>0</v>
      </c>
      <c r="M14" s="1525" t="s">
        <v>4021</v>
      </c>
      <c r="N14" s="1525" t="s">
        <v>4022</v>
      </c>
      <c r="O14" s="1525" t="s">
        <v>3213</v>
      </c>
      <c r="P14" s="673">
        <f>IF(H14="","",H14*12/0.3)</f>
        <v>0</v>
      </c>
      <c r="Q14" s="674">
        <f>IF(H14="","",P14/($P$6*VLOOKUP(C14,'DCA Underwriting Assumptions'!$J$84:$K$89,2,FALSE)))</f>
        <v>0</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f t="shared" si="23"/>
        <v>1</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f t="shared" si="53"/>
        <v>1014</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f t="shared" si="68"/>
        <v>1</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1</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2626</v>
      </c>
      <c r="C15" s="1521"/>
      <c r="D15" s="1522"/>
      <c r="E15" s="1523"/>
      <c r="F15" s="1523"/>
      <c r="G15" s="1523"/>
      <c r="H15" s="1523"/>
      <c r="I15" s="1523"/>
      <c r="J15" s="1524"/>
      <c r="K15" s="225">
        <f t="shared" si="172"/>
        <v>0</v>
      </c>
      <c r="L15" s="225">
        <f t="shared" si="0"/>
        <v>0</v>
      </c>
      <c r="M15" s="1525"/>
      <c r="N15" s="1525"/>
      <c r="O15" s="1525"/>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2626</v>
      </c>
      <c r="C16" s="1521"/>
      <c r="D16" s="1522"/>
      <c r="E16" s="1523"/>
      <c r="F16" s="1523"/>
      <c r="G16" s="1523">
        <v>0</v>
      </c>
      <c r="H16" s="1523">
        <v>0</v>
      </c>
      <c r="I16" s="1523">
        <v>0</v>
      </c>
      <c r="J16" s="1524"/>
      <c r="K16" s="225">
        <f t="shared" si="172"/>
        <v>0</v>
      </c>
      <c r="L16" s="225">
        <f t="shared" si="0"/>
        <v>0</v>
      </c>
      <c r="M16" s="1525"/>
      <c r="N16" s="1525"/>
      <c r="O16" s="1525"/>
      <c r="P16" s="673">
        <f t="shared" si="203"/>
        <v>0</v>
      </c>
      <c r="Q16" s="674">
        <f>IF(H16="","",P16/($P$6*VLOOKUP(C16,'DCA Underwriting Assumptions'!$J$84:$K$89,2,FALSE)))</f>
        <v>0</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80</v>
      </c>
      <c r="F48" s="172">
        <f>(E10*F10+E11*F11+E12*F12+E13*F13+E14*F14+E15*F15+E16*F16+E17*F17+E18*F18+E19*F19+E20*F20+E21*F21+E22*F22+E23*F23+E24*F24+E25*F25+E26*F26+E27*F27+E28*F28+E29*F29+E30*F30+E31*F31+E32*F32+E33*F33+E34*F34+E35*F35+E36*F36+E37*F37+E38*F38+E39*F39+E40*F40+E41*F41+E42*F42+E43*F43+E44*F44+E45*F45+E46*F46+E47*F47)</f>
        <v>74832</v>
      </c>
      <c r="G48" s="163"/>
      <c r="H48" s="164"/>
      <c r="I48" s="164"/>
      <c r="J48" s="164"/>
      <c r="K48" s="15" t="s">
        <v>1869</v>
      </c>
      <c r="L48" s="170">
        <f>SUM(L10:L47)</f>
        <v>44030</v>
      </c>
      <c r="M48" s="2"/>
      <c r="N48" s="40"/>
      <c r="O48" s="2"/>
      <c r="P48" s="676"/>
      <c r="Q48" s="676"/>
      <c r="R48" s="676"/>
      <c r="S48" s="676"/>
      <c r="T48" s="675"/>
      <c r="U48" s="677"/>
      <c r="V48" s="779">
        <f t="shared" ref="V48:CK48" si="206">SUM(V10:V47)</f>
        <v>0</v>
      </c>
      <c r="W48" s="779">
        <f t="shared" si="206"/>
        <v>19</v>
      </c>
      <c r="X48" s="779">
        <f t="shared" si="206"/>
        <v>44</v>
      </c>
      <c r="Y48" s="779">
        <f t="shared" si="206"/>
        <v>0</v>
      </c>
      <c r="Z48" s="779">
        <f t="shared" si="206"/>
        <v>0</v>
      </c>
      <c r="AA48" s="779">
        <f t="shared" si="206"/>
        <v>0</v>
      </c>
      <c r="AB48" s="779">
        <f t="shared" si="206"/>
        <v>5</v>
      </c>
      <c r="AC48" s="779">
        <f t="shared" si="206"/>
        <v>11</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1</v>
      </c>
      <c r="BW48" s="779">
        <f t="shared" si="206"/>
        <v>0</v>
      </c>
      <c r="BX48" s="779">
        <f t="shared" si="206"/>
        <v>0</v>
      </c>
      <c r="BY48" s="779">
        <f t="shared" si="206"/>
        <v>0</v>
      </c>
      <c r="BZ48" s="779">
        <f t="shared" si="206"/>
        <v>14288</v>
      </c>
      <c r="CA48" s="779">
        <f t="shared" si="206"/>
        <v>44616</v>
      </c>
      <c r="CB48" s="779">
        <f t="shared" si="206"/>
        <v>0</v>
      </c>
      <c r="CC48" s="779">
        <f t="shared" si="206"/>
        <v>0</v>
      </c>
      <c r="CD48" s="779">
        <f t="shared" si="206"/>
        <v>0</v>
      </c>
      <c r="CE48" s="779">
        <f t="shared" si="206"/>
        <v>3760</v>
      </c>
      <c r="CF48" s="779">
        <f t="shared" si="206"/>
        <v>11154</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1014</v>
      </c>
      <c r="DA48" s="779">
        <f t="shared" si="208"/>
        <v>0</v>
      </c>
      <c r="DB48" s="779">
        <f t="shared" si="208"/>
        <v>0</v>
      </c>
      <c r="DC48" s="779">
        <f t="shared" si="208"/>
        <v>0</v>
      </c>
      <c r="DD48" s="779">
        <f t="shared" si="208"/>
        <v>24</v>
      </c>
      <c r="DE48" s="779">
        <f t="shared" si="208"/>
        <v>55</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1</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24</v>
      </c>
      <c r="EX48" s="779">
        <f t="shared" si="209"/>
        <v>56</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24</v>
      </c>
      <c r="GL48" s="779">
        <f t="shared" si="209"/>
        <v>56</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528360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19</v>
      </c>
      <c r="J56" s="380">
        <f>X48</f>
        <v>44</v>
      </c>
      <c r="K56" s="380">
        <f>Y48</f>
        <v>0</v>
      </c>
      <c r="L56" s="380">
        <f>Z48</f>
        <v>0</v>
      </c>
      <c r="M56" s="380">
        <f t="shared" ref="M56:M62" si="211">SUM(H56:L56)</f>
        <v>63</v>
      </c>
      <c r="N56" s="1095" t="s">
        <v>1382</v>
      </c>
      <c r="O56" s="1096"/>
      <c r="P56" s="850"/>
      <c r="Q56" s="643">
        <f t="shared" ref="Q56:Q62" si="212">ABS(M56-AF56)</f>
        <v>63</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5</v>
      </c>
      <c r="J57" s="381">
        <f>AC48</f>
        <v>11</v>
      </c>
      <c r="K57" s="381">
        <f>AD48</f>
        <v>0</v>
      </c>
      <c r="L57" s="381">
        <f>AE48</f>
        <v>0</v>
      </c>
      <c r="M57" s="381">
        <f t="shared" si="211"/>
        <v>16</v>
      </c>
      <c r="N57" s="1095"/>
      <c r="O57" s="1096"/>
      <c r="P57" s="850"/>
      <c r="Q57" s="643">
        <f t="shared" si="212"/>
        <v>16</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24</v>
      </c>
      <c r="J58" s="382">
        <f>SUM(J56:J57)</f>
        <v>55</v>
      </c>
      <c r="K58" s="382">
        <f>SUM(K56:K57)</f>
        <v>0</v>
      </c>
      <c r="L58" s="382">
        <f>SUM(L56:L57)</f>
        <v>0</v>
      </c>
      <c r="M58" s="382">
        <f t="shared" si="211"/>
        <v>79</v>
      </c>
      <c r="N58" s="385"/>
      <c r="O58" s="110"/>
      <c r="Q58" s="643">
        <f t="shared" si="212"/>
        <v>79</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24</v>
      </c>
      <c r="J60" s="382">
        <f>SUM(J58:J59)</f>
        <v>55</v>
      </c>
      <c r="K60" s="382">
        <f>SUM(K58:K59)</f>
        <v>0</v>
      </c>
      <c r="L60" s="382">
        <f>SUM(L58:L59)</f>
        <v>0</v>
      </c>
      <c r="M60" s="382">
        <f t="shared" si="211"/>
        <v>79</v>
      </c>
      <c r="N60" s="65"/>
      <c r="O60" s="110"/>
      <c r="Q60" s="643">
        <f t="shared" si="212"/>
        <v>79</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1</v>
      </c>
      <c r="K61" s="382">
        <f>BW48</f>
        <v>0</v>
      </c>
      <c r="L61" s="382">
        <f>BX48</f>
        <v>0</v>
      </c>
      <c r="M61" s="382">
        <f t="shared" si="211"/>
        <v>1</v>
      </c>
      <c r="N61" s="62" t="s">
        <v>3114</v>
      </c>
      <c r="O61" s="110"/>
      <c r="Q61" s="643">
        <f t="shared" si="212"/>
        <v>1</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24</v>
      </c>
      <c r="J62" s="382">
        <f>SUM(J60:J61)</f>
        <v>56</v>
      </c>
      <c r="K62" s="382">
        <f>SUM(K60:K61)</f>
        <v>0</v>
      </c>
      <c r="L62" s="382">
        <f>SUM(L60:L61)</f>
        <v>0</v>
      </c>
      <c r="M62" s="382">
        <f t="shared" si="211"/>
        <v>80</v>
      </c>
      <c r="O62" s="110"/>
      <c r="Q62" s="643">
        <f t="shared" si="212"/>
        <v>80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24</v>
      </c>
      <c r="J72" s="380">
        <f>DE48</f>
        <v>55</v>
      </c>
      <c r="K72" s="380">
        <f>DF48</f>
        <v>0</v>
      </c>
      <c r="L72" s="380">
        <f>DG48</f>
        <v>0</v>
      </c>
      <c r="M72" s="380">
        <f t="shared" ref="M72:M82" si="213">SUM(H72:L72)</f>
        <v>79</v>
      </c>
      <c r="N72" s="31"/>
      <c r="O72" s="110"/>
      <c r="Q72" s="643">
        <f t="shared" ref="Q72:Q80" si="214">ABS(M72-AF72)</f>
        <v>79</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24</v>
      </c>
      <c r="J74" s="382">
        <f>SUM(J72:J73)+DO48</f>
        <v>56</v>
      </c>
      <c r="K74" s="382">
        <f>SUM(K72:K73)+DP48</f>
        <v>0</v>
      </c>
      <c r="L74" s="382">
        <f>SUM(L72:L73)+DQ48</f>
        <v>0</v>
      </c>
      <c r="M74" s="382">
        <f t="shared" si="213"/>
        <v>80</v>
      </c>
      <c r="N74" s="62"/>
      <c r="O74" s="110"/>
      <c r="Q74" s="643">
        <f t="shared" si="214"/>
        <v>80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24</v>
      </c>
      <c r="J84" s="380">
        <f t="shared" si="215"/>
        <v>56</v>
      </c>
      <c r="K84" s="380">
        <f t="shared" si="215"/>
        <v>0</v>
      </c>
      <c r="L84" s="380">
        <f t="shared" si="215"/>
        <v>0</v>
      </c>
      <c r="M84" s="380">
        <f>SUM(H84:L84)</f>
        <v>80</v>
      </c>
      <c r="N84" s="31"/>
      <c r="O84" s="110"/>
      <c r="Q84" s="643">
        <f>ABS(M84-AF84)</f>
        <v>80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24</v>
      </c>
      <c r="J88" s="383">
        <f t="shared" si="220"/>
        <v>56</v>
      </c>
      <c r="K88" s="383">
        <f t="shared" si="220"/>
        <v>0</v>
      </c>
      <c r="L88" s="383">
        <f t="shared" si="220"/>
        <v>0</v>
      </c>
      <c r="M88" s="383">
        <f t="shared" si="217"/>
        <v>80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14288</v>
      </c>
      <c r="J94" s="221">
        <f>CA48</f>
        <v>44616</v>
      </c>
      <c r="K94" s="221">
        <f>CB48</f>
        <v>0</v>
      </c>
      <c r="L94" s="221">
        <f>CC48</f>
        <v>0</v>
      </c>
      <c r="M94" s="221">
        <f t="shared" ref="M94:M100" si="221">SUM(H94:L94)</f>
        <v>58904</v>
      </c>
      <c r="O94" s="110"/>
      <c r="Q94" s="643">
        <f t="shared" ref="Q94:Q100" si="222">ABS(M94-AF94)</f>
        <v>58904</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3760</v>
      </c>
      <c r="J95" s="223">
        <f>CF48</f>
        <v>11154</v>
      </c>
      <c r="K95" s="223">
        <f>CG48</f>
        <v>0</v>
      </c>
      <c r="L95" s="223">
        <f>CH48</f>
        <v>0</v>
      </c>
      <c r="M95" s="223">
        <f t="shared" si="221"/>
        <v>14914</v>
      </c>
      <c r="N95" s="6"/>
      <c r="O95" s="110"/>
      <c r="Q95" s="643">
        <f t="shared" si="222"/>
        <v>14914</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18048</v>
      </c>
      <c r="J96" s="220">
        <f>SUM(J94:J95)</f>
        <v>55770</v>
      </c>
      <c r="K96" s="220">
        <f>SUM(K94:K95)</f>
        <v>0</v>
      </c>
      <c r="L96" s="220">
        <f>SUM(L94:L95)</f>
        <v>0</v>
      </c>
      <c r="M96" s="220">
        <f t="shared" si="221"/>
        <v>73818</v>
      </c>
      <c r="N96" s="6"/>
      <c r="O96" s="110"/>
      <c r="Q96" s="643">
        <f t="shared" si="222"/>
        <v>73818</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18048</v>
      </c>
      <c r="J98" s="220">
        <f>SUM(J96:J97)</f>
        <v>55770</v>
      </c>
      <c r="K98" s="220">
        <f>SUM(K96:K97)</f>
        <v>0</v>
      </c>
      <c r="L98" s="220">
        <f>SUM(L96:L97)</f>
        <v>0</v>
      </c>
      <c r="M98" s="220">
        <f t="shared" si="221"/>
        <v>73818</v>
      </c>
      <c r="O98" s="110"/>
      <c r="Q98" s="643">
        <f t="shared" si="222"/>
        <v>73818</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1014</v>
      </c>
      <c r="K99" s="220">
        <f>DA48</f>
        <v>0</v>
      </c>
      <c r="L99" s="220">
        <f>DB48</f>
        <v>0</v>
      </c>
      <c r="M99" s="220">
        <f t="shared" si="221"/>
        <v>1014</v>
      </c>
      <c r="O99" s="110"/>
      <c r="Q99" s="643">
        <f t="shared" si="222"/>
        <v>1014</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18048</v>
      </c>
      <c r="J100" s="220">
        <f>SUM(J98:J99)</f>
        <v>56784</v>
      </c>
      <c r="K100" s="220">
        <f>SUM(K98:K99)</f>
        <v>0</v>
      </c>
      <c r="L100" s="220">
        <f>SUM(L98:L99)</f>
        <v>0</v>
      </c>
      <c r="M100" s="220">
        <f t="shared" si="221"/>
        <v>74832</v>
      </c>
      <c r="O100" s="110"/>
      <c r="Q100" s="643">
        <f t="shared" si="222"/>
        <v>74832</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10567.2</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42000</v>
      </c>
      <c r="G141" s="1545"/>
      <c r="H141" s="2"/>
      <c r="I141" s="2" t="s">
        <v>1946</v>
      </c>
      <c r="J141" s="2"/>
      <c r="K141" s="1544"/>
      <c r="L141" s="1545"/>
      <c r="M141" s="2"/>
      <c r="N141" s="2" t="s">
        <v>1423</v>
      </c>
      <c r="O141" s="2"/>
      <c r="P141" s="1546">
        <v>29568</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36000</v>
      </c>
      <c r="G142" s="1545"/>
      <c r="H142" s="2"/>
      <c r="I142" s="2" t="s">
        <v>1947</v>
      </c>
      <c r="J142" s="2"/>
      <c r="K142" s="1544">
        <v>1500</v>
      </c>
      <c r="L142" s="1545"/>
      <c r="M142" s="2"/>
      <c r="N142" s="2" t="s">
        <v>182</v>
      </c>
      <c r="O142" s="2"/>
      <c r="P142" s="1546">
        <v>16800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1">
        <f>SUM(K141:L142)</f>
        <v>1500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4027</v>
      </c>
      <c r="C144" s="1551"/>
      <c r="D144" s="1551"/>
      <c r="E144" s="1552"/>
      <c r="F144" s="1553">
        <v>5000</v>
      </c>
      <c r="G144" s="1554"/>
      <c r="H144" s="2"/>
      <c r="I144" s="2"/>
      <c r="J144" s="2"/>
      <c r="K144" s="2"/>
      <c r="L144" s="2"/>
      <c r="M144" s="2"/>
      <c r="N144" s="13" t="s">
        <v>230</v>
      </c>
      <c r="O144" s="2"/>
      <c r="P144" s="633">
        <f>SUM(P141:P143)</f>
        <v>46368</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83000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25060</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2500</v>
      </c>
      <c r="G148" s="1545"/>
      <c r="H148" s="2"/>
      <c r="I148" s="2" t="s">
        <v>2211</v>
      </c>
      <c r="J148" s="2"/>
      <c r="K148" s="1555">
        <v>1500</v>
      </c>
      <c r="L148" s="1556"/>
      <c r="M148" s="2"/>
      <c r="N148" s="595">
        <f>+P147/(M62*0.93)</f>
        <v>336.8279569892473</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10000</v>
      </c>
      <c r="G149" s="1545"/>
      <c r="H149" s="2"/>
      <c r="I149" s="2" t="s">
        <v>2934</v>
      </c>
      <c r="J149" s="2"/>
      <c r="K149" s="1557">
        <v>8000</v>
      </c>
      <c r="L149" s="1558"/>
      <c r="M149" s="2"/>
      <c r="N149" s="595">
        <f>+P147/(M62*0.93)/12</f>
        <v>28.068996415770609</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500</v>
      </c>
      <c r="G150" s="1545"/>
      <c r="H150" s="2"/>
      <c r="I150" s="2" t="s">
        <v>2212</v>
      </c>
      <c r="J150" s="2"/>
      <c r="K150" s="1557">
        <v>8000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c r="G151" s="1545"/>
      <c r="H151" s="2"/>
      <c r="I151" s="1547" t="s">
        <v>4029</v>
      </c>
      <c r="J151" s="1548"/>
      <c r="K151" s="1555">
        <v>5000</v>
      </c>
      <c r="L151" s="1556"/>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2500</v>
      </c>
      <c r="G152" s="1545"/>
      <c r="H152" s="2"/>
      <c r="I152" s="11"/>
      <c r="J152" s="13" t="s">
        <v>230</v>
      </c>
      <c r="K152" s="1099">
        <f>SUM(K148:K151)</f>
        <v>22500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4028</v>
      </c>
      <c r="C153" s="1551"/>
      <c r="D153" s="1551"/>
      <c r="E153" s="1552"/>
      <c r="F153" s="1553">
        <v>8000</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23500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12000</v>
      </c>
      <c r="G157" s="1560"/>
      <c r="H157" s="2"/>
      <c r="I157" s="2" t="s">
        <v>1936</v>
      </c>
      <c r="J157" s="630">
        <f>K157/12/$M$62</f>
        <v>25</v>
      </c>
      <c r="K157" s="1557">
        <v>24000</v>
      </c>
      <c r="L157" s="1558"/>
      <c r="M157" s="2"/>
      <c r="N157" s="364">
        <f>+$P$157/$M$62</f>
        <v>4002.2249999999999</v>
      </c>
      <c r="O157" s="30" t="s">
        <v>1974</v>
      </c>
      <c r="P157" s="631">
        <f>F145+F154+F165+K143+K152+K162+P144+P147</f>
        <v>320178</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7500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17000</v>
      </c>
      <c r="G159" s="1560"/>
      <c r="H159" s="2"/>
      <c r="I159" s="2" t="s">
        <v>3316</v>
      </c>
      <c r="J159" s="630">
        <f>K159/12/$M$62</f>
        <v>31.25</v>
      </c>
      <c r="K159" s="1557">
        <v>30000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3500</v>
      </c>
      <c r="G160" s="1545"/>
      <c r="H160" s="2"/>
      <c r="I160" s="2" t="s">
        <v>1939</v>
      </c>
      <c r="J160" s="2"/>
      <c r="K160" s="1557">
        <v>8250</v>
      </c>
      <c r="L160" s="1558"/>
      <c r="M160" s="2"/>
      <c r="N160" s="11" t="s">
        <v>1796</v>
      </c>
      <c r="O160" s="11"/>
      <c r="P160" s="632">
        <f>P161*M62</f>
        <v>20000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5000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3500</v>
      </c>
      <c r="G162" s="1545"/>
      <c r="H162" s="2"/>
      <c r="I162" s="2"/>
      <c r="J162" s="13" t="s">
        <v>230</v>
      </c>
      <c r="K162" s="1099">
        <f>SUM(K157:K161)</f>
        <v>62250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7500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56000</v>
      </c>
      <c r="G165" s="1102"/>
      <c r="H165" s="2"/>
      <c r="I165" s="2"/>
      <c r="J165" s="14"/>
      <c r="K165" s="2"/>
      <c r="L165" s="2"/>
      <c r="M165" s="2"/>
      <c r="N165" s="2"/>
      <c r="O165" s="2"/>
      <c r="P165" s="631">
        <f>P157+P160</f>
        <v>340178</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4099</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120" zoomScaleNormal="12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2012-039 Braselton Court , Winder, Barrow County</v>
      </c>
      <c r="B1" s="1108"/>
      <c r="C1" s="1108"/>
      <c r="D1" s="1108"/>
      <c r="E1" s="1108"/>
      <c r="F1" s="1108"/>
      <c r="G1" s="1108"/>
      <c r="H1" s="1108"/>
      <c r="I1" s="1108"/>
      <c r="J1" s="1108"/>
      <c r="K1" s="1109"/>
      <c r="L1" s="11"/>
      <c r="M1" s="1105" t="str">
        <f>A1</f>
        <v>PART SEVEN - OPERATING PRO FORMA  -  2012-039 Braselton Court , Winder, Barrow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3200</v>
      </c>
      <c r="H5" s="128" t="s">
        <v>2784</v>
      </c>
      <c r="K5" s="133">
        <f>IF(($B$14+$B$15+$B$16+$B$17)=0,"",-B28/($B$14+$B$15+$B$16+$B$17))</f>
        <v>6.3846475276322359E-3</v>
      </c>
      <c r="M5" s="1460"/>
      <c r="N5" s="1461"/>
    </row>
    <row r="6" spans="1:15">
      <c r="A6" s="19" t="s">
        <v>3084</v>
      </c>
      <c r="B6" s="105">
        <v>0.03</v>
      </c>
      <c r="C6" s="19"/>
      <c r="D6" s="19" t="s">
        <v>1270</v>
      </c>
      <c r="F6" s="19"/>
      <c r="G6" s="1562"/>
      <c r="H6" s="128" t="s">
        <v>3346</v>
      </c>
      <c r="K6" s="133" t="e">
        <f>IF(($B$14+$B$15+$B$16+$B$17)=0,"",-#REF!/($B$14+$B$15+$B$16+$B$17))</f>
        <v>#REF!</v>
      </c>
      <c r="M6" s="1462"/>
      <c r="N6" s="1463"/>
    </row>
    <row r="7" spans="1:15">
      <c r="A7" s="19" t="s">
        <v>3086</v>
      </c>
      <c r="B7" s="105">
        <v>0.03</v>
      </c>
      <c r="C7" s="19"/>
      <c r="D7" s="107" t="s">
        <v>332</v>
      </c>
      <c r="G7" s="109"/>
      <c r="H7" s="128" t="s">
        <v>3347</v>
      </c>
      <c r="K7" s="133">
        <f>IF(($B$14+$B$15+$B$16+$B$17)=0,"",-B20/($B$14+$B$15+$B$16+$B$17))</f>
        <v>4.9999770950769948E-2</v>
      </c>
      <c r="M7" s="1462"/>
      <c r="N7" s="1463"/>
    </row>
    <row r="8" spans="1:15" ht="13.15" customHeight="1">
      <c r="A8" s="19" t="s">
        <v>3085</v>
      </c>
      <c r="B8" s="1563">
        <v>7.0000000000000007E-2</v>
      </c>
      <c r="C8" s="19"/>
      <c r="D8" s="106" t="s">
        <v>3517</v>
      </c>
      <c r="G8" s="1564" t="s">
        <v>3980</v>
      </c>
      <c r="H8" s="230" t="s">
        <v>2028</v>
      </c>
      <c r="K8" s="1565"/>
      <c r="M8" s="1462"/>
      <c r="N8" s="1463"/>
    </row>
    <row r="9" spans="1:15">
      <c r="A9" s="19" t="s">
        <v>1992</v>
      </c>
      <c r="B9" s="105">
        <v>0.02</v>
      </c>
      <c r="D9" s="106" t="s">
        <v>2570</v>
      </c>
      <c r="G9" s="1564" t="s">
        <v>4013</v>
      </c>
      <c r="H9" s="230" t="s">
        <v>3322</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528360</v>
      </c>
      <c r="C14" s="22">
        <f t="shared" ref="C14:K14" si="1">$B$14*(1+$B$5)^(C13-1)</f>
        <v>538927.19999999995</v>
      </c>
      <c r="D14" s="22">
        <f t="shared" si="1"/>
        <v>549705.74399999995</v>
      </c>
      <c r="E14" s="22">
        <f t="shared" si="1"/>
        <v>560699.85887999996</v>
      </c>
      <c r="F14" s="22">
        <f t="shared" si="1"/>
        <v>571913.8560576</v>
      </c>
      <c r="G14" s="22">
        <f t="shared" si="1"/>
        <v>583352.13317875203</v>
      </c>
      <c r="H14" s="22">
        <f t="shared" si="1"/>
        <v>595019.17584232707</v>
      </c>
      <c r="I14" s="22">
        <f t="shared" si="1"/>
        <v>606919.55935917352</v>
      </c>
      <c r="J14" s="22">
        <f t="shared" si="1"/>
        <v>619057.95054635697</v>
      </c>
      <c r="K14" s="23">
        <f t="shared" si="1"/>
        <v>631439.10955728416</v>
      </c>
      <c r="M14" s="1460"/>
      <c r="N14" s="1461"/>
    </row>
    <row r="15" spans="1:15" ht="13.15" customHeight="1">
      <c r="A15" s="24" t="s">
        <v>1519</v>
      </c>
      <c r="B15" s="25">
        <f>MIN(B14*B9,'Part VI-Revenues &amp; Expenses'!G104)</f>
        <v>10567.2</v>
      </c>
      <c r="C15" s="25">
        <f t="shared" ref="C15:K15" si="2">$B$15*(1+$B$5)^(C13-1)</f>
        <v>10778.544000000002</v>
      </c>
      <c r="D15" s="25">
        <f t="shared" si="2"/>
        <v>10994.114880000001</v>
      </c>
      <c r="E15" s="25">
        <f t="shared" si="2"/>
        <v>11213.9971776</v>
      </c>
      <c r="F15" s="25">
        <f t="shared" si="2"/>
        <v>11438.277121152001</v>
      </c>
      <c r="G15" s="25">
        <f t="shared" si="2"/>
        <v>11667.042663575041</v>
      </c>
      <c r="H15" s="25">
        <f t="shared" si="2"/>
        <v>11900.383516846543</v>
      </c>
      <c r="I15" s="25">
        <f t="shared" si="2"/>
        <v>12138.39118718347</v>
      </c>
      <c r="J15" s="25">
        <f t="shared" si="2"/>
        <v>12381.159010927142</v>
      </c>
      <c r="K15" s="26">
        <f t="shared" si="2"/>
        <v>12628.782191145683</v>
      </c>
      <c r="M15" s="1462"/>
      <c r="N15" s="1463"/>
    </row>
    <row r="16" spans="1:15" ht="13.15" customHeight="1">
      <c r="A16" s="24" t="s">
        <v>3385</v>
      </c>
      <c r="B16" s="25">
        <f t="shared" ref="B16:K16" si="3">-(B14+B15)*$B$8</f>
        <v>-37724.904000000002</v>
      </c>
      <c r="C16" s="25">
        <f t="shared" si="3"/>
        <v>-38479.40208</v>
      </c>
      <c r="D16" s="25">
        <f t="shared" si="3"/>
        <v>-39248.9901216</v>
      </c>
      <c r="E16" s="25">
        <f t="shared" si="3"/>
        <v>-40033.969924032004</v>
      </c>
      <c r="F16" s="25">
        <f t="shared" si="3"/>
        <v>-40834.649322512647</v>
      </c>
      <c r="G16" s="25">
        <f t="shared" si="3"/>
        <v>-41651.3423089629</v>
      </c>
      <c r="H16" s="25">
        <f t="shared" si="3"/>
        <v>-42484.369155142158</v>
      </c>
      <c r="I16" s="25">
        <f t="shared" si="3"/>
        <v>-43334.056538244993</v>
      </c>
      <c r="J16" s="25">
        <f t="shared" si="3"/>
        <v>-44200.737669009897</v>
      </c>
      <c r="K16" s="26">
        <f t="shared" si="3"/>
        <v>-45084.752422390091</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-295118</v>
      </c>
      <c r="C19" s="25">
        <f t="shared" ref="C19:K19" si="4">$B$19*(1+$B$6)^(C13-1)</f>
        <v>-303971.53999999998</v>
      </c>
      <c r="D19" s="25">
        <f t="shared" si="4"/>
        <v>-313090.6862</v>
      </c>
      <c r="E19" s="25">
        <f t="shared" si="4"/>
        <v>-322483.40678600001</v>
      </c>
      <c r="F19" s="25">
        <f t="shared" si="4"/>
        <v>-332157.90898958</v>
      </c>
      <c r="G19" s="25">
        <f t="shared" si="4"/>
        <v>-342122.64625926735</v>
      </c>
      <c r="H19" s="25">
        <f t="shared" si="4"/>
        <v>-352386.32564704539</v>
      </c>
      <c r="I19" s="25">
        <f t="shared" si="4"/>
        <v>-362957.91541645676</v>
      </c>
      <c r="J19" s="25">
        <f t="shared" si="4"/>
        <v>-373846.65287895047</v>
      </c>
      <c r="K19" s="26">
        <f t="shared" si="4"/>
        <v>-385062.05246531899</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-25060</v>
      </c>
      <c r="C20" s="25">
        <f>IF(AND('Part VII-Pro Forma'!$G$8="Yes",'Part VII-Pro Forma'!$G$9="Yes"),"Choose One!",IF('Part VII-Pro Forma'!$G$8="Yes",ROUND((-$K$8*(1+'Part VII-Pro Forma'!$B$6)^('Part VII-Pro Forma'!C13-1)),),IF('Part VII-Pro Forma'!$G$9="Yes",ROUND((-(SUM(C14:C17)*'Part VII-Pro Forma'!$K$9)),),"Choose mgt fee")))</f>
        <v>-25561</v>
      </c>
      <c r="D20" s="25">
        <f>IF(AND('Part VII-Pro Forma'!$G$8="Yes",'Part VII-Pro Forma'!$G$9="Yes"),"Choose One!",IF('Part VII-Pro Forma'!$G$8="Yes",ROUND((-$K$8*(1+'Part VII-Pro Forma'!$B$6)^('Part VII-Pro Forma'!D13-1)),),IF('Part VII-Pro Forma'!$G$9="Yes",ROUND((-(SUM(D14:D17)*'Part VII-Pro Forma'!$K$9)),),"Choose mgt fee")))</f>
        <v>-26073</v>
      </c>
      <c r="E20" s="25">
        <f>IF(AND('Part VII-Pro Forma'!$G$8="Yes",'Part VII-Pro Forma'!$G$9="Yes"),"Choose One!",IF('Part VII-Pro Forma'!$G$8="Yes",ROUND((-$K$8*(1+'Part VII-Pro Forma'!$B$6)^('Part VII-Pro Forma'!E13-1)),),IF('Part VII-Pro Forma'!$G$9="Yes",ROUND((-(SUM(E14:E17)*'Part VII-Pro Forma'!$K$9)),),"Choose mgt fee")))</f>
        <v>-26594</v>
      </c>
      <c r="F20" s="25">
        <f>IF(AND('Part VII-Pro Forma'!$G$8="Yes",'Part VII-Pro Forma'!$G$9="Yes"),"Choose One!",IF('Part VII-Pro Forma'!$G$8="Yes",ROUND((-$K$8*(1+'Part VII-Pro Forma'!$B$6)^('Part VII-Pro Forma'!F13-1)),),IF('Part VII-Pro Forma'!$G$9="Yes",ROUND((-(SUM(F14:F17)*'Part VII-Pro Forma'!$K$9)),),"Choose mgt fee")))</f>
        <v>-27126</v>
      </c>
      <c r="G20" s="25">
        <f>IF(AND('Part VII-Pro Forma'!$G$8="Yes",'Part VII-Pro Forma'!$G$9="Yes"),"Choose One!",IF('Part VII-Pro Forma'!$G$8="Yes",ROUND((-$K$8*(1+'Part VII-Pro Forma'!$B$6)^('Part VII-Pro Forma'!G13-1)),),IF('Part VII-Pro Forma'!$G$9="Yes",ROUND((-(SUM(G14:G17)*'Part VII-Pro Forma'!$K$9)),),"Choose mgt fee")))</f>
        <v>-27668</v>
      </c>
      <c r="H20" s="25">
        <f>IF(AND('Part VII-Pro Forma'!$G$8="Yes",'Part VII-Pro Forma'!$G$9="Yes"),"Choose One!",IF('Part VII-Pro Forma'!$G$8="Yes",ROUND((-$K$8*(1+'Part VII-Pro Forma'!$B$6)^('Part VII-Pro Forma'!H13-1)),),IF('Part VII-Pro Forma'!$G$9="Yes",ROUND((-(SUM(H14:H17)*'Part VII-Pro Forma'!$K$9)),),"Choose mgt fee")))</f>
        <v>-28222</v>
      </c>
      <c r="I20" s="25">
        <f>IF(AND('Part VII-Pro Forma'!$G$8="Yes",'Part VII-Pro Forma'!$G$9="Yes"),"Choose One!",IF('Part VII-Pro Forma'!$G$8="Yes",ROUND((-$K$8*(1+'Part VII-Pro Forma'!$B$6)^('Part VII-Pro Forma'!I13-1)),),IF('Part VII-Pro Forma'!$G$9="Yes",ROUND((-(SUM(I14:I17)*'Part VII-Pro Forma'!$K$9)),),"Choose mgt fee")))</f>
        <v>-28786</v>
      </c>
      <c r="J20" s="25">
        <f>IF(AND('Part VII-Pro Forma'!$G$8="Yes",'Part VII-Pro Forma'!$G$9="Yes"),"Choose One!",IF('Part VII-Pro Forma'!$G$8="Yes",ROUND((-$K$8*(1+'Part VII-Pro Forma'!$B$6)^('Part VII-Pro Forma'!J13-1)),),IF('Part VII-Pro Forma'!$G$9="Yes",ROUND((-(SUM(J14:J17)*'Part VII-Pro Forma'!$K$9)),),"Choose mgt fee")))</f>
        <v>-29362</v>
      </c>
      <c r="K20" s="25">
        <f>IF(AND('Part VII-Pro Forma'!$G$8="Yes",'Part VII-Pro Forma'!$G$9="Yes"),"Choose One!",IF('Part VII-Pro Forma'!$G$8="Yes",ROUND((-$K$8*(1+'Part VII-Pro Forma'!$B$6)^('Part VII-Pro Forma'!K13-1)),),IF('Part VII-Pro Forma'!$G$9="Yes",ROUND((-(SUM(K14:K17)*'Part VII-Pro Forma'!$K$9)),),"Choose mgt fee")))</f>
        <v>-29949</v>
      </c>
      <c r="M20" s="1462"/>
      <c r="N20" s="1463"/>
    </row>
    <row r="21" spans="1:14" ht="13.15" customHeight="1">
      <c r="A21" s="24" t="s">
        <v>1739</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62"/>
      <c r="N21" s="1463"/>
    </row>
    <row r="22" spans="1:14" ht="13.15" customHeight="1">
      <c r="A22" s="24" t="s">
        <v>1740</v>
      </c>
      <c r="B22" s="25">
        <f t="shared" ref="B22:K22" si="6">SUM(B14:B21)</f>
        <v>161024.29599999997</v>
      </c>
      <c r="C22" s="25">
        <f t="shared" si="6"/>
        <v>161093.80191999994</v>
      </c>
      <c r="D22" s="25">
        <f t="shared" si="6"/>
        <v>161069.18255839997</v>
      </c>
      <c r="E22" s="25">
        <f t="shared" si="6"/>
        <v>160947.939347568</v>
      </c>
      <c r="F22" s="25">
        <f t="shared" si="6"/>
        <v>160723.39866665937</v>
      </c>
      <c r="G22" s="25">
        <f t="shared" si="6"/>
        <v>160391.70578809676</v>
      </c>
      <c r="H22" s="25">
        <f t="shared" si="6"/>
        <v>159945.81862640614</v>
      </c>
      <c r="I22" s="25">
        <f t="shared" si="6"/>
        <v>159382.50128315785</v>
      </c>
      <c r="J22" s="25">
        <f t="shared" si="6"/>
        <v>158694.31738157143</v>
      </c>
      <c r="K22" s="26">
        <f t="shared" si="6"/>
        <v>157876.62318413594</v>
      </c>
      <c r="M22" s="1462"/>
      <c r="N22" s="1463"/>
    </row>
    <row r="23" spans="1:14" ht="13.15" customHeight="1">
      <c r="A23" s="678" t="s">
        <v>2195</v>
      </c>
      <c r="B23" s="1567">
        <f>IF('Part III A-Sources of Funds'!$M$32="", 0,-'Part III A-Sources of Funds'!$M$32)</f>
        <v>-49287.255198116283</v>
      </c>
      <c r="C23" s="1567">
        <f>IF('Part III A-Sources of Funds'!$M$32="", 0,-'Part III A-Sources of Funds'!$M$32)</f>
        <v>-49287.255198116283</v>
      </c>
      <c r="D23" s="1567">
        <f>IF('Part III A-Sources of Funds'!$M$32="", 0,-'Part III A-Sources of Funds'!$M$32)</f>
        <v>-49287.255198116283</v>
      </c>
      <c r="E23" s="1567">
        <f>IF('Part III A-Sources of Funds'!$M$32="", 0,-'Part III A-Sources of Funds'!$M$32)</f>
        <v>-49287.255198116283</v>
      </c>
      <c r="F23" s="1567">
        <f>IF('Part III A-Sources of Funds'!$M$32="", 0,-'Part III A-Sources of Funds'!$M$32)</f>
        <v>-49287.255198116283</v>
      </c>
      <c r="G23" s="1567">
        <f>IF('Part III A-Sources of Funds'!$M$32="", 0,-'Part III A-Sources of Funds'!$M$32)</f>
        <v>-49287.255198116283</v>
      </c>
      <c r="H23" s="1567">
        <f>IF('Part III A-Sources of Funds'!$M$32="", 0,-'Part III A-Sources of Funds'!$M$32)</f>
        <v>-49287.255198116283</v>
      </c>
      <c r="I23" s="1567">
        <f>IF('Part III A-Sources of Funds'!$M$32="", 0,-'Part III A-Sources of Funds'!$M$32)</f>
        <v>-49287.255198116283</v>
      </c>
      <c r="J23" s="1567">
        <f>IF('Part III A-Sources of Funds'!$M$32="", 0,-'Part III A-Sources of Funds'!$M$32)</f>
        <v>-49287.255198116283</v>
      </c>
      <c r="K23" s="1567">
        <f>IF('Part III A-Sources of Funds'!$M$32="", 0,-'Part III A-Sources of Funds'!$M$32)</f>
        <v>-49287.255198116283</v>
      </c>
      <c r="M23" s="1462"/>
      <c r="N23" s="1463"/>
    </row>
    <row r="24" spans="1:14" ht="13.15" customHeight="1">
      <c r="A24" s="678" t="s">
        <v>2196</v>
      </c>
      <c r="B24" s="1568">
        <f>IF('Part III A-Sources of Funds'!$M$33="", 0,-'Part III A-Sources of Funds'!$M$33)</f>
        <v>-67748.567744812142</v>
      </c>
      <c r="C24" s="1568">
        <f>IF('Part III A-Sources of Funds'!$M$33="", 0,-'Part III A-Sources of Funds'!$M$33)</f>
        <v>-67748.567744812142</v>
      </c>
      <c r="D24" s="1568">
        <f>IF('Part III A-Sources of Funds'!$M$33="", 0,-'Part III A-Sources of Funds'!$M$33)</f>
        <v>-67748.567744812142</v>
      </c>
      <c r="E24" s="1568">
        <f>IF('Part III A-Sources of Funds'!$M$33="", 0,-'Part III A-Sources of Funds'!$M$33)</f>
        <v>-67748.567744812142</v>
      </c>
      <c r="F24" s="1568">
        <f>IF('Part III A-Sources of Funds'!$M$33="", 0,-'Part III A-Sources of Funds'!$M$33)</f>
        <v>-67748.567744812142</v>
      </c>
      <c r="G24" s="1568">
        <f>IF('Part III A-Sources of Funds'!$M$33="", 0,-'Part III A-Sources of Funds'!$M$33)</f>
        <v>-67748.567744812142</v>
      </c>
      <c r="H24" s="1568">
        <f>IF('Part III A-Sources of Funds'!$M$33="", 0,-'Part III A-Sources of Funds'!$M$33)</f>
        <v>-67748.567744812142</v>
      </c>
      <c r="I24" s="1568">
        <f>IF('Part III A-Sources of Funds'!$M$33="", 0,-'Part III A-Sources of Funds'!$M$33)</f>
        <v>-67748.567744812142</v>
      </c>
      <c r="J24" s="1568">
        <f>IF('Part III A-Sources of Funds'!$M$33="", 0,-'Part III A-Sources of Funds'!$M$33)</f>
        <v>-67748.567744812142</v>
      </c>
      <c r="K24" s="1568">
        <f>IF('Part III A-Sources of Funds'!$M$33="", 0,-'Part III A-Sources of Funds'!$M$33)</f>
        <v>-67748.567744812142</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-3200</v>
      </c>
      <c r="C28" s="1568">
        <f>+B28*1.03</f>
        <v>-3296</v>
      </c>
      <c r="D28" s="1568">
        <f t="shared" ref="D28:K28" si="7">+C28*1.03</f>
        <v>-3394.88</v>
      </c>
      <c r="E28" s="1568">
        <f t="shared" si="7"/>
        <v>-3496.7264</v>
      </c>
      <c r="F28" s="1568">
        <f t="shared" si="7"/>
        <v>-3601.6281920000001</v>
      </c>
      <c r="G28" s="1568">
        <f t="shared" si="7"/>
        <v>-3709.6770377600001</v>
      </c>
      <c r="H28" s="1568">
        <f t="shared" si="7"/>
        <v>-3820.9673488928001</v>
      </c>
      <c r="I28" s="1568">
        <f t="shared" si="7"/>
        <v>-3935.5963693595841</v>
      </c>
      <c r="J28" s="1568">
        <f t="shared" si="7"/>
        <v>-4053.6642604403719</v>
      </c>
      <c r="K28" s="1568">
        <f t="shared" si="7"/>
        <v>-4175.2741882535829</v>
      </c>
      <c r="M28" s="1462"/>
      <c r="N28" s="1463"/>
    </row>
    <row r="29" spans="1:14" ht="13.15" customHeight="1">
      <c r="A29" s="24" t="s">
        <v>1741</v>
      </c>
      <c r="B29" s="1570">
        <v>-40788</v>
      </c>
      <c r="C29" s="1570">
        <v>-40762</v>
      </c>
      <c r="D29" s="1570">
        <v>-13335</v>
      </c>
      <c r="E29" s="1570"/>
      <c r="F29" s="1570">
        <v>0</v>
      </c>
      <c r="G29" s="1570">
        <v>0</v>
      </c>
      <c r="H29" s="1570">
        <v>0</v>
      </c>
      <c r="I29" s="1570">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0.4730570715473732</v>
      </c>
      <c r="C30" s="25">
        <f t="shared" si="8"/>
        <v>-2.1022928485763259E-2</v>
      </c>
      <c r="D30" s="25">
        <f t="shared" si="8"/>
        <v>27303.479615471551</v>
      </c>
      <c r="E30" s="25">
        <f t="shared" si="8"/>
        <v>40415.390004639572</v>
      </c>
      <c r="F30" s="25">
        <f t="shared" si="8"/>
        <v>40085.947531730941</v>
      </c>
      <c r="G30" s="25">
        <f t="shared" si="8"/>
        <v>39646.20580740834</v>
      </c>
      <c r="H30" s="25">
        <f t="shared" si="8"/>
        <v>39089.028334584909</v>
      </c>
      <c r="I30" s="25">
        <f t="shared" si="8"/>
        <v>38411.08197086984</v>
      </c>
      <c r="J30" s="25">
        <f t="shared" si="8"/>
        <v>37604.830178202625</v>
      </c>
      <c r="K30" s="26">
        <f t="shared" si="8"/>
        <v>36665.52605295393</v>
      </c>
      <c r="M30" s="1462"/>
      <c r="N30" s="1463"/>
    </row>
    <row r="31" spans="1:14" ht="13.15" customHeight="1">
      <c r="A31" s="24" t="str">
        <f>IF('Part III A-Sources of Funds'!$E$32 = "Neither", "", "DCR Mortgage A")</f>
        <v>DCR Mortgage A</v>
      </c>
      <c r="B31" s="27">
        <f>IF(B23=0,"",-B22/B23)</f>
        <v>3.2670574847948561</v>
      </c>
      <c r="C31" s="27">
        <f t="shared" ref="C31:K31" si="9">IF(C23=0,"",-C22/C23)</f>
        <v>3.2684677057479314</v>
      </c>
      <c r="D31" s="27">
        <f t="shared" si="9"/>
        <v>3.2679681980861432</v>
      </c>
      <c r="E31" s="27">
        <f t="shared" si="9"/>
        <v>3.2655082678192899</v>
      </c>
      <c r="F31" s="27">
        <f t="shared" si="9"/>
        <v>3.2609525123809711</v>
      </c>
      <c r="G31" s="27">
        <f t="shared" si="9"/>
        <v>3.254222722352508</v>
      </c>
      <c r="H31" s="27">
        <f t="shared" si="9"/>
        <v>3.2451760193073023</v>
      </c>
      <c r="I31" s="27">
        <f t="shared" si="9"/>
        <v>3.2337467493878482</v>
      </c>
      <c r="J31" s="27">
        <f t="shared" si="9"/>
        <v>3.2197840343041984</v>
      </c>
      <c r="K31" s="28">
        <f t="shared" si="9"/>
        <v>3.203193656240972</v>
      </c>
      <c r="M31" s="1462"/>
      <c r="N31" s="1463"/>
    </row>
    <row r="32" spans="1:14" ht="13.15" customHeight="1">
      <c r="A32" s="24" t="str">
        <f>IF('Part III A-Sources of Funds'!$E$32 = "Neither", "", "DCR Mortgage B")</f>
        <v>DCR Mortgage B</v>
      </c>
      <c r="B32" s="27">
        <f t="shared" ref="B32:K32" si="10">IF(OR(B24=0,AND(B24=0,B23=0)),"",-B22/(B23+B24))</f>
        <v>1.3758547763493079</v>
      </c>
      <c r="C32" s="27">
        <f t="shared" si="10"/>
        <v>1.3764486622062377</v>
      </c>
      <c r="D32" s="27">
        <f t="shared" si="10"/>
        <v>1.3762383047192659</v>
      </c>
      <c r="E32" s="27">
        <f t="shared" si="10"/>
        <v>1.375202355146022</v>
      </c>
      <c r="F32" s="27">
        <f t="shared" si="10"/>
        <v>1.3732837914510572</v>
      </c>
      <c r="G32" s="27">
        <f t="shared" si="10"/>
        <v>1.3704496773292267</v>
      </c>
      <c r="H32" s="27">
        <f t="shared" si="10"/>
        <v>1.3666398424386901</v>
      </c>
      <c r="I32" s="27">
        <f t="shared" si="10"/>
        <v>1.3618266379933899</v>
      </c>
      <c r="J32" s="27">
        <f t="shared" si="10"/>
        <v>1.3559465246718301</v>
      </c>
      <c r="K32" s="28">
        <f t="shared" si="10"/>
        <v>1.3489598245583594</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1.4733530563410919</v>
      </c>
      <c r="C35" s="378">
        <f t="shared" ref="C35:K35" si="13">IF(OR(C20="Choose mgt fee",C20="Choose One!"),"",(C14+C15+C16+C17+C18) / -(C19+C20+C21))</f>
        <v>1.4600937745460618</v>
      </c>
      <c r="D35" s="378">
        <f t="shared" si="13"/>
        <v>1.446940532014193</v>
      </c>
      <c r="E35" s="378">
        <f t="shared" si="13"/>
        <v>1.4339015302999043</v>
      </c>
      <c r="F35" s="378">
        <f t="shared" si="13"/>
        <v>1.420968802035925</v>
      </c>
      <c r="G35" s="378">
        <f t="shared" si="13"/>
        <v>1.4081461810628479</v>
      </c>
      <c r="H35" s="378">
        <f t="shared" si="13"/>
        <v>1.3954265052813903</v>
      </c>
      <c r="I35" s="378">
        <f t="shared" si="13"/>
        <v>1.3828168519108788</v>
      </c>
      <c r="J35" s="378">
        <f t="shared" si="13"/>
        <v>1.3703103933252427</v>
      </c>
      <c r="K35" s="379">
        <f t="shared" si="13"/>
        <v>1.3579104307163468</v>
      </c>
      <c r="M35" s="1462"/>
      <c r="N35" s="1463"/>
    </row>
    <row r="36" spans="1:14" ht="13.15" customHeight="1">
      <c r="A36" s="678" t="s">
        <v>3666</v>
      </c>
      <c r="B36" s="1571">
        <f>IF('Part III A-Sources of Funds'!$H$32="","",-FV('Part III A-Sources of Funds'!$J$32/12,12,B23/12,'Part III A-Sources of Funds'!$H$32))</f>
        <v>691078.04718578758</v>
      </c>
      <c r="C36" s="1571">
        <f>IF('Part III A-Sources of Funds'!$H$32="","",-FV('Part III A-Sources of Funds'!$J$32/12,12,C23/12,B36))</f>
        <v>681624.64088807383</v>
      </c>
      <c r="D36" s="1571">
        <f>IF('Part III A-Sources of Funds'!$H$32="","",-FV('Part III A-Sources of Funds'!$J$32/12,12,D23/12,C36))</f>
        <v>671608.12404578621</v>
      </c>
      <c r="E36" s="1571">
        <f>IF('Part III A-Sources of Funds'!$H$32="","",-FV('Part III A-Sources of Funds'!$J$32/12,12,E23/12,D36))</f>
        <v>660994.95388339763</v>
      </c>
      <c r="F36" s="1571">
        <f>IF('Part III A-Sources of Funds'!$H$32="","",-FV('Part III A-Sources of Funds'!$J$32/12,12,F23/12,E36))</f>
        <v>649749.58958467504</v>
      </c>
      <c r="G36" s="1571">
        <f>IF('Part III A-Sources of Funds'!$H$32="","",-FV('Part III A-Sources of Funds'!$J$32/12,12,G23/12,F36))</f>
        <v>637834.37327549607</v>
      </c>
      <c r="H36" s="1571">
        <f>IF('Part III A-Sources of Funds'!$H$32="","",-FV('Part III A-Sources of Funds'!$J$32/12,12,H23/12,G36))</f>
        <v>625209.40391717548</v>
      </c>
      <c r="I36" s="1571">
        <f>IF('Part III A-Sources of Funds'!$H$32="","",-FV('Part III A-Sources of Funds'!$J$32/12,12,I23/12,H36))</f>
        <v>611832.40368800238</v>
      </c>
      <c r="J36" s="1571">
        <f>IF('Part III A-Sources of Funds'!$H$32="","",-FV('Part III A-Sources of Funds'!$J$32/12,12,J23/12,I36))</f>
        <v>597658.57640553359</v>
      </c>
      <c r="K36" s="1571">
        <f>IF('Part III A-Sources of Funds'!$H$32="","",-FV('Part III A-Sources of Funds'!$J$32/12,12,K23/12,J36))</f>
        <v>582640.45751553518</v>
      </c>
      <c r="M36" s="1462"/>
      <c r="N36" s="1463"/>
    </row>
    <row r="37" spans="1:14" ht="13.15" customHeight="1">
      <c r="A37" s="678" t="s">
        <v>3667</v>
      </c>
      <c r="B37" s="1568">
        <f>IF('Part III A-Sources of Funds'!$H$33="","",-FV('Part III A-Sources of Funds'!$J$33/12,12,B24/12,'Part III A-Sources of Funds'!$H$33))</f>
        <v>1952031.9756016724</v>
      </c>
      <c r="C37" s="1568">
        <f>IF('Part III A-Sources of Funds'!$H$33="","",-FV('Part III A-Sources of Funds'!$J$33/12,12,C24/12,B37))</f>
        <v>1903582.0663064041</v>
      </c>
      <c r="D37" s="1568">
        <f>IF('Part III A-Sources of Funds'!$H$33="","",-FV('Part III A-Sources of Funds'!$J$33/12,12,D24/12,C37))</f>
        <v>1854645.4311173679</v>
      </c>
      <c r="E37" s="1568">
        <f>IF('Part III A-Sources of Funds'!$H$33="","",-FV('Part III A-Sources of Funds'!$J$33/12,12,E24/12,D37))</f>
        <v>1805217.1804052726</v>
      </c>
      <c r="F37" s="1568">
        <f>IF('Part III A-Sources of Funds'!$H$33="","",-FV('Part III A-Sources of Funds'!$J$33/12,12,F24/12,E37))</f>
        <v>1755292.3754198018</v>
      </c>
      <c r="G37" s="1568">
        <f>IF('Part III A-Sources of Funds'!$H$33="","",-FV('Part III A-Sources of Funds'!$J$33/12,12,G24/12,F37))</f>
        <v>1704866.0277961467</v>
      </c>
      <c r="H37" s="1568">
        <f>IF('Part III A-Sources of Funds'!$H$33="","",-FV('Part III A-Sources of Funds'!$J$33/12,12,H24/12,G37))</f>
        <v>1653933.099056581</v>
      </c>
      <c r="I37" s="1568">
        <f>IF('Part III A-Sources of Funds'!$H$33="","",-FV('Part III A-Sources of Funds'!$J$33/12,12,I24/12,H37))</f>
        <v>1602488.5001070283</v>
      </c>
      <c r="J37" s="1568">
        <f>IF('Part III A-Sources of Funds'!$H$33="","",-FV('Part III A-Sources of Funds'!$J$33/12,12,J24/12,I37))</f>
        <v>1550527.0907285716</v>
      </c>
      <c r="K37" s="1568">
        <f>IF('Part III A-Sources of Funds'!$H$33="","",-FV('Part III A-Sources of Funds'!$J$33/12,12,K24/12,J37))</f>
        <v>1498043.6790638561</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54097</v>
      </c>
      <c r="C41" s="1570">
        <f>IF('Part III A-Sources of Funds'!$H$37="","",-FV('Part III A-Sources of Funds'!$J$37/12,12,C29/12,B41))</f>
        <v>13335</v>
      </c>
      <c r="D41" s="1570">
        <f>IF('Part III A-Sources of Funds'!$H$37="","",-FV('Part III A-Sources of Funds'!$J$37/12,12,D29/12,C41))</f>
        <v>0</v>
      </c>
      <c r="E41" s="1570">
        <f>IF('Part III A-Sources of Funds'!$H$37="","",-FV('Part III A-Sources of Funds'!$J$37/12,12,E29/12,D41))</f>
        <v>0</v>
      </c>
      <c r="F41" s="1570">
        <f>IF('Part III A-Sources of Funds'!$H$37="","",-FV('Part III A-Sources of Funds'!$J$37/12,12,F29/12,E41))</f>
        <v>0</v>
      </c>
      <c r="G41" s="1570">
        <f>IF('Part III A-Sources of Funds'!$H$37="","",-FV('Part III A-Sources of Funds'!$J$37/12,12,G29/12,F41))</f>
        <v>0</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644067.89174842986</v>
      </c>
      <c r="C44" s="22">
        <f t="shared" si="16"/>
        <v>656949.24958339834</v>
      </c>
      <c r="D44" s="22">
        <f t="shared" si="16"/>
        <v>670088.23457506637</v>
      </c>
      <c r="E44" s="22">
        <f t="shared" si="16"/>
        <v>683489.99926656776</v>
      </c>
      <c r="F44" s="22">
        <f t="shared" si="16"/>
        <v>697159.79925189912</v>
      </c>
      <c r="G44" s="22">
        <f t="shared" si="16"/>
        <v>711102.99523693696</v>
      </c>
      <c r="H44" s="22">
        <f t="shared" si="16"/>
        <v>725325.05514167575</v>
      </c>
      <c r="I44" s="22">
        <f t="shared" si="16"/>
        <v>739831.55624450941</v>
      </c>
      <c r="J44" s="22">
        <f t="shared" si="16"/>
        <v>754628.18736939947</v>
      </c>
      <c r="K44" s="23">
        <f t="shared" si="16"/>
        <v>769720.75111678743</v>
      </c>
      <c r="M44" s="1460"/>
      <c r="N44" s="1461"/>
    </row>
    <row r="45" spans="1:14" ht="13.15" customHeight="1">
      <c r="A45" s="24" t="s">
        <v>1519</v>
      </c>
      <c r="B45" s="25">
        <f t="shared" ref="B45:K45" si="17">$B$15*(1+$B$5)^(B43-1)</f>
        <v>12881.357834968598</v>
      </c>
      <c r="C45" s="25">
        <f t="shared" si="17"/>
        <v>13138.984991667967</v>
      </c>
      <c r="D45" s="25">
        <f t="shared" si="17"/>
        <v>13401.76469150133</v>
      </c>
      <c r="E45" s="25">
        <f t="shared" si="17"/>
        <v>13669.799985331356</v>
      </c>
      <c r="F45" s="25">
        <f t="shared" si="17"/>
        <v>13943.195985037984</v>
      </c>
      <c r="G45" s="25">
        <f t="shared" si="17"/>
        <v>14222.059904738739</v>
      </c>
      <c r="H45" s="25">
        <f t="shared" si="17"/>
        <v>14506.501102833516</v>
      </c>
      <c r="I45" s="25">
        <f t="shared" si="17"/>
        <v>14796.631124890187</v>
      </c>
      <c r="J45" s="25">
        <f t="shared" si="17"/>
        <v>15092.563747387991</v>
      </c>
      <c r="K45" s="26">
        <f t="shared" si="17"/>
        <v>15394.41502233575</v>
      </c>
      <c r="M45" s="1462"/>
      <c r="N45" s="1463"/>
    </row>
    <row r="46" spans="1:14" ht="13.15" customHeight="1">
      <c r="A46" s="24" t="s">
        <v>3385</v>
      </c>
      <c r="B46" s="25">
        <f t="shared" ref="B46:K46" si="18">-(B44+B45)*$B$8</f>
        <v>-45986.447470837898</v>
      </c>
      <c r="C46" s="25">
        <f t="shared" si="18"/>
        <v>-46906.17642025464</v>
      </c>
      <c r="D46" s="25">
        <f t="shared" si="18"/>
        <v>-47844.29994865974</v>
      </c>
      <c r="E46" s="25">
        <f t="shared" si="18"/>
        <v>-48801.185947632941</v>
      </c>
      <c r="F46" s="25">
        <f t="shared" si="18"/>
        <v>-49777.209666585601</v>
      </c>
      <c r="G46" s="25">
        <f t="shared" si="18"/>
        <v>-50772.753859917306</v>
      </c>
      <c r="H46" s="25">
        <f t="shared" si="18"/>
        <v>-51788.208937115654</v>
      </c>
      <c r="I46" s="25">
        <f t="shared" si="18"/>
        <v>-52823.973115857974</v>
      </c>
      <c r="J46" s="25">
        <f t="shared" si="18"/>
        <v>-53880.452578175129</v>
      </c>
      <c r="K46" s="26">
        <f t="shared" si="18"/>
        <v>-54958.061629738622</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-396613.91403927852</v>
      </c>
      <c r="C49" s="25">
        <f t="shared" si="19"/>
        <v>-408512.33146045689</v>
      </c>
      <c r="D49" s="25">
        <f t="shared" si="19"/>
        <v>-420767.70140427054</v>
      </c>
      <c r="E49" s="25">
        <f t="shared" si="19"/>
        <v>-433390.73244639864</v>
      </c>
      <c r="F49" s="25">
        <f t="shared" si="19"/>
        <v>-446392.45441979065</v>
      </c>
      <c r="G49" s="25">
        <f t="shared" si="19"/>
        <v>-459784.22805238439</v>
      </c>
      <c r="H49" s="25">
        <f t="shared" si="19"/>
        <v>-473577.75489395583</v>
      </c>
      <c r="I49" s="25">
        <f t="shared" si="19"/>
        <v>-487785.08754077455</v>
      </c>
      <c r="J49" s="25">
        <f t="shared" si="19"/>
        <v>-502418.64016699773</v>
      </c>
      <c r="K49" s="26">
        <f t="shared" si="19"/>
        <v>-517491.19937200769</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-30548</v>
      </c>
      <c r="C50" s="25">
        <f>IF(AND('Part VII-Pro Forma'!$G$8="Yes",'Part VII-Pro Forma'!$G$9="Yes"),"Choose One!",IF('Part VII-Pro Forma'!$G$8="Yes",ROUND((-$K$8*(1+'Part VII-Pro Forma'!$B$6)^('Part VII-Pro Forma'!C43-1)),),IF('Part VII-Pro Forma'!$G$9="Yes",ROUND((-(SUM(C44:C47)*'Part VII-Pro Forma'!$K$9)),),"Choose mgt fee")))</f>
        <v>-31159</v>
      </c>
      <c r="D50" s="25">
        <f>IF(AND('Part VII-Pro Forma'!$G$8="Yes",'Part VII-Pro Forma'!$G$9="Yes"),"Choose One!",IF('Part VII-Pro Forma'!$G$8="Yes",ROUND((-$K$8*(1+'Part VII-Pro Forma'!$B$6)^('Part VII-Pro Forma'!D43-1)),),IF('Part VII-Pro Forma'!$G$9="Yes",ROUND((-(SUM(D44:D47)*'Part VII-Pro Forma'!$K$9)),),"Choose mgt fee")))</f>
        <v>-31782</v>
      </c>
      <c r="E50" s="25">
        <f>IF(AND('Part VII-Pro Forma'!$G$8="Yes",'Part VII-Pro Forma'!$G$9="Yes"),"Choose One!",IF('Part VII-Pro Forma'!$G$8="Yes",ROUND((-$K$8*(1+'Part VII-Pro Forma'!$B$6)^('Part VII-Pro Forma'!E43-1)),),IF('Part VII-Pro Forma'!$G$9="Yes",ROUND((-(SUM(E44:E47)*'Part VII-Pro Forma'!$K$9)),),"Choose mgt fee")))</f>
        <v>-32418</v>
      </c>
      <c r="F50" s="25">
        <f>IF(AND('Part VII-Pro Forma'!$G$8="Yes",'Part VII-Pro Forma'!$G$9="Yes"),"Choose One!",IF('Part VII-Pro Forma'!$G$8="Yes",ROUND((-$K$8*(1+'Part VII-Pro Forma'!$B$6)^('Part VII-Pro Forma'!F43-1)),),IF('Part VII-Pro Forma'!$G$9="Yes",ROUND((-(SUM(F44:F47)*'Part VII-Pro Forma'!$K$9)),),"Choose mgt fee")))</f>
        <v>-33066</v>
      </c>
      <c r="G50" s="25">
        <f>IF(AND('Part VII-Pro Forma'!$G$8="Yes",'Part VII-Pro Forma'!$G$9="Yes"),"Choose One!",IF('Part VII-Pro Forma'!$G$8="Yes",ROUND((-$K$8*(1+'Part VII-Pro Forma'!$B$6)^('Part VII-Pro Forma'!G43-1)),),IF('Part VII-Pro Forma'!$G$9="Yes",ROUND((-(SUM(G44:G47)*'Part VII-Pro Forma'!$K$9)),),"Choose mgt fee")))</f>
        <v>-33728</v>
      </c>
      <c r="H50" s="25">
        <f>IF(AND('Part VII-Pro Forma'!$G$8="Yes",'Part VII-Pro Forma'!$G$9="Yes"),"Choose One!",IF('Part VII-Pro Forma'!$G$8="Yes",ROUND((-$K$8*(1+'Part VII-Pro Forma'!$B$6)^('Part VII-Pro Forma'!H43-1)),),IF('Part VII-Pro Forma'!$G$9="Yes",ROUND((-(SUM(H44:H47)*'Part VII-Pro Forma'!$K$9)),),"Choose mgt fee")))</f>
        <v>-34402</v>
      </c>
      <c r="I50" s="25">
        <f>IF(AND('Part VII-Pro Forma'!$G$8="Yes",'Part VII-Pro Forma'!$G$9="Yes"),"Choose One!",IF('Part VII-Pro Forma'!$G$8="Yes",ROUND((-$K$8*(1+'Part VII-Pro Forma'!$B$6)^('Part VII-Pro Forma'!I43-1)),),IF('Part VII-Pro Forma'!$G$9="Yes",ROUND((-(SUM(I44:I47)*'Part VII-Pro Forma'!$K$9)),),"Choose mgt fee")))</f>
        <v>-35090</v>
      </c>
      <c r="J50" s="25">
        <f>IF(AND('Part VII-Pro Forma'!$G$8="Yes",'Part VII-Pro Forma'!$G$9="Yes"),"Choose One!",IF('Part VII-Pro Forma'!$G$8="Yes",ROUND((-$K$8*(1+'Part VII-Pro Forma'!$B$6)^('Part VII-Pro Forma'!J43-1)),),IF('Part VII-Pro Forma'!$G$9="Yes",ROUND((-(SUM(J44:J47)*'Part VII-Pro Forma'!$K$9)),),"Choose mgt fee")))</f>
        <v>-35792</v>
      </c>
      <c r="K50" s="25">
        <f>IF(AND('Part VII-Pro Forma'!$G$8="Yes",'Part VII-Pro Forma'!$G$9="Yes"),"Choose One!",IF('Part VII-Pro Forma'!$G$8="Yes",ROUND((-$K$8*(1+'Part VII-Pro Forma'!$B$6)^('Part VII-Pro Forma'!K43-1)),),IF('Part VII-Pro Forma'!$G$9="Yes",ROUND((-(SUM(K44:K47)*'Part VII-Pro Forma'!$K$9)),),"Choose mgt fee")))</f>
        <v>-36508</v>
      </c>
      <c r="M50" s="1462"/>
      <c r="N50" s="1463"/>
    </row>
    <row r="51" spans="1:14" ht="13.15" customHeight="1">
      <c r="A51" s="24" t="s">
        <v>1739</v>
      </c>
      <c r="B51" s="25">
        <f t="shared" ref="B51:K51" si="20">$B$21*(1+$B$7)^(B43-1)</f>
        <v>-26878.327586882435</v>
      </c>
      <c r="C51" s="25">
        <f t="shared" si="20"/>
        <v>-27684.67741448891</v>
      </c>
      <c r="D51" s="25">
        <f t="shared" si="20"/>
        <v>-28515.217736923572</v>
      </c>
      <c r="E51" s="25">
        <f t="shared" si="20"/>
        <v>-29370.674269031279</v>
      </c>
      <c r="F51" s="25">
        <f t="shared" si="20"/>
        <v>-30251.794497102219</v>
      </c>
      <c r="G51" s="25">
        <f t="shared" si="20"/>
        <v>-31159.348332015288</v>
      </c>
      <c r="H51" s="25">
        <f t="shared" si="20"/>
        <v>-32094.128781975742</v>
      </c>
      <c r="I51" s="25">
        <f t="shared" si="20"/>
        <v>-33056.952645435013</v>
      </c>
      <c r="J51" s="25">
        <f t="shared" si="20"/>
        <v>-34048.661224798067</v>
      </c>
      <c r="K51" s="26">
        <f t="shared" si="20"/>
        <v>-35070.121061542006</v>
      </c>
      <c r="M51" s="1462"/>
      <c r="N51" s="1463"/>
    </row>
    <row r="52" spans="1:14" ht="13.15" customHeight="1">
      <c r="A52" s="24" t="s">
        <v>1740</v>
      </c>
      <c r="B52" s="25">
        <f t="shared" ref="B52:K52" si="21">SUM(B44:B51)</f>
        <v>156922.56048639966</v>
      </c>
      <c r="C52" s="25">
        <f t="shared" si="21"/>
        <v>155826.04927986581</v>
      </c>
      <c r="D52" s="25">
        <f t="shared" si="21"/>
        <v>154580.7801767138</v>
      </c>
      <c r="E52" s="25">
        <f t="shared" si="21"/>
        <v>153179.20658883633</v>
      </c>
      <c r="F52" s="25">
        <f t="shared" si="21"/>
        <v>151615.53665345866</v>
      </c>
      <c r="G52" s="25">
        <f t="shared" si="21"/>
        <v>149880.7248973588</v>
      </c>
      <c r="H52" s="25">
        <f t="shared" si="21"/>
        <v>147969.4636314621</v>
      </c>
      <c r="I52" s="25">
        <f t="shared" si="21"/>
        <v>145872.17406733212</v>
      </c>
      <c r="J52" s="25">
        <f t="shared" si="21"/>
        <v>143580.99714681652</v>
      </c>
      <c r="K52" s="26">
        <f t="shared" si="21"/>
        <v>141087.78407583479</v>
      </c>
      <c r="M52" s="1462"/>
      <c r="N52" s="1463"/>
    </row>
    <row r="53" spans="1:14" ht="13.15" customHeight="1">
      <c r="A53" s="24" t="str">
        <f>$A23</f>
        <v>Mortgage A</v>
      </c>
      <c r="B53" s="1567">
        <f>IF('Part III A-Sources of Funds'!$M$32="", 0,-'Part III A-Sources of Funds'!$M$32)</f>
        <v>-49287.255198116283</v>
      </c>
      <c r="C53" s="1567">
        <f>IF('Part III A-Sources of Funds'!$M$32="", 0,-'Part III A-Sources of Funds'!$M$32)</f>
        <v>-49287.255198116283</v>
      </c>
      <c r="D53" s="1567">
        <f>IF('Part III A-Sources of Funds'!$M$32="", 0,-'Part III A-Sources of Funds'!$M$32)</f>
        <v>-49287.255198116283</v>
      </c>
      <c r="E53" s="1567">
        <f>IF('Part III A-Sources of Funds'!$M$32="", 0,-'Part III A-Sources of Funds'!$M$32)</f>
        <v>-49287.255198116283</v>
      </c>
      <c r="F53" s="1567">
        <f>IF('Part III A-Sources of Funds'!$M$32="", 0,-'Part III A-Sources of Funds'!$M$32)</f>
        <v>-49287.255198116283</v>
      </c>
      <c r="G53" s="1567">
        <f>IF('Part III A-Sources of Funds'!$M$32="", 0,-'Part III A-Sources of Funds'!$M$32)</f>
        <v>-49287.255198116283</v>
      </c>
      <c r="H53" s="1567">
        <f>IF('Part III A-Sources of Funds'!$M$32="", 0,-'Part III A-Sources of Funds'!$M$32)</f>
        <v>-49287.255198116283</v>
      </c>
      <c r="I53" s="1567">
        <f>IF('Part III A-Sources of Funds'!$M$32="", 0,-'Part III A-Sources of Funds'!$M$32)</f>
        <v>-49287.255198116283</v>
      </c>
      <c r="J53" s="1567">
        <f>IF('Part III A-Sources of Funds'!$M$32="", 0,-'Part III A-Sources of Funds'!$M$32)</f>
        <v>-49287.255198116283</v>
      </c>
      <c r="K53" s="1567">
        <f>IF('Part III A-Sources of Funds'!$M$32="", 0,-'Part III A-Sources of Funds'!$M$32)</f>
        <v>-49287.255198116283</v>
      </c>
      <c r="M53" s="1462"/>
      <c r="N53" s="1463"/>
    </row>
    <row r="54" spans="1:14" ht="13.15" customHeight="1">
      <c r="A54" s="24" t="str">
        <f>$A24</f>
        <v>Mortgage B</v>
      </c>
      <c r="B54" s="1568">
        <f>IF('Part III A-Sources of Funds'!$M$33="", 0,-'Part III A-Sources of Funds'!$M$33)</f>
        <v>-67748.567744812142</v>
      </c>
      <c r="C54" s="1568">
        <f>IF('Part III A-Sources of Funds'!$M$33="", 0,-'Part III A-Sources of Funds'!$M$33)</f>
        <v>-67748.567744812142</v>
      </c>
      <c r="D54" s="1568">
        <f>IF('Part III A-Sources of Funds'!$M$33="", 0,-'Part III A-Sources of Funds'!$M$33)</f>
        <v>-67748.567744812142</v>
      </c>
      <c r="E54" s="1568">
        <f>IF('Part III A-Sources of Funds'!$M$33="", 0,-'Part III A-Sources of Funds'!$M$33)</f>
        <v>-67748.567744812142</v>
      </c>
      <c r="F54" s="1568">
        <f>IF('Part III A-Sources of Funds'!$M$33="", 0,-'Part III A-Sources of Funds'!$M$33)</f>
        <v>-67748.567744812142</v>
      </c>
      <c r="G54" s="1568">
        <f>IF('Part III A-Sources of Funds'!$M$33="", 0,-'Part III A-Sources of Funds'!$M$33)</f>
        <v>-67748.567744812142</v>
      </c>
      <c r="H54" s="1568">
        <f>IF('Part III A-Sources of Funds'!$M$33="", 0,-'Part III A-Sources of Funds'!$M$33)</f>
        <v>-67748.567744812142</v>
      </c>
      <c r="I54" s="1568">
        <f>IF('Part III A-Sources of Funds'!$M$33="", 0,-'Part III A-Sources of Funds'!$M$33)</f>
        <v>-67748.567744812142</v>
      </c>
      <c r="J54" s="1568">
        <f>IF('Part III A-Sources of Funds'!$M$33="", 0,-'Part III A-Sources of Funds'!$M$33)</f>
        <v>-67748.567744812142</v>
      </c>
      <c r="K54" s="1568">
        <f>IF('Part III A-Sources of Funds'!$M$33="", 0,-'Part III A-Sources of Funds'!$M$33)</f>
        <v>-67748.567744812142</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+K28*1.03</f>
        <v>-4300.5324139011909</v>
      </c>
      <c r="C58" s="1568">
        <f>+B58*1.03</f>
        <v>-4429.5483863182271</v>
      </c>
      <c r="D58" s="1568">
        <f t="shared" ref="D58:K58" si="22">+C58*1.03</f>
        <v>-4562.4348379077737</v>
      </c>
      <c r="E58" s="1568">
        <f t="shared" si="22"/>
        <v>-4699.3078830450067</v>
      </c>
      <c r="F58" s="1568">
        <f t="shared" si="22"/>
        <v>-4840.2871195363568</v>
      </c>
      <c r="G58" s="1568">
        <f t="shared" si="22"/>
        <v>-4985.4957331224477</v>
      </c>
      <c r="H58" s="1568">
        <f t="shared" si="22"/>
        <v>-5135.0606051161212</v>
      </c>
      <c r="I58" s="1568">
        <f t="shared" si="22"/>
        <v>-5289.1124232696047</v>
      </c>
      <c r="J58" s="1568">
        <f t="shared" si="22"/>
        <v>-5447.785795967693</v>
      </c>
      <c r="K58" s="1568">
        <f t="shared" si="22"/>
        <v>-5611.2193698467236</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35586.205129570037</v>
      </c>
      <c r="C60" s="25">
        <f t="shared" si="23"/>
        <v>34360.677950619152</v>
      </c>
      <c r="D60" s="25">
        <f t="shared" si="23"/>
        <v>32982.522395877604</v>
      </c>
      <c r="E60" s="25">
        <f t="shared" si="23"/>
        <v>31444.075762862896</v>
      </c>
      <c r="F60" s="25">
        <f t="shared" si="23"/>
        <v>29739.426590993884</v>
      </c>
      <c r="G60" s="25">
        <f t="shared" si="23"/>
        <v>27859.406221307927</v>
      </c>
      <c r="H60" s="25">
        <f t="shared" si="23"/>
        <v>25798.580083417553</v>
      </c>
      <c r="I60" s="25">
        <f t="shared" si="23"/>
        <v>23547.238701134087</v>
      </c>
      <c r="J60" s="25">
        <f t="shared" si="23"/>
        <v>21097.3884079204</v>
      </c>
      <c r="K60" s="23">
        <f t="shared" si="23"/>
        <v>18440.741763059639</v>
      </c>
      <c r="M60" s="1462"/>
      <c r="N60" s="1463"/>
    </row>
    <row r="61" spans="1:14" ht="13.15" customHeight="1">
      <c r="A61" s="24" t="str">
        <f>$A31</f>
        <v>DCR Mortgage A</v>
      </c>
      <c r="B61" s="27">
        <f>IF(B53=0,"",-B52/B53)</f>
        <v>3.1838364675742201</v>
      </c>
      <c r="C61" s="27">
        <f t="shared" ref="C61:K61" si="24">IF(C53=0,"",-C52/C53)</f>
        <v>3.1615891096694981</v>
      </c>
      <c r="D61" s="27">
        <f t="shared" si="24"/>
        <v>3.1363235699646292</v>
      </c>
      <c r="E61" s="27">
        <f t="shared" si="24"/>
        <v>3.1078867340677294</v>
      </c>
      <c r="F61" s="27">
        <f t="shared" si="24"/>
        <v>3.0761610895965106</v>
      </c>
      <c r="G61" s="27">
        <f t="shared" si="24"/>
        <v>3.0409631109481445</v>
      </c>
      <c r="H61" s="27">
        <f t="shared" si="24"/>
        <v>3.0021851092474181</v>
      </c>
      <c r="I61" s="27">
        <f t="shared" si="24"/>
        <v>2.9596327383413965</v>
      </c>
      <c r="J61" s="27">
        <f t="shared" si="24"/>
        <v>2.9131465440644799</v>
      </c>
      <c r="K61" s="28">
        <f t="shared" si="24"/>
        <v>2.8625611937348672</v>
      </c>
      <c r="M61" s="1462"/>
      <c r="N61" s="1463"/>
    </row>
    <row r="62" spans="1:14" ht="13.15" customHeight="1">
      <c r="A62" s="24" t="str">
        <f>$A32</f>
        <v>DCR Mortgage B</v>
      </c>
      <c r="B62" s="27">
        <f>IF(OR(B54=0,AND(B54=0,B53=0)),"",-B52/(B53+B54))</f>
        <v>1.3408079384627531</v>
      </c>
      <c r="C62" s="27">
        <f t="shared" ref="C62:K62" si="25">IF(OR(C54=0,AND(C54=0,C53=0)),"",-C52/(C53+C54))</f>
        <v>1.3314389164064162</v>
      </c>
      <c r="D62" s="27">
        <f t="shared" si="25"/>
        <v>1.3207988485037943</v>
      </c>
      <c r="E62" s="27">
        <f t="shared" si="25"/>
        <v>1.3088232537445645</v>
      </c>
      <c r="F62" s="27">
        <f t="shared" si="25"/>
        <v>1.2954626441802588</v>
      </c>
      <c r="G62" s="27">
        <f t="shared" si="25"/>
        <v>1.2806397317379221</v>
      </c>
      <c r="H62" s="27">
        <f t="shared" si="25"/>
        <v>1.2643091654391854</v>
      </c>
      <c r="I62" s="27">
        <f t="shared" si="25"/>
        <v>1.2463891003566105</v>
      </c>
      <c r="J62" s="27">
        <f t="shared" si="25"/>
        <v>1.2268123856131865</v>
      </c>
      <c r="K62" s="28">
        <f t="shared" si="25"/>
        <v>1.2055093947144295</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1.3456137718638683</v>
      </c>
      <c r="C65" s="378">
        <f t="shared" ref="C65:K65" si="28">IF(OR(C50="Choose mgt fee",C50="Choose One!"),"",(C44+C45+C46+C47+C48) / -(C49+C50+C51))</f>
        <v>1.3334204467702937</v>
      </c>
      <c r="D65" s="378">
        <f t="shared" si="28"/>
        <v>1.3213303943523345</v>
      </c>
      <c r="E65" s="378">
        <f t="shared" si="28"/>
        <v>1.3093408257925909</v>
      </c>
      <c r="F65" s="378">
        <f t="shared" si="28"/>
        <v>1.2974543615233038</v>
      </c>
      <c r="G65" s="378">
        <f t="shared" si="28"/>
        <v>1.2856657986510573</v>
      </c>
      <c r="H65" s="378">
        <f t="shared" si="28"/>
        <v>1.273980038850111</v>
      </c>
      <c r="I65" s="378">
        <f t="shared" si="28"/>
        <v>1.2623920974557827</v>
      </c>
      <c r="J65" s="378">
        <f t="shared" si="28"/>
        <v>1.250901989356245</v>
      </c>
      <c r="K65" s="379">
        <f t="shared" si="28"/>
        <v>1.2395096454386649</v>
      </c>
      <c r="M65" s="1462"/>
      <c r="N65" s="1463"/>
    </row>
    <row r="66" spans="1:14" ht="13.15" customHeight="1">
      <c r="A66" s="678" t="s">
        <v>3666</v>
      </c>
      <c r="B66" s="1571">
        <f>IF('Part III A-Sources of Funds'!$H$32="","",-FV('Part III A-Sources of Funds'!$J$32/12,12,B53/12,K36))</f>
        <v>566727.75514522369</v>
      </c>
      <c r="C66" s="1571">
        <f>IF('Part III A-Sources of Funds'!$H$32="","",-FV('Part III A-Sources of Funds'!$J$32/12,12,C53/12,B66))</f>
        <v>549867.1816885341</v>
      </c>
      <c r="D66" s="1571">
        <f>IF('Part III A-Sources of Funds'!$H$32="","",-FV('Part III A-Sources of Funds'!$J$32/12,12,D53/12,C66))</f>
        <v>532002.2753594364</v>
      </c>
      <c r="E66" s="1571">
        <f>IF('Part III A-Sources of Funds'!$H$32="","",-FV('Part III A-Sources of Funds'!$J$32/12,12,E53/12,D66))</f>
        <v>513073.21111572831</v>
      </c>
      <c r="F66" s="1571">
        <f>IF('Part III A-Sources of Funds'!$H$32="","",-FV('Part III A-Sources of Funds'!$J$32/12,12,F53/12,E66))</f>
        <v>493016.600320136</v>
      </c>
      <c r="G66" s="1571">
        <f>IF('Part III A-Sources of Funds'!$H$32="","",-FV('Part III A-Sources of Funds'!$J$32/12,12,G53/12,F66))</f>
        <v>471765.27846783778</v>
      </c>
      <c r="H66" s="1571">
        <f>IF('Part III A-Sources of Funds'!$H$32="","",-FV('Part III A-Sources of Funds'!$J$32/12,12,H53/12,G66))</f>
        <v>449248.08026956511</v>
      </c>
      <c r="I66" s="1571">
        <f>IF('Part III A-Sources of Funds'!$H$32="","",-FV('Part III A-Sources of Funds'!$J$32/12,12,I53/12,H66))</f>
        <v>425389.60133709048</v>
      </c>
      <c r="J66" s="1571">
        <f>IF('Part III A-Sources of Funds'!$H$32="","",-FV('Part III A-Sources of Funds'!$J$32/12,12,J53/12,I66))</f>
        <v>400109.9456730478</v>
      </c>
      <c r="K66" s="1571">
        <f>IF('Part III A-Sources of Funds'!$H$32="","",-FV('Part III A-Sources of Funds'!$J$32/12,12,K53/12,J66))</f>
        <v>373324.45811949228</v>
      </c>
      <c r="M66" s="1462"/>
      <c r="N66" s="1463"/>
    </row>
    <row r="67" spans="1:14" ht="13.15" customHeight="1">
      <c r="A67" s="678" t="s">
        <v>3667</v>
      </c>
      <c r="B67" s="1568">
        <f>IF('Part III A-Sources of Funds'!$H$33="","",-FV('Part III A-Sources of Funds'!$J$33/12,12,B54/12,K37))</f>
        <v>1445033.0210983311</v>
      </c>
      <c r="C67" s="1568">
        <f>IF('Part III A-Sources of Funds'!$H$33="","",-FV('Part III A-Sources of Funds'!$J$33/12,12,C54/12,B67))</f>
        <v>1391489.8201362807</v>
      </c>
      <c r="D67" s="1568">
        <f>IF('Part III A-Sources of Funds'!$H$33="","",-FV('Part III A-Sources of Funds'!$J$33/12,12,D54/12,C67))</f>
        <v>1337408.7262715911</v>
      </c>
      <c r="E67" s="1568">
        <f>IF('Part III A-Sources of Funds'!$H$33="","",-FV('Part III A-Sources of Funds'!$J$33/12,12,E54/12,D67))</f>
        <v>1282784.3358532009</v>
      </c>
      <c r="F67" s="1568">
        <f>IF('Part III A-Sources of Funds'!$H$33="","",-FV('Part III A-Sources of Funds'!$J$33/12,12,F54/12,E67))</f>
        <v>1227611.1909451813</v>
      </c>
      <c r="G67" s="1568">
        <f>IF('Part III A-Sources of Funds'!$H$33="","",-FV('Part III A-Sources of Funds'!$J$33/12,12,G54/12,F67))</f>
        <v>1171883.7787813931</v>
      </c>
      <c r="H67" s="1568">
        <f>IF('Part III A-Sources of Funds'!$H$33="","",-FV('Part III A-Sources of Funds'!$J$33/12,12,H54/12,G67))</f>
        <v>1115596.5312146638</v>
      </c>
      <c r="I67" s="1568">
        <f>IF('Part III A-Sources of Funds'!$H$33="","",-FV('Part III A-Sources of Funds'!$J$33/12,12,I54/12,H67))</f>
        <v>1058743.824160432</v>
      </c>
      <c r="J67" s="1568">
        <f>IF('Part III A-Sources of Funds'!$H$33="","",-FV('Part III A-Sources of Funds'!$J$33/12,12,J54/12,I67))</f>
        <v>1001319.977034803</v>
      </c>
      <c r="K67" s="1568">
        <f>IF('Part III A-Sources of Funds'!$H$33="","",-FV('Part III A-Sources of Funds'!$J$33/12,12,K54/12,J67))</f>
        <v>943319.25218695856</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785115.16613912326</v>
      </c>
      <c r="C74" s="22">
        <f t="shared" si="31"/>
        <v>800817.46946190565</v>
      </c>
      <c r="D74" s="22">
        <f t="shared" si="31"/>
        <v>816833.81885114382</v>
      </c>
      <c r="E74" s="22">
        <f t="shared" si="31"/>
        <v>833170.49522816658</v>
      </c>
      <c r="F74" s="22">
        <f t="shared" si="31"/>
        <v>849833.90513272991</v>
      </c>
      <c r="G74" s="22">
        <f t="shared" si="31"/>
        <v>866830.58323538455</v>
      </c>
      <c r="H74" s="22">
        <f t="shared" si="31"/>
        <v>884167.19490009232</v>
      </c>
      <c r="I74" s="22">
        <f t="shared" si="31"/>
        <v>901850.53879809391</v>
      </c>
      <c r="J74" s="22">
        <f t="shared" si="31"/>
        <v>919887.54957405606</v>
      </c>
      <c r="K74" s="23">
        <f t="shared" si="31"/>
        <v>938285.30056553707</v>
      </c>
      <c r="M74" s="1460"/>
      <c r="N74" s="1461"/>
    </row>
    <row r="75" spans="1:14" ht="13.15" customHeight="1">
      <c r="A75" s="24" t="s">
        <v>1519</v>
      </c>
      <c r="B75" s="25">
        <f t="shared" ref="B75:K75" si="32">$B$15*(1+$B$5)^(B73-1)</f>
        <v>15702.303322782465</v>
      </c>
      <c r="C75" s="25">
        <f t="shared" si="32"/>
        <v>16016.349389238114</v>
      </c>
      <c r="D75" s="25">
        <f t="shared" si="32"/>
        <v>16336.676377022877</v>
      </c>
      <c r="E75" s="25">
        <f t="shared" si="32"/>
        <v>16663.40990456333</v>
      </c>
      <c r="F75" s="25">
        <f t="shared" si="32"/>
        <v>16996.678102654598</v>
      </c>
      <c r="G75" s="25">
        <f t="shared" si="32"/>
        <v>17336.611664707692</v>
      </c>
      <c r="H75" s="25">
        <f t="shared" si="32"/>
        <v>17683.343898001847</v>
      </c>
      <c r="I75" s="25">
        <f t="shared" si="32"/>
        <v>18037.01077596188</v>
      </c>
      <c r="J75" s="25">
        <f t="shared" si="32"/>
        <v>18397.750991481123</v>
      </c>
      <c r="K75" s="26">
        <f t="shared" si="32"/>
        <v>18765.70601131074</v>
      </c>
      <c r="M75" s="1462"/>
      <c r="N75" s="1463"/>
    </row>
    <row r="76" spans="1:14" ht="13.15" customHeight="1">
      <c r="A76" s="24" t="s">
        <v>3385</v>
      </c>
      <c r="B76" s="25">
        <f t="shared" ref="B76:K76" si="33">-(B74+B75)*$B$8</f>
        <v>-56057.222862333409</v>
      </c>
      <c r="C76" s="25">
        <f t="shared" si="33"/>
        <v>-57178.367319580073</v>
      </c>
      <c r="D76" s="25">
        <f t="shared" si="33"/>
        <v>-58321.934665971676</v>
      </c>
      <c r="E76" s="25">
        <f t="shared" si="33"/>
        <v>-59488.373359291101</v>
      </c>
      <c r="F76" s="25">
        <f t="shared" si="33"/>
        <v>-60678.140826476927</v>
      </c>
      <c r="G76" s="25">
        <f t="shared" si="33"/>
        <v>-61891.703643006462</v>
      </c>
      <c r="H76" s="25">
        <f t="shared" si="33"/>
        <v>-63129.537715866594</v>
      </c>
      <c r="I76" s="25">
        <f t="shared" si="33"/>
        <v>-64392.12847018391</v>
      </c>
      <c r="J76" s="25">
        <f t="shared" si="33"/>
        <v>-65679.971039587603</v>
      </c>
      <c r="K76" s="26">
        <f t="shared" si="33"/>
        <v>-66993.570460379342</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-533015.93535316794</v>
      </c>
      <c r="C79" s="25">
        <f t="shared" si="34"/>
        <v>-549006.41341376281</v>
      </c>
      <c r="D79" s="25">
        <f t="shared" si="34"/>
        <v>-565476.60581617581</v>
      </c>
      <c r="E79" s="25">
        <f t="shared" si="34"/>
        <v>-582440.90399066114</v>
      </c>
      <c r="F79" s="25">
        <f t="shared" si="34"/>
        <v>-599914.13111038087</v>
      </c>
      <c r="G79" s="25">
        <f t="shared" si="34"/>
        <v>-617911.55504369223</v>
      </c>
      <c r="H79" s="25">
        <f t="shared" si="34"/>
        <v>-636448.90169500315</v>
      </c>
      <c r="I79" s="25">
        <f t="shared" si="34"/>
        <v>-655542.36874585319</v>
      </c>
      <c r="J79" s="25">
        <f t="shared" si="34"/>
        <v>-675208.63980822871</v>
      </c>
      <c r="K79" s="26">
        <f t="shared" si="34"/>
        <v>-695464.89900247555</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-37238</v>
      </c>
      <c r="C80" s="25">
        <f>IF(AND('Part VII-Pro Forma'!$G$8="Yes",'Part VII-Pro Forma'!$G$9="Yes"),"Choose One!",IF('Part VII-Pro Forma'!$G$8="Yes",ROUND((-$K$8*(1+'Part VII-Pro Forma'!$B$6)^('Part VII-Pro Forma'!C73-1)),),IF('Part VII-Pro Forma'!$G$9="Yes",ROUND((-(SUM(C74:C77)*'Part VII-Pro Forma'!$K$9)),),"Choose mgt fee")))</f>
        <v>-37983</v>
      </c>
      <c r="D80" s="25">
        <f>IF(AND('Part VII-Pro Forma'!$G$8="Yes",'Part VII-Pro Forma'!$G$9="Yes"),"Choose One!",IF('Part VII-Pro Forma'!$G$8="Yes",ROUND((-$K$8*(1+'Part VII-Pro Forma'!$B$6)^('Part VII-Pro Forma'!D73-1)),),IF('Part VII-Pro Forma'!$G$9="Yes",ROUND((-(SUM(D74:D77)*'Part VII-Pro Forma'!$K$9)),),"Choose mgt fee")))</f>
        <v>-38742</v>
      </c>
      <c r="E80" s="25">
        <f>IF(AND('Part VII-Pro Forma'!$G$8="Yes",'Part VII-Pro Forma'!$G$9="Yes"),"Choose One!",IF('Part VII-Pro Forma'!$G$8="Yes",ROUND((-$K$8*(1+'Part VII-Pro Forma'!$B$6)^('Part VII-Pro Forma'!E73-1)),),IF('Part VII-Pro Forma'!$G$9="Yes",ROUND((-(SUM(E74:E77)*'Part VII-Pro Forma'!$K$9)),),"Choose mgt fee")))</f>
        <v>-39517</v>
      </c>
      <c r="F80" s="25">
        <f>IF(AND('Part VII-Pro Forma'!$G$8="Yes",'Part VII-Pro Forma'!$G$9="Yes"),"Choose One!",IF('Part VII-Pro Forma'!$G$8="Yes",ROUND((-$K$8*(1+'Part VII-Pro Forma'!$B$6)^('Part VII-Pro Forma'!F73-1)),),IF('Part VII-Pro Forma'!$G$9="Yes",ROUND((-(SUM(F74:F77)*'Part VII-Pro Forma'!$K$9)),),"Choose mgt fee")))</f>
        <v>-40308</v>
      </c>
      <c r="G80" s="25">
        <f>IF(AND('Part VII-Pro Forma'!$G$8="Yes",'Part VII-Pro Forma'!$G$9="Yes"),"Choose One!",IF('Part VII-Pro Forma'!$G$8="Yes",ROUND((-$K$8*(1+'Part VII-Pro Forma'!$B$6)^('Part VII-Pro Forma'!G73-1)),),IF('Part VII-Pro Forma'!$G$9="Yes",ROUND((-(SUM(G74:G77)*'Part VII-Pro Forma'!$K$9)),),"Choose mgt fee")))</f>
        <v>-41114</v>
      </c>
      <c r="H80" s="25">
        <f>IF(AND('Part VII-Pro Forma'!$G$8="Yes",'Part VII-Pro Forma'!$G$9="Yes"),"Choose One!",IF('Part VII-Pro Forma'!$G$8="Yes",ROUND((-$K$8*(1+'Part VII-Pro Forma'!$B$6)^('Part VII-Pro Forma'!H73-1)),),IF('Part VII-Pro Forma'!$G$9="Yes",ROUND((-(SUM(H74:H77)*'Part VII-Pro Forma'!$K$9)),),"Choose mgt fee")))</f>
        <v>-41936</v>
      </c>
      <c r="I80" s="25">
        <f>IF(AND('Part VII-Pro Forma'!$G$8="Yes",'Part VII-Pro Forma'!$G$9="Yes"),"Choose One!",IF('Part VII-Pro Forma'!$G$8="Yes",ROUND((-$K$8*(1+'Part VII-Pro Forma'!$B$6)^('Part VII-Pro Forma'!I73-1)),),IF('Part VII-Pro Forma'!$G$9="Yes",ROUND((-(SUM(I74:I77)*'Part VII-Pro Forma'!$K$9)),),"Choose mgt fee")))</f>
        <v>-42775</v>
      </c>
      <c r="J80" s="25">
        <f>IF(AND('Part VII-Pro Forma'!$G$8="Yes",'Part VII-Pro Forma'!$G$9="Yes"),"Choose One!",IF('Part VII-Pro Forma'!$G$8="Yes",ROUND((-$K$8*(1+'Part VII-Pro Forma'!$B$6)^('Part VII-Pro Forma'!J73-1)),),IF('Part VII-Pro Forma'!$G$9="Yes",ROUND((-(SUM(J74:J77)*'Part VII-Pro Forma'!$K$9)),),"Choose mgt fee")))</f>
        <v>-43630</v>
      </c>
      <c r="K80" s="25">
        <f>IF(AND('Part VII-Pro Forma'!$G$8="Yes",'Part VII-Pro Forma'!$G$9="Yes"),"Choose One!",IF('Part VII-Pro Forma'!$G$8="Yes",ROUND((-$K$8*(1+'Part VII-Pro Forma'!$B$6)^('Part VII-Pro Forma'!K73-1)),),IF('Part VII-Pro Forma'!$G$9="Yes",ROUND((-(SUM(K74:K77)*'Part VII-Pro Forma'!$K$9)),),"Choose mgt fee")))</f>
        <v>-44503</v>
      </c>
      <c r="M80" s="1462"/>
      <c r="N80" s="1463"/>
    </row>
    <row r="81" spans="1:14" ht="13.15" customHeight="1">
      <c r="A81" s="24" t="s">
        <v>1739</v>
      </c>
      <c r="B81" s="25">
        <f t="shared" ref="B81:K81" si="35">$B$21*(1+$B$7)^(B73-1)</f>
        <v>-36122.224693388263</v>
      </c>
      <c r="C81" s="25">
        <f t="shared" si="35"/>
        <v>-37205.891434189907</v>
      </c>
      <c r="D81" s="25">
        <f t="shared" si="35"/>
        <v>-38322.068177215609</v>
      </c>
      <c r="E81" s="25">
        <f t="shared" si="35"/>
        <v>-39471.730222532082</v>
      </c>
      <c r="F81" s="25">
        <f t="shared" si="35"/>
        <v>-40655.882129208039</v>
      </c>
      <c r="G81" s="25">
        <f t="shared" si="35"/>
        <v>-41875.558593084279</v>
      </c>
      <c r="H81" s="25">
        <f t="shared" si="35"/>
        <v>-43131.82535087681</v>
      </c>
      <c r="I81" s="25">
        <f t="shared" si="35"/>
        <v>-44425.78011140311</v>
      </c>
      <c r="J81" s="25">
        <f t="shared" si="35"/>
        <v>-45758.553514745203</v>
      </c>
      <c r="K81" s="26">
        <f t="shared" si="35"/>
        <v>-47131.310120187554</v>
      </c>
      <c r="M81" s="1462"/>
      <c r="N81" s="1463"/>
    </row>
    <row r="82" spans="1:14" ht="13.15" customHeight="1">
      <c r="A82" s="24" t="s">
        <v>1740</v>
      </c>
      <c r="B82" s="25">
        <f t="shared" ref="B82:K82" si="36">SUM(B74:B81)</f>
        <v>138384.08655301615</v>
      </c>
      <c r="C82" s="25">
        <f t="shared" si="36"/>
        <v>135460.14668361103</v>
      </c>
      <c r="D82" s="25">
        <f t="shared" si="36"/>
        <v>132307.8865688036</v>
      </c>
      <c r="E82" s="25">
        <f t="shared" si="36"/>
        <v>128915.89756024556</v>
      </c>
      <c r="F82" s="25">
        <f t="shared" si="36"/>
        <v>125274.42916931867</v>
      </c>
      <c r="G82" s="25">
        <f t="shared" si="36"/>
        <v>121374.37762030918</v>
      </c>
      <c r="H82" s="25">
        <f t="shared" si="36"/>
        <v>117204.2740363476</v>
      </c>
      <c r="I82" s="25">
        <f t="shared" si="36"/>
        <v>112752.27224661558</v>
      </c>
      <c r="J82" s="25">
        <f t="shared" si="36"/>
        <v>108008.13620297564</v>
      </c>
      <c r="K82" s="26">
        <f t="shared" si="36"/>
        <v>102958.22699380529</v>
      </c>
      <c r="M82" s="1462"/>
      <c r="N82" s="1463"/>
    </row>
    <row r="83" spans="1:14" ht="13.15" customHeight="1">
      <c r="A83" s="24" t="str">
        <f>$A53</f>
        <v>Mortgage A</v>
      </c>
      <c r="B83" s="1567">
        <f>IF('Part III A-Sources of Funds'!$M$32="", 0,-'Part III A-Sources of Funds'!$M$32)</f>
        <v>-49287.255198116283</v>
      </c>
      <c r="C83" s="1567">
        <f>IF('Part III A-Sources of Funds'!$M$32="", 0,-'Part III A-Sources of Funds'!$M$32)</f>
        <v>-49287.255198116283</v>
      </c>
      <c r="D83" s="1567">
        <f>IF('Part III A-Sources of Funds'!$M$32="", 0,-'Part III A-Sources of Funds'!$M$32)</f>
        <v>-49287.255198116283</v>
      </c>
      <c r="E83" s="1567">
        <f>IF('Part III A-Sources of Funds'!$M$32="", 0,-'Part III A-Sources of Funds'!$M$32)</f>
        <v>-49287.255198116283</v>
      </c>
      <c r="F83" s="1567">
        <f>IF('Part III A-Sources of Funds'!$M$32="", 0,-'Part III A-Sources of Funds'!$M$32)</f>
        <v>-49287.255198116283</v>
      </c>
      <c r="G83" s="1567">
        <f>IF('Part III A-Sources of Funds'!$M$32="", 0,-'Part III A-Sources of Funds'!$M$32)</f>
        <v>-49287.255198116283</v>
      </c>
      <c r="H83" s="1567">
        <f>IF('Part III A-Sources of Funds'!$M$32="", 0,-'Part III A-Sources of Funds'!$M$32)</f>
        <v>-49287.255198116283</v>
      </c>
      <c r="I83" s="1567">
        <f>IF('Part III A-Sources of Funds'!$M$32="", 0,-'Part III A-Sources of Funds'!$M$32)</f>
        <v>-49287.255198116283</v>
      </c>
      <c r="J83" s="1567">
        <f>IF('Part III A-Sources of Funds'!$M$32="", 0,-'Part III A-Sources of Funds'!$M$32)</f>
        <v>-49287.255198116283</v>
      </c>
      <c r="K83" s="1567">
        <f>IF('Part III A-Sources of Funds'!$M$32="", 0,-'Part III A-Sources of Funds'!$M$32)</f>
        <v>-49287.255198116283</v>
      </c>
      <c r="M83" s="1462"/>
      <c r="N83" s="1463"/>
    </row>
    <row r="84" spans="1:14" ht="13.15" customHeight="1">
      <c r="A84" s="24" t="str">
        <f>$A54</f>
        <v>Mortgage B</v>
      </c>
      <c r="B84" s="1568">
        <f>IF('Part III A-Sources of Funds'!$M$33="", 0,-'Part III A-Sources of Funds'!$M$33)</f>
        <v>-67748.567744812142</v>
      </c>
      <c r="C84" s="1568">
        <f>IF('Part III A-Sources of Funds'!$M$33="", 0,-'Part III A-Sources of Funds'!$M$33)</f>
        <v>-67748.567744812142</v>
      </c>
      <c r="D84" s="1568">
        <f>IF('Part III A-Sources of Funds'!$M$33="", 0,-'Part III A-Sources of Funds'!$M$33)</f>
        <v>-67748.567744812142</v>
      </c>
      <c r="E84" s="1568">
        <f>IF('Part III A-Sources of Funds'!$M$33="", 0,-'Part III A-Sources of Funds'!$M$33)</f>
        <v>-67748.567744812142</v>
      </c>
      <c r="F84" s="1568">
        <f>IF('Part III A-Sources of Funds'!$M$33="", 0,-'Part III A-Sources of Funds'!$M$33)</f>
        <v>-67748.567744812142</v>
      </c>
      <c r="G84" s="1568">
        <f>IF('Part III A-Sources of Funds'!$M$33="", 0,-'Part III A-Sources of Funds'!$M$33)</f>
        <v>-67748.567744812142</v>
      </c>
      <c r="H84" s="1568">
        <f>IF('Part III A-Sources of Funds'!$M$33="", 0,-'Part III A-Sources of Funds'!$M$33)</f>
        <v>-67748.567744812142</v>
      </c>
      <c r="I84" s="1568">
        <f>IF('Part III A-Sources of Funds'!$M$33="", 0,-'Part III A-Sources of Funds'!$M$33)</f>
        <v>-67748.567744812142</v>
      </c>
      <c r="J84" s="1568">
        <f>IF('Part III A-Sources of Funds'!$M$33="", 0,-'Part III A-Sources of Funds'!$M$33)</f>
        <v>-67748.567744812142</v>
      </c>
      <c r="K84" s="1568">
        <f>IF('Part III A-Sources of Funds'!$M$33="", 0,-'Part III A-Sources of Funds'!$M$33)</f>
        <v>-67748.567744812142</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+K58*1.03</f>
        <v>-5779.5559509421255</v>
      </c>
      <c r="C88" s="1568">
        <f>+B88*1.03</f>
        <v>-5952.942629470389</v>
      </c>
      <c r="D88" s="1568">
        <f t="shared" ref="D88:K88" si="37">+C88*1.03</f>
        <v>-6131.5309083545008</v>
      </c>
      <c r="E88" s="1568">
        <f t="shared" si="37"/>
        <v>-6315.4768356051363</v>
      </c>
      <c r="F88" s="1568">
        <f t="shared" si="37"/>
        <v>-6504.9411406732906</v>
      </c>
      <c r="G88" s="1568">
        <f t="shared" si="37"/>
        <v>-6700.0893748934895</v>
      </c>
      <c r="H88" s="1568">
        <f t="shared" si="37"/>
        <v>-6901.0920561402945</v>
      </c>
      <c r="I88" s="1568">
        <f t="shared" si="37"/>
        <v>-7108.1248178245032</v>
      </c>
      <c r="J88" s="1568">
        <f t="shared" si="37"/>
        <v>-7321.3685623592382</v>
      </c>
      <c r="K88" s="1568">
        <f t="shared" si="37"/>
        <v>-7541.0096192300152</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15568.707659145603</v>
      </c>
      <c r="C90" s="25">
        <f t="shared" si="38"/>
        <v>12471.38111121222</v>
      </c>
      <c r="D90" s="25">
        <f t="shared" si="38"/>
        <v>9140.5327175206767</v>
      </c>
      <c r="E90" s="25">
        <f t="shared" si="38"/>
        <v>5564.5977817119992</v>
      </c>
      <c r="F90" s="25">
        <f t="shared" si="38"/>
        <v>1733.6650857169516</v>
      </c>
      <c r="G90" s="25">
        <f t="shared" si="38"/>
        <v>-2361.5346975127313</v>
      </c>
      <c r="H90" s="25">
        <f t="shared" si="38"/>
        <v>-6732.640962721116</v>
      </c>
      <c r="I90" s="25">
        <f t="shared" si="38"/>
        <v>-11391.675514137347</v>
      </c>
      <c r="J90" s="25">
        <f t="shared" si="38"/>
        <v>-16349.055302312023</v>
      </c>
      <c r="K90" s="23">
        <f t="shared" si="38"/>
        <v>-21618.605568353149</v>
      </c>
      <c r="M90" s="1462"/>
      <c r="N90" s="1463"/>
    </row>
    <row r="91" spans="1:14" ht="13.15" customHeight="1">
      <c r="A91" s="24" t="str">
        <f>$A61</f>
        <v>DCR Mortgage A</v>
      </c>
      <c r="B91" s="27">
        <f>IF(B83=0,"",-B82/B83)</f>
        <v>2.8077052779012348</v>
      </c>
      <c r="C91" s="27">
        <f t="shared" ref="C91:K91" si="39">IF(C83=0,"",-C82/C83)</f>
        <v>2.748380816483126</v>
      </c>
      <c r="D91" s="27">
        <f t="shared" si="39"/>
        <v>2.6844239152084146</v>
      </c>
      <c r="E91" s="27">
        <f t="shared" si="39"/>
        <v>2.6156031014925056</v>
      </c>
      <c r="F91" s="27">
        <f t="shared" si="39"/>
        <v>2.5417205455195759</v>
      </c>
      <c r="G91" s="27">
        <f t="shared" si="39"/>
        <v>2.4625915387746731</v>
      </c>
      <c r="H91" s="27">
        <f t="shared" si="39"/>
        <v>2.3779833866834412</v>
      </c>
      <c r="I91" s="27">
        <f t="shared" si="39"/>
        <v>2.2876557396713153</v>
      </c>
      <c r="J91" s="27">
        <f t="shared" si="39"/>
        <v>2.1914009162982082</v>
      </c>
      <c r="K91" s="28">
        <f t="shared" si="39"/>
        <v>2.0889421936756638</v>
      </c>
      <c r="M91" s="1462"/>
      <c r="N91" s="1463"/>
    </row>
    <row r="92" spans="1:14" ht="13.15" customHeight="1">
      <c r="A92" s="24" t="str">
        <f>$A62</f>
        <v>DCR Mortgage B</v>
      </c>
      <c r="B92" s="27">
        <f>IF(OR(B84=0,AND(B84=0,B83=0)),"",-B82/(B83+B84))</f>
        <v>1.1824079420580316</v>
      </c>
      <c r="C92" s="27">
        <f t="shared" ref="C92:K92" si="40">IF(OR(C84=0,AND(C84=0,C83=0)),"",-C82/(C83+C84))</f>
        <v>1.1574246523619276</v>
      </c>
      <c r="D92" s="27">
        <f t="shared" si="40"/>
        <v>1.1304905048885969</v>
      </c>
      <c r="E92" s="27">
        <f t="shared" si="40"/>
        <v>1.1015080196694167</v>
      </c>
      <c r="F92" s="27">
        <f t="shared" si="40"/>
        <v>1.0703938847032137</v>
      </c>
      <c r="G92" s="27">
        <f t="shared" si="40"/>
        <v>1.037070313757664</v>
      </c>
      <c r="H92" s="27">
        <f t="shared" si="40"/>
        <v>1.0014393122480227</v>
      </c>
      <c r="I92" s="27">
        <f t="shared" si="40"/>
        <v>0.96339966184198422</v>
      </c>
      <c r="J92" s="27">
        <f t="shared" si="40"/>
        <v>0.92286390172729371</v>
      </c>
      <c r="K92" s="28">
        <f t="shared" si="40"/>
        <v>0.87971549569068297</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1.2282149195020982</v>
      </c>
      <c r="C95" s="378">
        <f t="shared" ref="C95:K95" si="43">IF(OR(C80="Choose mgt fee",C80="Choose One!"),"",(C74+C75+C76+C77+C78) / -(C79+C80+C81))</f>
        <v>1.2170156449936895</v>
      </c>
      <c r="D95" s="378">
        <f t="shared" si="43"/>
        <v>1.205913636169536</v>
      </c>
      <c r="E95" s="378">
        <f t="shared" si="43"/>
        <v>1.1949049315179205</v>
      </c>
      <c r="F95" s="378">
        <f t="shared" si="43"/>
        <v>1.1839895351786558</v>
      </c>
      <c r="G95" s="378">
        <f t="shared" si="43"/>
        <v>1.173169046615623</v>
      </c>
      <c r="H95" s="378">
        <f t="shared" si="43"/>
        <v>1.1624415202627656</v>
      </c>
      <c r="I95" s="378">
        <f t="shared" si="43"/>
        <v>1.1518051999807606</v>
      </c>
      <c r="J95" s="378">
        <f t="shared" si="43"/>
        <v>1.1412614866313691</v>
      </c>
      <c r="K95" s="379">
        <f t="shared" si="43"/>
        <v>1.1308071788162095</v>
      </c>
      <c r="M95" s="1462"/>
      <c r="N95" s="1463"/>
    </row>
    <row r="96" spans="1:14" ht="13.15" customHeight="1">
      <c r="A96" s="678" t="s">
        <v>3666</v>
      </c>
      <c r="B96" s="1571">
        <f>IF('Part III A-Sources of Funds'!$H$32="","",-FV('Part III A-Sources of Funds'!$J$32/12,12,B83/12,K66))</f>
        <v>344943.44086923829</v>
      </c>
      <c r="C96" s="1571">
        <f>IF('Part III A-Sources of Funds'!$H$32="","",-FV('Part III A-Sources of Funds'!$J$32/12,12,C83/12,B96))</f>
        <v>314871.85309064301</v>
      </c>
      <c r="D96" s="1571">
        <f>IF('Part III A-Sources of Funds'!$H$32="","",-FV('Part III A-Sources of Funds'!$J$32/12,12,D83/12,C96))</f>
        <v>283008.9926599561</v>
      </c>
      <c r="E96" s="1571">
        <f>IF('Part III A-Sources of Funds'!$H$32="","",-FV('Part III A-Sources of Funds'!$J$32/12,12,E83/12,D96))</f>
        <v>249248.1589354371</v>
      </c>
      <c r="F96" s="1571">
        <f>IF('Part III A-Sources of Funds'!$H$32="","",-FV('Part III A-Sources of Funds'!$J$32/12,12,F83/12,E96))</f>
        <v>213476.29544395686</v>
      </c>
      <c r="G96" s="1571">
        <f>IF('Part III A-Sources of Funds'!$H$32="","",-FV('Part III A-Sources of Funds'!$J$32/12,12,G83/12,F96))</f>
        <v>175573.61128353101</v>
      </c>
      <c r="H96" s="1571">
        <f>IF('Part III A-Sources of Funds'!$H$32="","",-FV('Part III A-Sources of Funds'!$J$32/12,12,H83/12,G96))</f>
        <v>135413.1799739585</v>
      </c>
      <c r="I96" s="1571">
        <f>IF('Part III A-Sources of Funds'!$H$32="","",-FV('Part III A-Sources of Funds'!$J$32/12,12,I83/12,H96))</f>
        <v>92860.514412217686</v>
      </c>
      <c r="J96" s="1571">
        <f>IF('Part III A-Sources of Funds'!$H$32="","",-FV('Part III A-Sources of Funds'!$J$32/12,12,J83/12,I96))</f>
        <v>47773.116509253385</v>
      </c>
      <c r="K96" s="1571">
        <f>IF('Part III A-Sources of Funds'!$H$32="","",-FV('Part III A-Sources of Funds'!$J$32/12,12,K83/12,J96))</f>
        <v>2.5247572921216488E-9</v>
      </c>
      <c r="M96" s="1462"/>
      <c r="N96" s="1463"/>
    </row>
    <row r="97" spans="1:14" ht="13.15" customHeight="1">
      <c r="A97" s="678" t="s">
        <v>3667</v>
      </c>
      <c r="B97" s="1568">
        <f>IF('Part III A-Sources of Funds'!$H$33="","",-FV('Part III A-Sources of Funds'!$J$33/12,12,B84/12,K67))</f>
        <v>884735.85432586458</v>
      </c>
      <c r="C97" s="1568">
        <f>IF('Part III A-Sources of Funds'!$H$33="","",-FV('Part III A-Sources of Funds'!$J$33/12,12,C84/12,B97))</f>
        <v>825563.92994121986</v>
      </c>
      <c r="D97" s="1568">
        <f>IF('Part III A-Sources of Funds'!$H$33="","",-FV('Part III A-Sources of Funds'!$J$33/12,12,D84/12,C97))</f>
        <v>765797.56671858777</v>
      </c>
      <c r="E97" s="1568">
        <f>IF('Part III A-Sources of Funds'!$H$33="","",-FV('Part III A-Sources of Funds'!$J$33/12,12,E84/12,D97))</f>
        <v>705430.79294865218</v>
      </c>
      <c r="F97" s="1568">
        <f>IF('Part III A-Sources of Funds'!$H$33="","",-FV('Part III A-Sources of Funds'!$J$33/12,12,F84/12,E97))</f>
        <v>644457.57693053852</v>
      </c>
      <c r="G97" s="1568">
        <f>IF('Part III A-Sources of Funds'!$H$33="","",-FV('Part III A-Sources of Funds'!$J$33/12,12,G84/12,F97))</f>
        <v>582871.82636914123</v>
      </c>
      <c r="H97" s="1568">
        <f>IF('Part III A-Sources of Funds'!$H$33="","",-FV('Part III A-Sources of Funds'!$J$33/12,12,H84/12,G97))</f>
        <v>520667.38776639651</v>
      </c>
      <c r="I97" s="1568">
        <f>IF('Part III A-Sources of Funds'!$H$33="","",-FV('Part III A-Sources of Funds'!$J$33/12,12,I84/12,H97))</f>
        <v>457838.04580643959</v>
      </c>
      <c r="J97" s="1568">
        <f>IF('Part III A-Sources of Funds'!$H$33="","",-FV('Part III A-Sources of Funds'!$J$33/12,12,J84/12,I97))</f>
        <v>394377.52273458563</v>
      </c>
      <c r="K97" s="1568">
        <f>IF('Part III A-Sources of Funds'!$H$33="","",-FV('Part III A-Sources of Funds'!$J$33/12,12,K84/12,J97))</f>
        <v>330279.47773007181</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4100</v>
      </c>
      <c r="B106" s="1572"/>
      <c r="C106" s="1572"/>
      <c r="D106" s="1572"/>
      <c r="E106" s="1572"/>
      <c r="F106" s="1573"/>
      <c r="G106" s="1363"/>
      <c r="H106" s="1572"/>
      <c r="I106" s="1572"/>
      <c r="J106" s="1572"/>
      <c r="K106" s="1573"/>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30" zoomScaleNormal="130" zoomScaleSheetLayoutView="40" workbookViewId="0">
      <pane ySplit="187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2012-039 Braselton Court , Winder, Barrow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74" t="s">
        <v>3980</v>
      </c>
      <c r="Q31" s="232"/>
    </row>
    <row r="32" spans="1:19" ht="12" customHeight="1">
      <c r="B32" s="55" t="s">
        <v>2865</v>
      </c>
      <c r="C32" s="62" t="s">
        <v>994</v>
      </c>
      <c r="E32" s="38"/>
      <c r="F32" s="38"/>
      <c r="G32" s="38"/>
      <c r="H32" s="38"/>
      <c r="J32" s="1575" t="s">
        <v>3050</v>
      </c>
      <c r="K32" s="1576"/>
      <c r="L32" s="1576"/>
      <c r="M32" s="1576"/>
      <c r="N32" s="1577"/>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39.75" customHeight="1">
      <c r="A34" s="1578" t="s">
        <v>4110</v>
      </c>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1" t="str">
        <f>'Part I-Project Information'!$H$65</f>
        <v>HFOP</v>
      </c>
      <c r="K43" s="1582"/>
      <c r="L43" s="1583"/>
      <c r="M43" s="855"/>
      <c r="N43" s="855"/>
      <c r="P43" s="1574" t="s">
        <v>4013</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4" t="s">
        <v>4046</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4" t="s">
        <v>4013</v>
      </c>
      <c r="Q51" s="232"/>
    </row>
    <row r="52" spans="1:31" ht="10.9" customHeight="1">
      <c r="A52" s="194"/>
      <c r="B52" s="50"/>
      <c r="C52" s="79" t="s">
        <v>2591</v>
      </c>
      <c r="D52" s="38" t="s">
        <v>2669</v>
      </c>
      <c r="E52" s="850"/>
      <c r="F52" s="850"/>
      <c r="G52" s="850"/>
      <c r="H52" s="40"/>
      <c r="I52" s="50"/>
      <c r="J52" s="50"/>
      <c r="O52" s="79" t="s">
        <v>2591</v>
      </c>
      <c r="P52" s="1574" t="s">
        <v>4013</v>
      </c>
      <c r="Q52" s="232"/>
    </row>
    <row r="53" spans="1:31" ht="10.9" customHeight="1">
      <c r="A53" s="194"/>
      <c r="B53" s="50"/>
      <c r="C53" s="79" t="s">
        <v>2592</v>
      </c>
      <c r="D53" s="38" t="s">
        <v>374</v>
      </c>
      <c r="E53" s="850"/>
      <c r="J53" s="79"/>
      <c r="K53" s="79" t="s">
        <v>2592</v>
      </c>
      <c r="L53" s="1584" t="s">
        <v>1469</v>
      </c>
      <c r="M53" s="1585"/>
      <c r="N53" s="1585"/>
      <c r="O53" s="1585"/>
      <c r="P53" s="1586"/>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78" t="s">
        <v>4051</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84" t="s">
        <v>4052</v>
      </c>
      <c r="N61" s="1585"/>
      <c r="O61" s="1585"/>
      <c r="P61" s="1587"/>
      <c r="Q61" s="232"/>
    </row>
    <row r="62" spans="1:31" ht="12" customHeight="1">
      <c r="B62" s="55" t="s">
        <v>2865</v>
      </c>
      <c r="C62" s="62" t="s">
        <v>2918</v>
      </c>
      <c r="D62" s="183"/>
      <c r="E62" s="183"/>
      <c r="F62" s="183"/>
      <c r="L62" s="803" t="s">
        <v>2865</v>
      </c>
      <c r="M62" s="1584" t="s">
        <v>4054</v>
      </c>
      <c r="N62" s="1585"/>
      <c r="O62" s="1585"/>
      <c r="P62" s="1587"/>
      <c r="Q62" s="232"/>
    </row>
    <row r="63" spans="1:31" ht="12" customHeight="1">
      <c r="B63" s="55" t="s">
        <v>1145</v>
      </c>
      <c r="C63" s="62" t="s">
        <v>3463</v>
      </c>
      <c r="D63" s="183"/>
      <c r="E63" s="183"/>
      <c r="F63" s="183"/>
      <c r="L63" s="803" t="s">
        <v>1145</v>
      </c>
      <c r="M63" s="1584" t="s">
        <v>4053</v>
      </c>
      <c r="N63" s="1585"/>
      <c r="O63" s="1585"/>
      <c r="P63" s="1587"/>
      <c r="Q63" s="352"/>
    </row>
    <row r="64" spans="1:31" ht="12" customHeight="1">
      <c r="B64" s="55" t="s">
        <v>3004</v>
      </c>
      <c r="C64" s="62" t="s">
        <v>3464</v>
      </c>
      <c r="D64" s="183"/>
      <c r="E64" s="183"/>
      <c r="F64" s="183"/>
      <c r="L64" s="803" t="s">
        <v>3004</v>
      </c>
      <c r="M64" s="1588">
        <v>0.29699999999999999</v>
      </c>
      <c r="N64" s="1585"/>
      <c r="O64" s="1585"/>
      <c r="P64" s="1587"/>
      <c r="Q64" s="232"/>
    </row>
    <row r="65" spans="1:31" ht="22.15" customHeight="1">
      <c r="B65" s="192" t="s">
        <v>2588</v>
      </c>
      <c r="C65" s="1125" t="s">
        <v>3869</v>
      </c>
      <c r="D65" s="1125"/>
      <c r="E65" s="1125"/>
      <c r="F65" s="1125"/>
      <c r="G65" s="1125"/>
      <c r="H65" s="1125"/>
      <c r="I65" s="1125"/>
      <c r="J65" s="1125"/>
      <c r="K65" s="1125"/>
      <c r="L65" s="1125"/>
      <c r="M65" s="850"/>
      <c r="O65" s="803" t="s">
        <v>2588</v>
      </c>
      <c r="P65" s="1574" t="s">
        <v>4013</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89" t="s">
        <v>4056</v>
      </c>
      <c r="E67" s="1590" t="s">
        <v>4055</v>
      </c>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0"/>
      <c r="M69" s="850"/>
      <c r="O69" s="803" t="s">
        <v>2589</v>
      </c>
      <c r="P69" s="1591" t="s">
        <v>4013</v>
      </c>
      <c r="Q69" s="352"/>
    </row>
    <row r="70" spans="1:31" ht="11.25" customHeight="1">
      <c r="B70" s="191" t="s">
        <v>2737</v>
      </c>
      <c r="D70" s="191"/>
      <c r="E70" s="191"/>
      <c r="F70" s="191"/>
      <c r="G70" s="191"/>
      <c r="H70" s="48"/>
      <c r="I70" s="180"/>
      <c r="J70" s="180"/>
      <c r="K70" s="180"/>
      <c r="L70" s="851"/>
      <c r="M70" s="851"/>
      <c r="N70" s="851"/>
      <c r="O70" s="851"/>
      <c r="P70" s="851"/>
      <c r="Q70" s="60"/>
    </row>
    <row r="71" spans="1:31" ht="37.5" customHeight="1">
      <c r="A71" s="1578" t="s">
        <v>4111</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4" t="s">
        <v>3980</v>
      </c>
      <c r="Q76" s="232"/>
    </row>
    <row r="77" spans="1:31" ht="12" customHeight="1">
      <c r="B77" s="55" t="s">
        <v>2865</v>
      </c>
      <c r="C77" s="62" t="s">
        <v>1871</v>
      </c>
      <c r="D77" s="62"/>
      <c r="E77" s="62"/>
      <c r="F77" s="62"/>
      <c r="G77" s="62"/>
      <c r="H77" s="62"/>
      <c r="I77" s="62"/>
      <c r="J77" s="62"/>
      <c r="K77" s="62"/>
      <c r="L77" s="38"/>
      <c r="M77" s="38"/>
      <c r="O77" s="803" t="s">
        <v>2865</v>
      </c>
      <c r="P77" s="1574" t="s">
        <v>3980</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6" t="s">
        <v>638</v>
      </c>
      <c r="E79" s="1595"/>
      <c r="F79" s="1595"/>
      <c r="G79" s="1595"/>
      <c r="H79" s="1595"/>
      <c r="I79" s="1595"/>
      <c r="J79" s="1595"/>
      <c r="K79" s="1595"/>
      <c r="L79" s="1595"/>
      <c r="M79" s="1595"/>
      <c r="N79" s="1595"/>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3980</v>
      </c>
      <c r="Q84" s="232"/>
    </row>
    <row r="85" spans="1:32" ht="12" customHeight="1">
      <c r="B85" s="55"/>
      <c r="C85" s="79" t="s">
        <v>2591</v>
      </c>
      <c r="D85" s="62" t="s">
        <v>2011</v>
      </c>
      <c r="E85" s="62"/>
      <c r="F85" s="62"/>
      <c r="G85" s="62"/>
      <c r="H85" s="62"/>
      <c r="I85" s="62"/>
      <c r="J85" s="62"/>
      <c r="K85" s="62"/>
      <c r="L85" s="38"/>
      <c r="M85" s="38"/>
      <c r="O85" s="79" t="s">
        <v>2591</v>
      </c>
      <c r="P85" s="1574" t="s">
        <v>3980</v>
      </c>
      <c r="Q85" s="232"/>
    </row>
    <row r="86" spans="1:32" ht="12" customHeight="1">
      <c r="B86" s="55"/>
      <c r="C86" s="79" t="s">
        <v>2592</v>
      </c>
      <c r="D86" s="62" t="s">
        <v>2012</v>
      </c>
      <c r="E86" s="62"/>
      <c r="F86" s="62"/>
      <c r="G86" s="62"/>
      <c r="H86" s="62"/>
      <c r="I86" s="62"/>
      <c r="J86" s="62"/>
      <c r="K86" s="62"/>
      <c r="L86" s="38"/>
      <c r="M86" s="38"/>
      <c r="O86" s="79" t="s">
        <v>2592</v>
      </c>
      <c r="P86" s="1574" t="s">
        <v>3980</v>
      </c>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78" t="s">
        <v>4070</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84" t="s">
        <v>4069</v>
      </c>
      <c r="N94" s="1585"/>
      <c r="O94" s="1585"/>
      <c r="P94" s="1586"/>
      <c r="Q94" s="232"/>
    </row>
    <row r="95" spans="1:32" ht="12" customHeight="1">
      <c r="B95" s="55" t="s">
        <v>2865</v>
      </c>
      <c r="C95" s="62" t="s">
        <v>2141</v>
      </c>
      <c r="D95" s="183"/>
      <c r="E95" s="183"/>
      <c r="F95" s="183"/>
      <c r="G95" s="183"/>
      <c r="H95" s="183"/>
      <c r="I95" s="50"/>
      <c r="J95" s="50"/>
      <c r="K95" s="183"/>
      <c r="L95" s="183"/>
      <c r="M95" s="850"/>
      <c r="O95" s="803" t="s">
        <v>2865</v>
      </c>
      <c r="P95" s="1574" t="s">
        <v>3980</v>
      </c>
      <c r="Q95" s="352"/>
    </row>
    <row r="96" spans="1:32" ht="12" customHeight="1">
      <c r="B96" s="55" t="s">
        <v>1145</v>
      </c>
      <c r="C96" s="62" t="s">
        <v>186</v>
      </c>
      <c r="D96" s="183"/>
      <c r="E96" s="183"/>
      <c r="F96" s="183"/>
      <c r="G96" s="183"/>
      <c r="H96" s="183"/>
      <c r="I96" s="50"/>
      <c r="J96" s="50"/>
      <c r="K96" s="183"/>
      <c r="L96" s="850"/>
      <c r="M96" s="850"/>
      <c r="O96" s="803" t="s">
        <v>1145</v>
      </c>
      <c r="P96" s="1574" t="s">
        <v>4013</v>
      </c>
      <c r="Q96" s="232"/>
    </row>
    <row r="97" spans="2:17" ht="12" customHeight="1">
      <c r="B97" s="55"/>
      <c r="C97" s="78" t="s">
        <v>2590</v>
      </c>
      <c r="D97" s="62" t="s">
        <v>3937</v>
      </c>
      <c r="E97" s="183"/>
      <c r="F97" s="183"/>
      <c r="G97" s="183"/>
      <c r="H97" s="183"/>
      <c r="I97" s="50"/>
      <c r="J97" s="50"/>
      <c r="K97" s="183"/>
      <c r="L97" s="79" t="s">
        <v>2590</v>
      </c>
      <c r="M97" s="1584" t="s">
        <v>4076</v>
      </c>
      <c r="N97" s="1585"/>
      <c r="O97" s="1585"/>
      <c r="P97" s="1586"/>
      <c r="Q97" s="352"/>
    </row>
    <row r="98" spans="2:17" ht="12" customHeight="1">
      <c r="B98" s="189"/>
      <c r="C98" s="79" t="s">
        <v>2591</v>
      </c>
      <c r="D98" s="44" t="s">
        <v>3644</v>
      </c>
      <c r="E98" s="50"/>
      <c r="F98" s="50"/>
      <c r="G98" s="50"/>
      <c r="H98" s="62"/>
      <c r="I98" s="50"/>
      <c r="J98" s="50"/>
      <c r="K98" s="183"/>
      <c r="L98" s="850"/>
      <c r="M98" s="850"/>
      <c r="O98" s="803" t="s">
        <v>2591</v>
      </c>
      <c r="P98" s="1591" t="s">
        <v>4077</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7" t="s">
        <v>4078</v>
      </c>
      <c r="E100" s="1598"/>
      <c r="F100" s="1598"/>
      <c r="G100" s="1598"/>
      <c r="H100" s="1598"/>
      <c r="I100" s="1598"/>
      <c r="J100" s="1598"/>
      <c r="K100" s="1598"/>
      <c r="L100" s="1598"/>
      <c r="M100" s="1598"/>
      <c r="N100" s="1598"/>
      <c r="O100" s="1599"/>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4" t="s">
        <v>3980</v>
      </c>
      <c r="Q102" s="232"/>
    </row>
    <row r="103" spans="2:17" ht="12" customHeight="1">
      <c r="B103" s="55"/>
      <c r="C103" s="79" t="s">
        <v>2591</v>
      </c>
      <c r="D103" s="62" t="s">
        <v>1816</v>
      </c>
      <c r="E103" s="183"/>
      <c r="F103" s="183"/>
      <c r="G103" s="183"/>
      <c r="H103" s="50"/>
      <c r="I103" s="50"/>
      <c r="J103" s="50"/>
      <c r="K103" s="183"/>
      <c r="L103" s="850"/>
      <c r="M103" s="850"/>
      <c r="O103" s="79" t="s">
        <v>2591</v>
      </c>
      <c r="P103" s="1591" t="s">
        <v>3980</v>
      </c>
      <c r="Q103" s="352"/>
    </row>
    <row r="104" spans="2:17" ht="12" customHeight="1">
      <c r="B104" s="55"/>
      <c r="C104" s="79"/>
      <c r="D104" s="62" t="s">
        <v>3764</v>
      </c>
      <c r="E104" s="728" t="s">
        <v>3419</v>
      </c>
      <c r="F104" s="62" t="s">
        <v>3765</v>
      </c>
      <c r="G104" s="50"/>
      <c r="H104" s="62"/>
      <c r="I104" s="50"/>
      <c r="J104" s="50"/>
      <c r="K104" s="183"/>
      <c r="L104" s="850"/>
      <c r="M104" s="850"/>
      <c r="O104" s="728" t="s">
        <v>3419</v>
      </c>
      <c r="P104" s="1600"/>
      <c r="Q104" s="448"/>
    </row>
    <row r="105" spans="2:17" ht="12" customHeight="1">
      <c r="B105" s="55"/>
      <c r="C105" s="79"/>
      <c r="E105" s="728" t="s">
        <v>3420</v>
      </c>
      <c r="F105" s="62" t="s">
        <v>3766</v>
      </c>
      <c r="G105" s="50"/>
      <c r="H105" s="62"/>
      <c r="I105" s="50"/>
      <c r="J105" s="50"/>
      <c r="K105" s="183"/>
      <c r="L105" s="850"/>
      <c r="M105" s="850"/>
      <c r="O105" s="728" t="s">
        <v>3420</v>
      </c>
      <c r="P105" s="1591"/>
      <c r="Q105" s="352"/>
    </row>
    <row r="106" spans="2:17" ht="12" customHeight="1">
      <c r="B106" s="55"/>
      <c r="C106" s="79"/>
      <c r="E106" s="728" t="s">
        <v>3421</v>
      </c>
      <c r="F106" s="62" t="s">
        <v>3767</v>
      </c>
      <c r="G106" s="50"/>
      <c r="H106" s="62"/>
      <c r="I106" s="50"/>
      <c r="J106" s="50"/>
      <c r="K106" s="183"/>
      <c r="L106" s="850"/>
      <c r="M106" s="850"/>
      <c r="O106" s="728" t="s">
        <v>3421</v>
      </c>
      <c r="P106" s="1591"/>
      <c r="Q106" s="352"/>
    </row>
    <row r="107" spans="2:17" ht="12" customHeight="1">
      <c r="B107" s="55"/>
      <c r="C107" s="79" t="s">
        <v>2592</v>
      </c>
      <c r="D107" s="62" t="s">
        <v>1817</v>
      </c>
      <c r="E107" s="183"/>
      <c r="F107" s="183"/>
      <c r="G107" s="183"/>
      <c r="H107" s="62"/>
      <c r="I107" s="50"/>
      <c r="J107" s="50"/>
      <c r="K107" s="183"/>
      <c r="L107" s="850"/>
      <c r="M107" s="850"/>
      <c r="O107" s="79" t="s">
        <v>2592</v>
      </c>
      <c r="P107" s="1574" t="s">
        <v>3980</v>
      </c>
      <c r="Q107" s="232"/>
    </row>
    <row r="108" spans="2:17" ht="12" customHeight="1">
      <c r="B108" s="55"/>
      <c r="C108" s="79"/>
      <c r="D108" s="62" t="s">
        <v>3764</v>
      </c>
      <c r="E108" s="728" t="s">
        <v>3419</v>
      </c>
      <c r="F108" s="62" t="s">
        <v>3768</v>
      </c>
      <c r="G108" s="50"/>
      <c r="H108" s="62"/>
      <c r="I108" s="50"/>
      <c r="J108" s="50"/>
      <c r="K108" s="183"/>
      <c r="L108" s="850"/>
      <c r="O108" s="728" t="s">
        <v>3419</v>
      </c>
      <c r="P108" s="1600"/>
      <c r="Q108" s="353"/>
    </row>
    <row r="109" spans="2:17" ht="12" customHeight="1">
      <c r="B109" s="55"/>
      <c r="C109" s="79"/>
      <c r="E109" s="728" t="s">
        <v>3420</v>
      </c>
      <c r="F109" s="62" t="s">
        <v>3769</v>
      </c>
      <c r="G109" s="50"/>
      <c r="H109" s="62"/>
      <c r="I109" s="50"/>
      <c r="J109" s="50"/>
      <c r="K109" s="183"/>
      <c r="L109" s="850"/>
      <c r="O109" s="728" t="s">
        <v>3420</v>
      </c>
      <c r="P109" s="1591"/>
      <c r="Q109" s="352"/>
    </row>
    <row r="110" spans="2:17" ht="12" customHeight="1">
      <c r="B110" s="55"/>
      <c r="C110" s="79"/>
      <c r="E110" s="728" t="s">
        <v>3421</v>
      </c>
      <c r="F110" s="62" t="s">
        <v>3767</v>
      </c>
      <c r="G110" s="50"/>
      <c r="H110" s="62"/>
      <c r="I110" s="50"/>
      <c r="J110" s="50"/>
      <c r="K110" s="183"/>
      <c r="L110" s="850"/>
      <c r="O110" s="728" t="s">
        <v>3421</v>
      </c>
      <c r="P110" s="1591"/>
      <c r="Q110" s="352"/>
    </row>
    <row r="111" spans="2:17" ht="12" customHeight="1">
      <c r="B111" s="44"/>
      <c r="C111" s="79" t="s">
        <v>3331</v>
      </c>
      <c r="D111" s="62" t="s">
        <v>3770</v>
      </c>
      <c r="E111" s="183"/>
      <c r="F111" s="183"/>
      <c r="G111" s="183"/>
      <c r="H111" s="183"/>
      <c r="I111" s="50"/>
      <c r="J111" s="50"/>
      <c r="K111" s="183"/>
      <c r="L111" s="850"/>
      <c r="M111" s="850"/>
      <c r="O111" s="79" t="s">
        <v>3331</v>
      </c>
      <c r="P111" s="1574" t="s">
        <v>3980</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74" t="s">
        <v>3980</v>
      </c>
      <c r="G113" s="232"/>
      <c r="H113" s="79" t="s">
        <v>3331</v>
      </c>
      <c r="I113" s="62" t="s">
        <v>2156</v>
      </c>
      <c r="J113" s="1574" t="s">
        <v>3980</v>
      </c>
      <c r="K113" s="232"/>
      <c r="L113" s="803" t="s">
        <v>107</v>
      </c>
      <c r="M113" s="62" t="s">
        <v>2157</v>
      </c>
      <c r="O113" s="1574" t="s">
        <v>3980</v>
      </c>
      <c r="P113" s="232"/>
    </row>
    <row r="114" spans="1:31" ht="12" customHeight="1">
      <c r="B114" s="44"/>
      <c r="C114" s="79" t="s">
        <v>2591</v>
      </c>
      <c r="D114" s="62" t="s">
        <v>3502</v>
      </c>
      <c r="E114" s="183"/>
      <c r="F114" s="1574" t="s">
        <v>3980</v>
      </c>
      <c r="G114" s="232"/>
      <c r="H114" s="79" t="s">
        <v>2153</v>
      </c>
      <c r="I114" s="62" t="s">
        <v>3772</v>
      </c>
      <c r="J114" s="1601" t="s">
        <v>3980</v>
      </c>
      <c r="K114" s="663"/>
      <c r="L114" s="803" t="s">
        <v>743</v>
      </c>
      <c r="M114" s="65" t="s">
        <v>3773</v>
      </c>
      <c r="O114" s="1601" t="s">
        <v>3980</v>
      </c>
      <c r="P114" s="663"/>
    </row>
    <row r="115" spans="1:31" ht="12" customHeight="1">
      <c r="B115" s="44"/>
      <c r="C115" s="79" t="s">
        <v>2592</v>
      </c>
      <c r="D115" s="62" t="s">
        <v>3771</v>
      </c>
      <c r="E115" s="183"/>
      <c r="F115" s="1574" t="s">
        <v>3980</v>
      </c>
      <c r="G115" s="232"/>
      <c r="H115" s="79" t="s">
        <v>2154</v>
      </c>
      <c r="I115" s="62" t="s">
        <v>2155</v>
      </c>
      <c r="J115" s="1601" t="s">
        <v>3980</v>
      </c>
      <c r="K115" s="663"/>
      <c r="L115" s="803" t="s">
        <v>744</v>
      </c>
      <c r="M115" s="65" t="s">
        <v>3774</v>
      </c>
      <c r="O115" s="1601" t="s">
        <v>3980</v>
      </c>
      <c r="P115" s="663"/>
    </row>
    <row r="116" spans="1:31" ht="12" customHeight="1">
      <c r="B116" s="44"/>
      <c r="C116" s="803" t="s">
        <v>745</v>
      </c>
      <c r="D116" s="62" t="s">
        <v>3775</v>
      </c>
      <c r="E116" s="183"/>
      <c r="F116" s="183"/>
      <c r="G116" s="183"/>
      <c r="H116" s="183"/>
      <c r="J116" s="1584" t="s">
        <v>1469</v>
      </c>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0"/>
      <c r="O117" s="803" t="s">
        <v>2589</v>
      </c>
      <c r="P117" s="1574" t="s">
        <v>4013</v>
      </c>
      <c r="Q117" s="232"/>
    </row>
    <row r="118" spans="1:31" ht="12" customHeight="1">
      <c r="A118" s="194"/>
      <c r="B118" s="50"/>
      <c r="C118" s="79" t="s">
        <v>2590</v>
      </c>
      <c r="D118" s="62" t="s">
        <v>995</v>
      </c>
      <c r="E118" s="183"/>
      <c r="F118" s="183"/>
      <c r="G118" s="183"/>
      <c r="H118" s="183"/>
      <c r="O118" s="79" t="s">
        <v>2590</v>
      </c>
      <c r="P118" s="1574" t="s">
        <v>3980</v>
      </c>
      <c r="Q118" s="232"/>
    </row>
    <row r="119" spans="1:31" ht="12" customHeight="1">
      <c r="A119" s="194"/>
      <c r="B119" s="180"/>
      <c r="C119" s="79" t="s">
        <v>2591</v>
      </c>
      <c r="D119" s="62" t="s">
        <v>681</v>
      </c>
      <c r="E119" s="62"/>
      <c r="F119" s="62"/>
      <c r="G119" s="62"/>
      <c r="H119" s="62"/>
      <c r="I119" s="50"/>
      <c r="J119" s="50"/>
      <c r="K119" s="62"/>
      <c r="L119" s="62"/>
      <c r="M119" s="62"/>
      <c r="O119" s="79" t="s">
        <v>2591</v>
      </c>
      <c r="P119" s="1574" t="s">
        <v>4013</v>
      </c>
      <c r="Q119" s="232"/>
    </row>
    <row r="120" spans="1:31" ht="12" customHeight="1">
      <c r="A120" s="194"/>
      <c r="B120" s="180"/>
      <c r="C120" s="79" t="s">
        <v>2592</v>
      </c>
      <c r="D120" s="62" t="s">
        <v>951</v>
      </c>
      <c r="E120" s="62"/>
      <c r="F120" s="62"/>
      <c r="G120" s="62"/>
      <c r="H120" s="62"/>
      <c r="I120" s="50"/>
      <c r="J120" s="50"/>
      <c r="K120" s="62"/>
      <c r="L120" s="62"/>
      <c r="M120" s="62"/>
      <c r="O120" s="79" t="s">
        <v>2592</v>
      </c>
      <c r="P120" s="1574" t="s">
        <v>4013</v>
      </c>
      <c r="Q120" s="232"/>
    </row>
    <row r="121" spans="1:31" ht="12" customHeight="1">
      <c r="B121" s="55" t="s">
        <v>2825</v>
      </c>
      <c r="C121" s="62" t="s">
        <v>2607</v>
      </c>
      <c r="D121" s="183"/>
      <c r="E121" s="183"/>
      <c r="F121" s="183"/>
      <c r="G121" s="183"/>
      <c r="H121" s="183"/>
      <c r="I121" s="50"/>
      <c r="J121" s="50"/>
      <c r="K121" s="183"/>
      <c r="L121" s="183"/>
      <c r="M121" s="850"/>
      <c r="O121" s="803" t="s">
        <v>2825</v>
      </c>
      <c r="P121" s="1574" t="s">
        <v>4013</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25.5" customHeight="1">
      <c r="A124" s="1578" t="s">
        <v>4079</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74" t="s">
        <v>4013</v>
      </c>
      <c r="Q129" s="232"/>
    </row>
    <row r="130" spans="1:31" ht="12" customHeight="1">
      <c r="A130" s="189"/>
      <c r="B130" s="55" t="s">
        <v>2865</v>
      </c>
      <c r="C130" s="190" t="s">
        <v>185</v>
      </c>
      <c r="D130" s="190"/>
      <c r="E130" s="190"/>
      <c r="F130" s="190"/>
      <c r="G130" s="190"/>
      <c r="H130" s="190"/>
      <c r="M130" s="803" t="s">
        <v>2865</v>
      </c>
      <c r="N130" s="1602" t="s">
        <v>4048</v>
      </c>
      <c r="O130" s="1603"/>
      <c r="P130" s="1147"/>
      <c r="Q130" s="1148"/>
    </row>
    <row r="131" spans="1:31" ht="12" customHeight="1">
      <c r="A131" s="189"/>
      <c r="B131" s="55" t="s">
        <v>1145</v>
      </c>
      <c r="C131" s="190" t="s">
        <v>952</v>
      </c>
      <c r="D131" s="190"/>
      <c r="E131" s="190"/>
      <c r="F131" s="190"/>
      <c r="G131" s="190"/>
      <c r="H131" s="190"/>
      <c r="J131" s="803" t="s">
        <v>1145</v>
      </c>
      <c r="K131" s="1604" t="s">
        <v>4071</v>
      </c>
      <c r="L131" s="1605"/>
      <c r="M131" s="1605"/>
      <c r="N131" s="1605"/>
      <c r="O131" s="1605"/>
      <c r="P131" s="1606"/>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78" t="s">
        <v>4121</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4" t="s">
        <v>4013</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74"/>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74"/>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78" t="s">
        <v>4112</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4" t="s">
        <v>4013</v>
      </c>
      <c r="Q147" s="232"/>
    </row>
    <row r="148" spans="1:32" ht="12" customHeight="1">
      <c r="B148" s="192" t="s">
        <v>2865</v>
      </c>
      <c r="C148" s="197" t="s">
        <v>3779</v>
      </c>
      <c r="D148" s="197"/>
      <c r="E148" s="197"/>
      <c r="F148" s="197"/>
      <c r="G148" s="197"/>
      <c r="H148" s="197"/>
      <c r="I148" s="197"/>
      <c r="J148" s="197"/>
      <c r="K148" s="197"/>
      <c r="L148" s="197"/>
      <c r="M148" s="197"/>
      <c r="O148" s="219" t="s">
        <v>2865</v>
      </c>
      <c r="P148" s="1574" t="s">
        <v>4013</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4013</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4013</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4013</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596" t="s">
        <v>4013</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4013</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596" t="s">
        <v>4013</v>
      </c>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74" t="s">
        <v>4013</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4013</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26.25" customHeight="1">
      <c r="A158" s="1578" t="s">
        <v>4072</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4" t="s">
        <v>1469</v>
      </c>
      <c r="K163" s="1585"/>
      <c r="L163" s="1585"/>
      <c r="M163" s="1585"/>
      <c r="N163" s="1586"/>
      <c r="O163" s="79" t="s">
        <v>2590</v>
      </c>
      <c r="P163" s="1574" t="s">
        <v>3980</v>
      </c>
      <c r="Q163" s="232"/>
    </row>
    <row r="164" spans="1:31" ht="12" customHeight="1">
      <c r="A164" s="189"/>
      <c r="B164" s="180"/>
      <c r="C164" s="143"/>
      <c r="D164" s="143"/>
      <c r="E164" s="143"/>
      <c r="F164" s="143"/>
      <c r="H164" s="79" t="s">
        <v>2591</v>
      </c>
      <c r="I164" s="62" t="s">
        <v>2204</v>
      </c>
      <c r="J164" s="1584" t="s">
        <v>4073</v>
      </c>
      <c r="K164" s="1585"/>
      <c r="L164" s="1585"/>
      <c r="M164" s="1585"/>
      <c r="N164" s="1586"/>
      <c r="O164" s="79" t="s">
        <v>2591</v>
      </c>
      <c r="P164" s="1574" t="s">
        <v>4013</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78" t="s">
        <v>4113</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2865</v>
      </c>
      <c r="C174" s="1125" t="s">
        <v>2720</v>
      </c>
      <c r="D174" s="1125"/>
      <c r="E174" s="1125"/>
      <c r="F174" s="1125"/>
      <c r="G174" s="1125"/>
      <c r="H174" s="79" t="s">
        <v>2590</v>
      </c>
      <c r="I174" s="62" t="s">
        <v>894</v>
      </c>
      <c r="J174" s="1584" t="s">
        <v>4074</v>
      </c>
      <c r="K174" s="1585"/>
      <c r="L174" s="1585"/>
      <c r="M174" s="1585"/>
      <c r="N174" s="1586"/>
      <c r="O174" s="79" t="s">
        <v>2030</v>
      </c>
      <c r="P174" s="1574" t="s">
        <v>4013</v>
      </c>
      <c r="Q174" s="232"/>
    </row>
    <row r="175" spans="1:31" ht="11.45" customHeight="1">
      <c r="A175" s="189"/>
      <c r="B175" s="861"/>
      <c r="C175" s="1125"/>
      <c r="D175" s="1125"/>
      <c r="E175" s="1125"/>
      <c r="F175" s="1125"/>
      <c r="G175" s="1125"/>
      <c r="H175" s="79" t="s">
        <v>2591</v>
      </c>
      <c r="I175" s="62" t="s">
        <v>125</v>
      </c>
      <c r="J175" s="1584" t="s">
        <v>4074</v>
      </c>
      <c r="K175" s="1585"/>
      <c r="L175" s="1585"/>
      <c r="M175" s="1585"/>
      <c r="N175" s="1586"/>
      <c r="O175" s="79" t="s">
        <v>2591</v>
      </c>
      <c r="P175" s="1574" t="s">
        <v>4013</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30" customHeight="1">
      <c r="A177" s="1578" t="s">
        <v>4114</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4013</v>
      </c>
      <c r="Q183" s="232"/>
    </row>
    <row r="184" spans="1:32" ht="11.45" customHeight="1">
      <c r="B184" s="55" t="s">
        <v>2865</v>
      </c>
      <c r="C184" s="62" t="s">
        <v>176</v>
      </c>
      <c r="D184" s="62"/>
      <c r="E184" s="62"/>
      <c r="F184" s="62"/>
      <c r="G184" s="62"/>
      <c r="H184" s="62"/>
      <c r="I184" s="50"/>
      <c r="J184" s="50"/>
      <c r="K184" s="50"/>
      <c r="L184" s="190"/>
      <c r="M184" s="190"/>
      <c r="O184" s="219" t="s">
        <v>2865</v>
      </c>
      <c r="P184" s="1574" t="s">
        <v>4013</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3980</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4013</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3.15" customHeight="1">
      <c r="A188" s="1578" t="s">
        <v>4075</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4" t="s">
        <v>3980</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4057</v>
      </c>
      <c r="N196" s="1585"/>
      <c r="O196" s="1586"/>
      <c r="P196" s="1574" t="s">
        <v>4046</v>
      </c>
      <c r="Q196" s="232"/>
    </row>
    <row r="197" spans="1:32" ht="11.45" customHeight="1">
      <c r="B197" s="55"/>
      <c r="C197" s="79" t="s">
        <v>2591</v>
      </c>
      <c r="D197" s="38" t="s">
        <v>180</v>
      </c>
      <c r="E197" s="38"/>
      <c r="F197" s="38"/>
      <c r="G197" s="38"/>
      <c r="H197" s="38"/>
      <c r="I197" s="50"/>
      <c r="J197" s="50"/>
      <c r="K197" s="50"/>
      <c r="L197" s="79" t="s">
        <v>2082</v>
      </c>
      <c r="M197" s="1584" t="s">
        <v>4058</v>
      </c>
      <c r="N197" s="1585"/>
      <c r="O197" s="1586"/>
      <c r="P197" s="1574" t="s">
        <v>4046</v>
      </c>
      <c r="Q197" s="232"/>
    </row>
    <row r="198" spans="1:32" ht="11.45" customHeight="1">
      <c r="B198" s="55"/>
      <c r="C198" s="79" t="s">
        <v>2592</v>
      </c>
      <c r="D198" s="38" t="s">
        <v>796</v>
      </c>
      <c r="E198" s="38"/>
      <c r="F198" s="38"/>
      <c r="G198" s="38"/>
      <c r="H198" s="38"/>
      <c r="I198" s="50"/>
      <c r="J198" s="50"/>
      <c r="K198" s="50"/>
      <c r="L198" s="79" t="s">
        <v>2083</v>
      </c>
      <c r="M198" s="1607" t="s">
        <v>4059</v>
      </c>
      <c r="N198" s="1608"/>
      <c r="O198" s="1609"/>
      <c r="P198" s="1574" t="s">
        <v>4046</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4" t="s">
        <v>4046</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4060</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4061</v>
      </c>
      <c r="E204" s="1614"/>
      <c r="F204" s="1614"/>
      <c r="G204" s="1614"/>
      <c r="H204" s="1615"/>
      <c r="I204" s="652"/>
      <c r="J204" s="293"/>
      <c r="K204" s="79" t="s">
        <v>3331</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4046</v>
      </c>
      <c r="Q206" s="232"/>
    </row>
    <row r="207" spans="1:32" ht="11.45" customHeight="1">
      <c r="B207" s="55"/>
      <c r="C207" s="79" t="s">
        <v>2590</v>
      </c>
      <c r="D207" s="62" t="s">
        <v>188</v>
      </c>
      <c r="E207" s="62"/>
      <c r="F207" s="62"/>
      <c r="G207" s="62"/>
      <c r="H207" s="62"/>
      <c r="I207" s="50"/>
      <c r="J207" s="40"/>
      <c r="K207" s="50"/>
      <c r="L207" s="40"/>
      <c r="M207" s="40"/>
      <c r="O207" s="79" t="s">
        <v>2590</v>
      </c>
      <c r="P207" s="1574" t="s">
        <v>4013</v>
      </c>
      <c r="Q207" s="232"/>
    </row>
    <row r="208" spans="1:32" ht="11.45" customHeight="1">
      <c r="C208" s="79" t="s">
        <v>2591</v>
      </c>
      <c r="D208" s="38" t="s">
        <v>2490</v>
      </c>
      <c r="E208" s="38"/>
      <c r="F208" s="38"/>
      <c r="G208" s="38"/>
      <c r="H208" s="38"/>
      <c r="I208" s="50"/>
      <c r="J208" s="40"/>
      <c r="K208" s="50"/>
      <c r="L208" s="40"/>
      <c r="M208" s="40"/>
      <c r="O208" s="79" t="s">
        <v>2591</v>
      </c>
      <c r="P208" s="1574" t="s">
        <v>4013</v>
      </c>
      <c r="Q208" s="232"/>
    </row>
    <row r="209" spans="1:31" ht="11.45" customHeight="1">
      <c r="C209" s="79" t="s">
        <v>2592</v>
      </c>
      <c r="D209" s="38" t="s">
        <v>2107</v>
      </c>
      <c r="E209" s="38"/>
      <c r="F209" s="38"/>
      <c r="G209" s="38"/>
      <c r="H209" s="38"/>
      <c r="I209" s="50"/>
      <c r="J209" s="40"/>
      <c r="K209" s="50"/>
      <c r="L209" s="40"/>
      <c r="M209" s="40"/>
      <c r="O209" s="79" t="s">
        <v>2592</v>
      </c>
      <c r="P209" s="1574" t="s">
        <v>4013</v>
      </c>
      <c r="Q209" s="232"/>
    </row>
    <row r="210" spans="1:31" ht="11.45" customHeight="1">
      <c r="B210" s="55"/>
      <c r="C210" s="79" t="s">
        <v>3331</v>
      </c>
      <c r="D210" s="38" t="s">
        <v>189</v>
      </c>
      <c r="E210" s="38"/>
      <c r="F210" s="38"/>
      <c r="G210" s="38"/>
      <c r="H210" s="38"/>
      <c r="I210" s="50"/>
      <c r="J210" s="40"/>
      <c r="K210" s="50"/>
      <c r="L210" s="40"/>
      <c r="M210" s="40"/>
      <c r="O210" s="79" t="s">
        <v>3331</v>
      </c>
      <c r="P210" s="1574" t="s">
        <v>4013</v>
      </c>
      <c r="Q210" s="232"/>
    </row>
    <row r="211" spans="1:31" ht="11.45" customHeight="1">
      <c r="B211" s="55"/>
      <c r="C211" s="79" t="s">
        <v>2153</v>
      </c>
      <c r="D211" s="62" t="s">
        <v>1256</v>
      </c>
      <c r="E211" s="62"/>
      <c r="F211" s="62"/>
      <c r="G211" s="62"/>
      <c r="H211" s="62"/>
      <c r="I211" s="50"/>
      <c r="J211" s="40"/>
      <c r="K211" s="50"/>
      <c r="L211" s="40"/>
      <c r="M211" s="40"/>
      <c r="O211" s="79" t="s">
        <v>1257</v>
      </c>
      <c r="P211" s="1574" t="s">
        <v>4013</v>
      </c>
      <c r="Q211" s="232"/>
    </row>
    <row r="212" spans="1:31" ht="11.45" customHeight="1">
      <c r="B212" s="55"/>
      <c r="C212" s="79"/>
      <c r="D212" s="62" t="s">
        <v>2084</v>
      </c>
      <c r="E212" s="62"/>
      <c r="F212" s="62"/>
      <c r="G212" s="62"/>
      <c r="H212" s="62"/>
      <c r="I212" s="50"/>
      <c r="J212" s="40"/>
      <c r="K212" s="50"/>
      <c r="L212" s="40"/>
      <c r="M212" s="40"/>
      <c r="O212" s="79" t="s">
        <v>1258</v>
      </c>
      <c r="P212" s="1574" t="s">
        <v>3980</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4" t="s">
        <v>4046</v>
      </c>
      <c r="Q214" s="232"/>
    </row>
    <row r="215" spans="1:31" ht="11.45" customHeight="1">
      <c r="B215" s="55"/>
      <c r="C215" s="79" t="s">
        <v>2590</v>
      </c>
      <c r="D215" s="47" t="s">
        <v>1807</v>
      </c>
      <c r="E215" s="50"/>
      <c r="F215" s="50"/>
      <c r="G215" s="47"/>
      <c r="H215" s="38"/>
      <c r="I215" s="50"/>
      <c r="J215" s="38"/>
      <c r="K215" s="50"/>
      <c r="L215" s="38"/>
      <c r="M215" s="38"/>
      <c r="O215" s="79" t="s">
        <v>2590</v>
      </c>
      <c r="P215" s="1574" t="s">
        <v>4013</v>
      </c>
      <c r="Q215" s="232"/>
    </row>
    <row r="216" spans="1:31" ht="11.45" customHeight="1">
      <c r="B216" s="55"/>
      <c r="C216" s="79" t="s">
        <v>2591</v>
      </c>
      <c r="D216" s="47" t="s">
        <v>181</v>
      </c>
      <c r="E216" s="50"/>
      <c r="F216" s="50"/>
      <c r="G216" s="38"/>
      <c r="H216" s="38"/>
      <c r="I216" s="50"/>
      <c r="J216" s="38"/>
      <c r="K216" s="50"/>
      <c r="L216" s="38"/>
      <c r="M216" s="38"/>
      <c r="O216" s="79" t="s">
        <v>2591</v>
      </c>
      <c r="P216" s="1574" t="s">
        <v>4013</v>
      </c>
      <c r="Q216" s="232"/>
    </row>
    <row r="217" spans="1:31" ht="11.45" customHeight="1">
      <c r="B217" s="55"/>
      <c r="C217" s="79" t="s">
        <v>2592</v>
      </c>
      <c r="D217" s="38" t="s">
        <v>2468</v>
      </c>
      <c r="E217" s="50"/>
      <c r="F217" s="50"/>
      <c r="G217" s="38"/>
      <c r="H217" s="38"/>
      <c r="I217" s="50"/>
      <c r="J217" s="38"/>
      <c r="K217" s="50"/>
      <c r="L217" s="38"/>
      <c r="M217" s="38"/>
      <c r="O217" s="79" t="s">
        <v>3340</v>
      </c>
      <c r="P217" s="1574" t="s">
        <v>4013</v>
      </c>
      <c r="Q217" s="232"/>
    </row>
    <row r="218" spans="1:31" ht="11.45" customHeight="1">
      <c r="B218" s="44"/>
      <c r="C218" s="50"/>
      <c r="D218" s="38" t="s">
        <v>1852</v>
      </c>
      <c r="E218" s="50"/>
      <c r="F218" s="50"/>
      <c r="G218" s="38"/>
      <c r="H218" s="38"/>
      <c r="I218" s="50"/>
      <c r="J218" s="38"/>
      <c r="K218" s="50"/>
      <c r="L218" s="38"/>
      <c r="M218" s="38"/>
      <c r="O218" s="79" t="s">
        <v>3341</v>
      </c>
      <c r="P218" s="1574" t="s">
        <v>3980</v>
      </c>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78" t="s">
        <v>4080</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2626</v>
      </c>
      <c r="N226" s="1585"/>
      <c r="O226" s="1586"/>
      <c r="P226" s="1149" t="s">
        <v>2626</v>
      </c>
      <c r="Q226" s="1150"/>
    </row>
    <row r="227" spans="1:32" ht="11.45" customHeight="1">
      <c r="B227" s="55" t="s">
        <v>2865</v>
      </c>
      <c r="C227" s="62" t="s">
        <v>1795</v>
      </c>
      <c r="D227" s="62"/>
      <c r="E227" s="62"/>
      <c r="F227" s="62"/>
      <c r="G227" s="62"/>
      <c r="H227" s="62"/>
      <c r="I227" s="50"/>
      <c r="J227" s="50"/>
      <c r="K227" s="50"/>
      <c r="L227" s="803" t="s">
        <v>2865</v>
      </c>
      <c r="M227" s="1616"/>
      <c r="N227" s="1617"/>
      <c r="O227" s="1618"/>
      <c r="P227" s="1130"/>
      <c r="Q227" s="1131"/>
    </row>
    <row r="228" spans="1:32" s="199" customFormat="1" ht="11.45" customHeight="1">
      <c r="B228" s="55" t="s">
        <v>1145</v>
      </c>
      <c r="C228" s="62" t="s">
        <v>2823</v>
      </c>
      <c r="D228" s="62"/>
      <c r="E228" s="62"/>
      <c r="F228" s="62"/>
      <c r="G228" s="62"/>
      <c r="H228" s="62"/>
      <c r="I228" s="126"/>
      <c r="J228" s="126"/>
      <c r="K228" s="126"/>
      <c r="L228" s="803" t="s">
        <v>1145</v>
      </c>
      <c r="M228" s="1584"/>
      <c r="N228" s="1585"/>
      <c r="O228" s="1586"/>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4"/>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78" t="s">
        <v>4081</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596" t="s">
        <v>4013</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4013</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78" t="s">
        <v>4082</v>
      </c>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74" t="s">
        <v>4046</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74" t="s">
        <v>4046</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78" t="s">
        <v>4083</v>
      </c>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596" t="s">
        <v>4013</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74" t="s">
        <v>4013</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6" t="s">
        <v>4013</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4" t="s">
        <v>4013</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596" t="s">
        <v>4013</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24" customHeight="1">
      <c r="A261" s="1578" t="s">
        <v>4084</v>
      </c>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74" t="s">
        <v>3980</v>
      </c>
      <c r="Q265" s="232"/>
    </row>
    <row r="266" spans="1:256" ht="12" customHeight="1">
      <c r="B266" s="197" t="s">
        <v>3112</v>
      </c>
      <c r="C266" s="197"/>
      <c r="D266" s="197"/>
      <c r="E266" s="197"/>
      <c r="F266" s="197"/>
      <c r="G266" s="197"/>
      <c r="H266" s="197"/>
      <c r="I266" s="197"/>
      <c r="J266" s="197"/>
      <c r="K266" s="197"/>
      <c r="L266" s="197"/>
      <c r="P266" s="1574" t="s">
        <v>4013</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596"/>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4013</v>
      </c>
      <c r="Q271" s="354"/>
    </row>
    <row r="272" spans="1:256" ht="23.25" customHeight="1">
      <c r="A272" s="194"/>
      <c r="C272" s="294" t="s">
        <v>2591</v>
      </c>
      <c r="D272" s="1110" t="s">
        <v>1648</v>
      </c>
      <c r="E272" s="1111"/>
      <c r="F272" s="1112"/>
      <c r="G272" s="1578" t="s">
        <v>3787</v>
      </c>
      <c r="H272" s="1446"/>
      <c r="I272" s="1446"/>
      <c r="J272" s="1446"/>
      <c r="K272" s="1446"/>
      <c r="L272" s="1446"/>
      <c r="M272" s="1446"/>
      <c r="N272" s="1447"/>
      <c r="O272" s="298" t="s">
        <v>2591</v>
      </c>
      <c r="P272" s="1596" t="s">
        <v>4013</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t="s">
        <v>3980</v>
      </c>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t="s">
        <v>3980</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78" t="s">
        <v>4085</v>
      </c>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74" t="s">
        <v>4013</v>
      </c>
      <c r="Q285" s="232"/>
    </row>
    <row r="286" spans="1:256" ht="11.45" customHeight="1">
      <c r="B286" s="195" t="s">
        <v>3285</v>
      </c>
      <c r="P286" s="1574" t="s">
        <v>3980</v>
      </c>
      <c r="Q286" s="232"/>
    </row>
    <row r="287" spans="1:256" ht="11.45" customHeight="1">
      <c r="B287" s="195" t="s">
        <v>850</v>
      </c>
      <c r="L287" s="1625" t="s">
        <v>4049</v>
      </c>
      <c r="M287" s="1626"/>
      <c r="N287" s="1626"/>
      <c r="O287" s="1627"/>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78"/>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74" t="s">
        <v>4013</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74" t="s">
        <v>4013</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4013</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74" t="s">
        <v>4013</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35.25" customHeight="1">
      <c r="A301" s="1578" t="s">
        <v>4094</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04"/>
      <c r="L306" s="1605"/>
      <c r="M306" s="1605"/>
      <c r="N306" s="1605"/>
      <c r="O306" s="1605"/>
      <c r="P306" s="1606"/>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596"/>
      <c r="Q307" s="232"/>
    </row>
    <row r="308" spans="1:32" ht="11.45" customHeight="1">
      <c r="B308" s="55" t="s">
        <v>1145</v>
      </c>
      <c r="C308" s="62" t="s">
        <v>3874</v>
      </c>
      <c r="D308" s="62"/>
      <c r="E308" s="62"/>
      <c r="F308" s="62"/>
      <c r="G308" s="62"/>
      <c r="H308" s="62"/>
      <c r="I308" s="62"/>
      <c r="J308" s="62"/>
      <c r="K308" s="62"/>
      <c r="L308" s="38"/>
      <c r="M308" s="38"/>
      <c r="O308" s="803" t="s">
        <v>1145</v>
      </c>
      <c r="P308" s="1574"/>
      <c r="Q308" s="232"/>
    </row>
    <row r="309" spans="1:32" ht="11.45" customHeight="1">
      <c r="B309" s="55" t="s">
        <v>3004</v>
      </c>
      <c r="C309" s="62" t="s">
        <v>3875</v>
      </c>
      <c r="D309" s="62"/>
      <c r="E309" s="62"/>
      <c r="F309" s="62"/>
      <c r="G309" s="62"/>
      <c r="H309" s="62"/>
      <c r="I309" s="62"/>
      <c r="J309" s="62"/>
      <c r="K309" s="62"/>
      <c r="L309" s="62"/>
      <c r="M309" s="62"/>
      <c r="O309" s="803" t="s">
        <v>3004</v>
      </c>
      <c r="P309" s="1574"/>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596"/>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596"/>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4"/>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78" t="s">
        <v>4086</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596"/>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596"/>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596"/>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596"/>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78" t="s">
        <v>4086</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84"/>
      <c r="F342" s="1585"/>
      <c r="G342" s="1585"/>
      <c r="H342" s="1585"/>
      <c r="I342" s="1586"/>
      <c r="J342" s="1168" t="s">
        <v>3832</v>
      </c>
      <c r="K342" s="1169"/>
      <c r="L342" s="1170"/>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3877</v>
      </c>
      <c r="D345" s="62"/>
      <c r="E345" s="62"/>
      <c r="F345" s="62"/>
      <c r="G345" s="62"/>
      <c r="H345" s="62"/>
      <c r="I345" s="62"/>
      <c r="J345" s="62"/>
      <c r="K345" s="62"/>
      <c r="L345" s="62"/>
      <c r="M345" s="62"/>
      <c r="O345" s="803" t="s">
        <v>3004</v>
      </c>
      <c r="P345" s="157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6"/>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78" t="s">
        <v>4086</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28" t="s">
        <v>4050</v>
      </c>
      <c r="O355" s="1629"/>
      <c r="P355" s="1172" t="s">
        <v>2626</v>
      </c>
      <c r="Q355" s="1173"/>
      <c r="AE355" s="6"/>
      <c r="AF355" s="6"/>
    </row>
    <row r="356" spans="1:32" s="2" customFormat="1" ht="12" customHeight="1">
      <c r="B356" s="55" t="s">
        <v>2865</v>
      </c>
      <c r="C356" s="158" t="s">
        <v>1</v>
      </c>
      <c r="D356" s="203"/>
      <c r="E356" s="203"/>
      <c r="G356" s="803" t="s">
        <v>2865</v>
      </c>
      <c r="H356" s="1630" t="s">
        <v>4087</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t="s">
        <v>4013</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78" t="s">
        <v>4088</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74"/>
      <c r="Q365" s="232"/>
    </row>
    <row r="366" spans="1:32" ht="12" customHeight="1">
      <c r="A366" s="194"/>
      <c r="B366" s="55" t="s">
        <v>2865</v>
      </c>
      <c r="C366" s="62" t="s">
        <v>3839</v>
      </c>
      <c r="D366" s="727"/>
      <c r="E366" s="727"/>
      <c r="O366" s="803" t="s">
        <v>2865</v>
      </c>
      <c r="P366" s="1574"/>
      <c r="Q366" s="232"/>
    </row>
    <row r="367" spans="1:32" ht="12" customHeight="1">
      <c r="A367" s="194"/>
      <c r="B367" s="55" t="s">
        <v>1145</v>
      </c>
      <c r="C367" s="62" t="s">
        <v>3895</v>
      </c>
      <c r="D367" s="727"/>
      <c r="E367" s="727"/>
      <c r="O367" s="803" t="s">
        <v>1145</v>
      </c>
      <c r="P367" s="1574"/>
      <c r="Q367" s="232"/>
    </row>
    <row r="368" spans="1:32" ht="12" customHeight="1">
      <c r="A368" s="194"/>
      <c r="B368" s="55" t="s">
        <v>3004</v>
      </c>
      <c r="C368" s="62" t="s">
        <v>3831</v>
      </c>
      <c r="E368" s="190"/>
      <c r="O368" s="803" t="s">
        <v>3004</v>
      </c>
      <c r="P368" s="1574"/>
      <c r="Q368" s="232"/>
    </row>
    <row r="369" spans="1:31" ht="12" customHeight="1">
      <c r="B369" s="55" t="s">
        <v>2588</v>
      </c>
      <c r="C369" s="62" t="s">
        <v>2967</v>
      </c>
      <c r="E369" s="190"/>
      <c r="G369" s="803" t="s">
        <v>2588</v>
      </c>
      <c r="H369" s="1597"/>
      <c r="I369" s="1598"/>
      <c r="J369" s="1598"/>
      <c r="K369" s="1598"/>
      <c r="L369" s="1598"/>
      <c r="M369" s="1598"/>
      <c r="N369" s="1598"/>
      <c r="O369" s="1599"/>
      <c r="P369" s="1574"/>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78" t="s">
        <v>4089</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4" t="s">
        <v>4046</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4" t="s">
        <v>4013</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78"/>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4" t="s">
        <v>3980</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3"/>
      <c r="H388" s="662" t="s">
        <v>291</v>
      </c>
      <c r="J388" s="184" t="s">
        <v>3106</v>
      </c>
      <c r="K388" s="38"/>
      <c r="N388" s="1633"/>
      <c r="O388" s="662" t="s">
        <v>291</v>
      </c>
    </row>
    <row r="389" spans="1:32" ht="12" customHeight="1">
      <c r="A389" s="50"/>
      <c r="B389" s="55"/>
      <c r="C389" s="184" t="s">
        <v>3104</v>
      </c>
      <c r="D389" s="44"/>
      <c r="E389" s="50"/>
      <c r="F389" s="38"/>
      <c r="G389" s="1633"/>
      <c r="H389" s="662"/>
      <c r="J389" s="184" t="s">
        <v>3107</v>
      </c>
      <c r="K389" s="38"/>
      <c r="N389" s="1633"/>
      <c r="O389" s="662"/>
    </row>
    <row r="390" spans="1:32" ht="12" customHeight="1">
      <c r="A390" s="50"/>
      <c r="B390" s="55"/>
      <c r="C390" s="184" t="s">
        <v>3105</v>
      </c>
      <c r="D390" s="44"/>
      <c r="E390" s="50"/>
      <c r="F390" s="38"/>
      <c r="G390" s="163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4"/>
      <c r="O393" s="1635"/>
      <c r="P393" s="1635"/>
      <c r="Q393" s="1636"/>
    </row>
    <row r="394" spans="1:32" ht="12" customHeight="1">
      <c r="B394" s="191" t="s">
        <v>2737</v>
      </c>
      <c r="D394" s="191"/>
      <c r="E394" s="191"/>
      <c r="F394" s="191"/>
      <c r="G394" s="191"/>
      <c r="H394" s="48"/>
      <c r="I394" s="180"/>
      <c r="J394" s="180"/>
      <c r="K394" s="180"/>
      <c r="P394" s="851"/>
      <c r="Q394" s="60"/>
    </row>
    <row r="395" spans="1:32" ht="12" customHeight="1">
      <c r="A395" s="1578" t="s">
        <v>4090</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596" t="s">
        <v>4046</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596" t="s">
        <v>4046</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596" t="s">
        <v>4046</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596" t="s">
        <v>4046</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596" t="s">
        <v>4046</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596" t="s">
        <v>4046</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5.5" customHeight="1">
      <c r="A413" s="1578" t="s">
        <v>4115</v>
      </c>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130" zoomScaleNormal="13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2012-039 Braselton Court , Winder, Barrow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55</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38"/>
      <c r="P10" s="66"/>
    </row>
    <row r="11" spans="1:19" s="50" customFormat="1" ht="11.25" customHeight="1">
      <c r="A11" s="255" t="s">
        <v>2865</v>
      </c>
      <c r="B11" s="236" t="s">
        <v>1122</v>
      </c>
      <c r="D11" s="56"/>
      <c r="E11" s="56"/>
      <c r="F11" s="823" t="s">
        <v>3620</v>
      </c>
      <c r="G11" s="38">
        <f>K16</f>
        <v>0</v>
      </c>
      <c r="H11" s="244" t="s">
        <v>302</v>
      </c>
      <c r="J11" s="57"/>
      <c r="M11" s="7">
        <v>0</v>
      </c>
      <c r="N11" s="78" t="s">
        <v>2865</v>
      </c>
      <c r="O11" s="1638"/>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t="s">
        <v>4062</v>
      </c>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39">
        <v>16</v>
      </c>
      <c r="K31" s="660" t="s">
        <v>3859</v>
      </c>
      <c r="L31" s="691">
        <f>IF(OR('Part VI-Revenues &amp; Expenses'!$M$60="", 'Part VI-Revenues &amp; Expenses'!$M$60=0),0,I31/'Part VI-Revenues &amp; Expenses'!$M$60)</f>
        <v>0.20253164556962025</v>
      </c>
      <c r="M31" s="1">
        <v>3</v>
      </c>
      <c r="N31" s="690"/>
      <c r="O31" s="1205" t="s">
        <v>3928</v>
      </c>
      <c r="P31" s="735">
        <v>0.15</v>
      </c>
    </row>
    <row r="32" spans="1:19" s="688" customFormat="1" ht="11.25" customHeight="1">
      <c r="A32" s="687" t="s">
        <v>2865</v>
      </c>
      <c r="B32" s="155" t="s">
        <v>3703</v>
      </c>
      <c r="E32" s="689"/>
      <c r="H32" s="660" t="s">
        <v>3704</v>
      </c>
      <c r="I32" s="1639"/>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22.5" customHeight="1">
      <c r="A34" s="1578" t="s">
        <v>4116</v>
      </c>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10</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0">
        <v>10</v>
      </c>
      <c r="P40" s="85"/>
      <c r="R40" s="558"/>
    </row>
    <row r="41" spans="1:18" s="51" customFormat="1" ht="12.6" customHeight="1">
      <c r="A41" s="189" t="s">
        <v>2865</v>
      </c>
      <c r="B41" s="236" t="s">
        <v>2748</v>
      </c>
      <c r="D41" s="49"/>
      <c r="E41" s="244" t="s">
        <v>588</v>
      </c>
      <c r="F41" s="585"/>
      <c r="G41" s="585"/>
      <c r="H41" s="585"/>
      <c r="M41" s="180" t="s">
        <v>1777</v>
      </c>
      <c r="N41" s="803" t="s">
        <v>2865</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4063</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0"/>
      <c r="P50" s="85"/>
      <c r="R50" s="558"/>
    </row>
    <row r="51" spans="1:18" s="51" customFormat="1" ht="12.6" customHeight="1">
      <c r="A51" s="189" t="s">
        <v>2865</v>
      </c>
      <c r="B51" s="236" t="s">
        <v>3718</v>
      </c>
      <c r="E51" s="49"/>
      <c r="K51" s="56"/>
      <c r="L51" s="558" t="str">
        <f>IF(OR($O51=$M51,$O51=0,$O51=""),"","* * Check Score! * *")</f>
        <v/>
      </c>
      <c r="M51" s="3">
        <v>2</v>
      </c>
      <c r="N51" s="803" t="s">
        <v>2865</v>
      </c>
      <c r="O51" s="1640"/>
      <c r="P51" s="85"/>
      <c r="R51" s="558"/>
    </row>
    <row r="52" spans="1:18" s="51" customFormat="1" ht="12.6" customHeight="1">
      <c r="A52" s="189" t="s">
        <v>1145</v>
      </c>
      <c r="B52" s="236" t="s">
        <v>3760</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4117</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4064</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0"/>
      <c r="P67" s="85"/>
      <c r="Q67" s="148" t="s">
        <v>612</v>
      </c>
    </row>
    <row r="68" spans="1:18" s="51" customFormat="1" ht="12.6" customHeight="1">
      <c r="A68" s="209"/>
      <c r="B68" s="586" t="s">
        <v>3705</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4064</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44" t="s">
        <v>4045</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4" t="s">
        <v>3980</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47" t="s">
        <v>2104</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48"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47" t="s">
        <v>2104</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48"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4" t="s">
        <v>4013</v>
      </c>
      <c r="P84" s="232"/>
      <c r="Q84" s="148"/>
    </row>
    <row r="85" spans="1:18" s="134" customFormat="1" ht="11.45" customHeight="1">
      <c r="A85" s="50"/>
      <c r="B85" s="57" t="s">
        <v>312</v>
      </c>
      <c r="C85" s="50"/>
      <c r="D85" s="56"/>
      <c r="E85" s="56"/>
      <c r="F85" s="56"/>
      <c r="G85" s="56"/>
      <c r="K85" s="44"/>
      <c r="M85" s="54"/>
      <c r="N85" s="7"/>
      <c r="O85" s="4"/>
      <c r="P85" s="3"/>
    </row>
    <row r="86" spans="1:18" s="51" customFormat="1" ht="27.75" customHeight="1">
      <c r="A86" s="1649" t="s">
        <v>4065</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4040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7" t="s">
        <v>4013</v>
      </c>
      <c r="P94" s="355"/>
    </row>
    <row r="95" spans="1:18" ht="11.45" customHeight="1">
      <c r="B95" s="231" t="s">
        <v>3420</v>
      </c>
      <c r="C95" s="665" t="s">
        <v>3367</v>
      </c>
      <c r="E95" s="160"/>
      <c r="G95" s="132" t="s">
        <v>3368</v>
      </c>
      <c r="M95" s="694" t="str">
        <f>IF(AND($I$90="Stable Communities &lt; 10%",O95=""), "X","")</f>
        <v/>
      </c>
      <c r="N95" s="231" t="s">
        <v>3420</v>
      </c>
      <c r="O95" s="1652" t="s">
        <v>4013</v>
      </c>
      <c r="P95" s="541"/>
    </row>
    <row r="96" spans="1:18" ht="11.45" customHeight="1">
      <c r="B96" s="231" t="s">
        <v>3421</v>
      </c>
      <c r="C96" s="665" t="s">
        <v>3753</v>
      </c>
      <c r="E96" s="160"/>
      <c r="M96" s="694" t="str">
        <f>IF(AND($I$90="Stable Communities &lt; 10%",O96=""), "X","")</f>
        <v/>
      </c>
      <c r="N96" s="231" t="s">
        <v>3421</v>
      </c>
      <c r="O96" s="1648" t="s">
        <v>4013</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7"/>
      <c r="P99" s="355"/>
    </row>
    <row r="100" spans="1:18" ht="11.45" customHeight="1">
      <c r="B100" s="231" t="s">
        <v>3420</v>
      </c>
      <c r="C100" s="665" t="s">
        <v>3367</v>
      </c>
      <c r="E100" s="160"/>
      <c r="G100" s="132" t="s">
        <v>3368</v>
      </c>
      <c r="M100" s="572" t="str">
        <f>IF(AND($I$90="Stable Communities &lt; 20%",O100=""), "X","")</f>
        <v/>
      </c>
      <c r="N100" s="231" t="s">
        <v>3420</v>
      </c>
      <c r="O100" s="1652"/>
      <c r="P100" s="541"/>
    </row>
    <row r="101" spans="1:18" ht="11.45" customHeight="1">
      <c r="B101" s="231" t="s">
        <v>3421</v>
      </c>
      <c r="C101" s="665" t="s">
        <v>3753</v>
      </c>
      <c r="E101" s="160"/>
      <c r="M101" s="572" t="str">
        <f>IF(AND($I$90="Stable Communities &lt; 20%",O101=""), "X","")</f>
        <v/>
      </c>
      <c r="N101" s="231" t="s">
        <v>3421</v>
      </c>
      <c r="O101" s="1648"/>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47"/>
      <c r="P105" s="355"/>
    </row>
    <row r="106" spans="1:18" ht="10.9" customHeight="1">
      <c r="B106" s="552" t="s">
        <v>3420</v>
      </c>
      <c r="C106" s="553" t="s">
        <v>843</v>
      </c>
      <c r="M106" s="859" t="str">
        <f>IF(AND($I$90="HOPE VI Initiative",O106=""), "X","")</f>
        <v/>
      </c>
      <c r="N106" s="231" t="s">
        <v>3420</v>
      </c>
      <c r="O106" s="1652"/>
      <c r="P106" s="541"/>
    </row>
    <row r="107" spans="1:18" ht="10.9" customHeight="1">
      <c r="B107" s="552" t="s">
        <v>3421</v>
      </c>
      <c r="C107" s="553" t="s">
        <v>844</v>
      </c>
      <c r="M107" s="859" t="str">
        <f>IF(AND($I$90="HOPE VI Initiative",O107=""), "X","")</f>
        <v/>
      </c>
      <c r="N107" s="231" t="s">
        <v>3421</v>
      </c>
      <c r="O107" s="1652"/>
      <c r="P107" s="541"/>
    </row>
    <row r="108" spans="1:18" ht="10.9" customHeight="1">
      <c r="B108" s="552" t="s">
        <v>3422</v>
      </c>
      <c r="C108" s="69" t="s">
        <v>845</v>
      </c>
      <c r="M108" s="859" t="str">
        <f>IF(AND($I$90="HOPE VI Initiative",O108=""), "X","")</f>
        <v/>
      </c>
      <c r="N108" s="231" t="s">
        <v>3422</v>
      </c>
      <c r="O108" s="1648"/>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4"/>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3" t="s">
        <v>2626</v>
      </c>
      <c r="I112" s="162" t="s">
        <v>1458</v>
      </c>
      <c r="J112" s="1654"/>
      <c r="K112" s="1655"/>
      <c r="L112" s="1656"/>
      <c r="M112" s="696">
        <v>1</v>
      </c>
      <c r="N112" s="551" t="s">
        <v>3549</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3419</v>
      </c>
      <c r="C115" s="48" t="s">
        <v>3752</v>
      </c>
      <c r="D115" s="132"/>
      <c r="G115" s="132" t="s">
        <v>848</v>
      </c>
      <c r="H115" s="1658"/>
      <c r="M115" s="571" t="str">
        <f>IF(AND($I$90="Local Redevelopment Plan",O115=""), "X","")</f>
        <v/>
      </c>
      <c r="N115" s="552" t="s">
        <v>3419</v>
      </c>
      <c r="O115" s="1647"/>
      <c r="P115" s="355"/>
    </row>
    <row r="116" spans="1:18" ht="10.9" customHeight="1">
      <c r="B116" s="552" t="s">
        <v>3420</v>
      </c>
      <c r="C116" s="553" t="s">
        <v>3445</v>
      </c>
      <c r="D116" s="132"/>
      <c r="M116" s="571"/>
      <c r="N116" s="552" t="s">
        <v>3420</v>
      </c>
      <c r="O116" s="1659"/>
      <c r="P116" s="602"/>
    </row>
    <row r="117" spans="1:18" ht="10.9" customHeight="1">
      <c r="B117" s="552" t="s">
        <v>3421</v>
      </c>
      <c r="C117" s="553" t="s">
        <v>3446</v>
      </c>
      <c r="M117" s="571" t="str">
        <f t="shared" ref="M117:M121" si="0">IF(AND($I$90="Local Redevelopment Plan",O117=""), "X","")</f>
        <v/>
      </c>
      <c r="N117" s="552" t="s">
        <v>3421</v>
      </c>
      <c r="O117" s="1652"/>
      <c r="P117" s="541"/>
    </row>
    <row r="118" spans="1:18" ht="10.9" customHeight="1">
      <c r="B118" s="552" t="s">
        <v>3422</v>
      </c>
      <c r="C118" s="553" t="s">
        <v>3447</v>
      </c>
      <c r="M118" s="571" t="str">
        <f t="shared" si="0"/>
        <v/>
      </c>
      <c r="N118" s="552" t="s">
        <v>3422</v>
      </c>
      <c r="O118" s="1652"/>
      <c r="P118" s="541"/>
    </row>
    <row r="119" spans="1:18" ht="10.9" customHeight="1">
      <c r="B119" s="552" t="s">
        <v>3423</v>
      </c>
      <c r="C119" s="69" t="s">
        <v>3448</v>
      </c>
      <c r="M119" s="571" t="str">
        <f t="shared" si="0"/>
        <v/>
      </c>
      <c r="N119" s="552" t="s">
        <v>3423</v>
      </c>
      <c r="O119" s="1652"/>
      <c r="P119" s="541"/>
    </row>
    <row r="120" spans="1:18" ht="10.9" customHeight="1">
      <c r="B120" s="552" t="s">
        <v>3443</v>
      </c>
      <c r="C120" s="553" t="s">
        <v>3449</v>
      </c>
      <c r="D120" s="132"/>
      <c r="M120" s="571" t="str">
        <f t="shared" si="0"/>
        <v/>
      </c>
      <c r="N120" s="552" t="s">
        <v>3443</v>
      </c>
      <c r="O120" s="1652"/>
      <c r="P120" s="541"/>
    </row>
    <row r="121" spans="1:18" ht="10.9" customHeight="1">
      <c r="B121" s="552" t="s">
        <v>3444</v>
      </c>
      <c r="C121" s="553" t="s">
        <v>3450</v>
      </c>
      <c r="M121" s="571" t="str">
        <f t="shared" si="0"/>
        <v/>
      </c>
      <c r="N121" s="552" t="s">
        <v>3444</v>
      </c>
      <c r="O121" s="1648"/>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6.25" customHeight="1">
      <c r="A128" s="1649" t="s">
        <v>4118</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0"/>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4" t="s">
        <v>3980</v>
      </c>
      <c r="P134" s="232"/>
    </row>
    <row r="135" spans="1:17" s="132" customFormat="1" ht="11.45" customHeight="1">
      <c r="B135" s="250"/>
      <c r="C135" s="161" t="s">
        <v>1460</v>
      </c>
      <c r="H135" s="704" t="s">
        <v>3620</v>
      </c>
      <c r="I135" s="1653"/>
      <c r="J135" s="704" t="s">
        <v>3219</v>
      </c>
      <c r="K135" s="1661"/>
      <c r="L135" s="1662"/>
      <c r="M135" s="1663"/>
    </row>
    <row r="136" spans="1:17" s="132" customFormat="1" ht="11.45" customHeight="1">
      <c r="B136" s="250" t="s">
        <v>2868</v>
      </c>
      <c r="C136" s="161" t="s">
        <v>1461</v>
      </c>
      <c r="M136" s="8"/>
      <c r="N136" s="250" t="s">
        <v>2868</v>
      </c>
      <c r="O136" s="1647"/>
      <c r="P136" s="355"/>
    </row>
    <row r="137" spans="1:17" s="132" customFormat="1" ht="11.45" customHeight="1">
      <c r="B137" s="250" t="s">
        <v>3549</v>
      </c>
      <c r="C137" s="161" t="s">
        <v>1462</v>
      </c>
      <c r="M137" s="8"/>
      <c r="N137" s="250" t="s">
        <v>3549</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4119</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4066</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74" t="s">
        <v>4013</v>
      </c>
      <c r="M162" s="8">
        <v>1</v>
      </c>
      <c r="N162" s="803" t="s">
        <v>2862</v>
      </c>
      <c r="O162" s="164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t="s">
        <v>4067</v>
      </c>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4" t="s">
        <v>3980</v>
      </c>
      <c r="P170" s="232"/>
      <c r="R170" s="558"/>
    </row>
    <row r="171" spans="1:18" s="51" customFormat="1" ht="12" customHeight="1">
      <c r="A171" s="189"/>
      <c r="B171" s="65" t="s">
        <v>3946</v>
      </c>
      <c r="D171" s="40"/>
      <c r="N171" s="803"/>
      <c r="O171" s="1574"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4064</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80</v>
      </c>
      <c r="K177" s="159"/>
      <c r="L177" s="802" t="str">
        <f>IF(AND(J177=0,O177&gt;0),"&lt;&lt;&lt; Check NC units!","")</f>
        <v/>
      </c>
      <c r="M177" s="3">
        <v>3</v>
      </c>
      <c r="N177" s="601" t="str">
        <f>IF(OR($O177=$M177,$O177=0,$O177=""),"","***")</f>
        <v/>
      </c>
      <c r="O177" s="1640">
        <v>3</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5">
      <c r="A180" s="1578" t="s">
        <v>4068</v>
      </c>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c r="P182" s="85"/>
      <c r="Q182" s="148" t="s">
        <v>612</v>
      </c>
    </row>
    <row r="183" spans="1:18" s="51" customFormat="1" ht="12.6" customHeight="1">
      <c r="A183" s="50"/>
      <c r="B183" s="154" t="s">
        <v>2713</v>
      </c>
      <c r="D183" s="134"/>
      <c r="E183" s="1664" t="s">
        <v>2639</v>
      </c>
      <c r="F183" s="1665"/>
      <c r="G183" s="1666"/>
      <c r="H183" s="1667"/>
      <c r="I183" s="61" t="s">
        <v>2712</v>
      </c>
      <c r="O183" s="162" t="s">
        <v>3522</v>
      </c>
      <c r="P183" s="162" t="s">
        <v>3522</v>
      </c>
    </row>
    <row r="184" spans="1:18" s="132" customFormat="1" ht="11.45" customHeight="1">
      <c r="A184" s="189" t="s">
        <v>2862</v>
      </c>
      <c r="B184" s="161" t="s">
        <v>2512</v>
      </c>
      <c r="D184" s="161"/>
      <c r="E184" s="161"/>
      <c r="F184" s="161"/>
      <c r="G184" s="1668" t="s">
        <v>3535</v>
      </c>
      <c r="H184" s="1669"/>
      <c r="I184" s="1670"/>
      <c r="J184" s="1668" t="s">
        <v>1715</v>
      </c>
      <c r="K184" s="1669"/>
      <c r="L184" s="1670"/>
      <c r="N184" s="803" t="s">
        <v>2862</v>
      </c>
      <c r="O184" s="1574"/>
      <c r="P184" s="232"/>
    </row>
    <row r="185" spans="1:18" s="132" customFormat="1" ht="11.45" customHeight="1">
      <c r="A185" s="189" t="s">
        <v>2865</v>
      </c>
      <c r="B185" s="161" t="s">
        <v>475</v>
      </c>
      <c r="D185" s="161"/>
      <c r="E185" s="161"/>
      <c r="F185" s="161"/>
      <c r="G185" s="161"/>
      <c r="L185" s="161"/>
      <c r="M185" s="161"/>
      <c r="N185" s="803" t="s">
        <v>2865</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4064</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7" t="s">
        <v>4013</v>
      </c>
      <c r="P195" s="355"/>
    </row>
    <row r="196" spans="1:18" s="132" customFormat="1" ht="11.25" customHeight="1">
      <c r="B196" s="715" t="s">
        <v>2868</v>
      </c>
      <c r="C196" s="132" t="s">
        <v>809</v>
      </c>
      <c r="N196" s="250" t="s">
        <v>2868</v>
      </c>
      <c r="O196" s="1652" t="s">
        <v>4013</v>
      </c>
      <c r="P196" s="541"/>
    </row>
    <row r="197" spans="1:18" s="132" customFormat="1" ht="11.25" customHeight="1">
      <c r="B197" s="715" t="s">
        <v>3549</v>
      </c>
      <c r="C197" s="132" t="s">
        <v>810</v>
      </c>
      <c r="N197" s="250" t="s">
        <v>3549</v>
      </c>
      <c r="O197" s="1652" t="s">
        <v>4013</v>
      </c>
      <c r="P197" s="541"/>
    </row>
    <row r="198" spans="1:18" s="132" customFormat="1" ht="11.25" customHeight="1">
      <c r="B198" s="715" t="s">
        <v>1762</v>
      </c>
      <c r="C198" s="132" t="s">
        <v>811</v>
      </c>
      <c r="N198" s="250" t="s">
        <v>1762</v>
      </c>
      <c r="O198" s="1652" t="s">
        <v>4013</v>
      </c>
      <c r="P198" s="541"/>
    </row>
    <row r="199" spans="1:18" s="132" customFormat="1" ht="11.25" customHeight="1">
      <c r="B199" s="715" t="s">
        <v>1763</v>
      </c>
      <c r="C199" s="132" t="s">
        <v>819</v>
      </c>
      <c r="N199" s="250" t="s">
        <v>1763</v>
      </c>
      <c r="O199" s="1648" t="s">
        <v>4013</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71"/>
      <c r="J203" s="1672"/>
      <c r="K203" s="253"/>
      <c r="L203" s="705"/>
      <c r="M203" s="89"/>
      <c r="N203" s="552" t="s">
        <v>3419</v>
      </c>
      <c r="O203" s="1647"/>
      <c r="P203" s="355"/>
      <c r="R203" s="558"/>
    </row>
    <row r="204" spans="1:18" ht="11.25" customHeight="1">
      <c r="A204" s="252"/>
      <c r="B204" s="108"/>
      <c r="C204" s="575" t="s">
        <v>3420</v>
      </c>
      <c r="D204" s="44" t="s">
        <v>2074</v>
      </c>
      <c r="H204" s="65"/>
      <c r="I204" s="1671"/>
      <c r="J204" s="1672"/>
      <c r="L204" s="705"/>
      <c r="M204" s="89"/>
      <c r="N204" s="575" t="s">
        <v>3420</v>
      </c>
      <c r="O204" s="1652"/>
      <c r="P204" s="541"/>
      <c r="R204" s="558"/>
    </row>
    <row r="205" spans="1:18" ht="11.25" customHeight="1">
      <c r="B205" s="715"/>
      <c r="C205" s="552" t="s">
        <v>3421</v>
      </c>
      <c r="D205" s="44" t="s">
        <v>3719</v>
      </c>
      <c r="H205" s="65"/>
      <c r="I205" s="1671">
        <v>2000000</v>
      </c>
      <c r="J205" s="1672"/>
      <c r="L205" s="705"/>
      <c r="M205" s="89"/>
      <c r="N205" s="552" t="s">
        <v>3421</v>
      </c>
      <c r="O205" s="1652" t="s">
        <v>4013</v>
      </c>
      <c r="P205" s="541"/>
      <c r="R205" s="558"/>
    </row>
    <row r="206" spans="1:18" ht="11.25" customHeight="1">
      <c r="A206" s="252"/>
      <c r="B206" s="715"/>
      <c r="C206" s="552" t="s">
        <v>3422</v>
      </c>
      <c r="D206" s="44" t="s">
        <v>3720</v>
      </c>
      <c r="I206" s="1671"/>
      <c r="J206" s="1672"/>
      <c r="L206" s="705"/>
      <c r="M206" s="89"/>
      <c r="N206" s="552" t="s">
        <v>3422</v>
      </c>
      <c r="O206" s="1652"/>
      <c r="P206" s="541"/>
      <c r="R206" s="558"/>
    </row>
    <row r="207" spans="1:18" s="51" customFormat="1" ht="11.25" customHeight="1">
      <c r="A207" s="251"/>
      <c r="B207" s="715"/>
      <c r="C207" s="575" t="s">
        <v>3423</v>
      </c>
      <c r="D207" s="44" t="s">
        <v>2075</v>
      </c>
      <c r="H207" s="65"/>
      <c r="I207" s="1671"/>
      <c r="J207" s="1672"/>
      <c r="K207" s="253"/>
      <c r="L207" s="705"/>
      <c r="M207" s="89"/>
      <c r="N207" s="575" t="s">
        <v>3423</v>
      </c>
      <c r="O207" s="1652"/>
      <c r="P207" s="541"/>
      <c r="R207" s="558"/>
    </row>
    <row r="208" spans="1:18" ht="11.25" customHeight="1">
      <c r="A208" s="252"/>
      <c r="B208" s="715"/>
      <c r="C208" s="552" t="s">
        <v>3443</v>
      </c>
      <c r="D208" s="44" t="s">
        <v>2076</v>
      </c>
      <c r="H208" s="65"/>
      <c r="I208" s="1671"/>
      <c r="J208" s="1672"/>
      <c r="L208" s="705"/>
      <c r="M208" s="89"/>
      <c r="N208" s="552" t="s">
        <v>3443</v>
      </c>
      <c r="O208" s="1652"/>
      <c r="P208" s="541"/>
      <c r="R208" s="558"/>
    </row>
    <row r="209" spans="1:18" ht="11.25" customHeight="1">
      <c r="A209" s="252"/>
      <c r="B209" s="715"/>
      <c r="C209" s="552" t="s">
        <v>3444</v>
      </c>
      <c r="D209" s="44" t="s">
        <v>2077</v>
      </c>
      <c r="H209" s="65"/>
      <c r="I209" s="1671"/>
      <c r="J209" s="1672"/>
      <c r="L209" s="705"/>
      <c r="M209" s="89"/>
      <c r="N209" s="552" t="s">
        <v>3444</v>
      </c>
      <c r="O209" s="1652"/>
      <c r="P209" s="541"/>
      <c r="R209" s="558"/>
    </row>
    <row r="210" spans="1:18" ht="11.25" customHeight="1" thickBot="1">
      <c r="A210" s="252"/>
      <c r="B210" s="715"/>
      <c r="C210" s="552" t="s">
        <v>3451</v>
      </c>
      <c r="D210" s="701" t="s">
        <v>3721</v>
      </c>
      <c r="E210" s="702"/>
      <c r="F210" s="702"/>
      <c r="G210" s="702"/>
      <c r="H210" s="703"/>
      <c r="I210" s="1673"/>
      <c r="J210" s="1674"/>
      <c r="L210" s="709"/>
      <c r="M210" s="89"/>
      <c r="N210" s="552" t="s">
        <v>3451</v>
      </c>
      <c r="O210" s="1648"/>
      <c r="P210" s="356"/>
      <c r="R210" s="558"/>
    </row>
    <row r="211" spans="1:18" ht="12" customHeight="1" thickBot="1">
      <c r="A211" s="252"/>
      <c r="B211" s="715"/>
      <c r="D211" s="699" t="s">
        <v>3724</v>
      </c>
      <c r="H211" s="65"/>
      <c r="I211" s="1675">
        <f>SUM(I203:J210)</f>
        <v>2000000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11622483.1</v>
      </c>
      <c r="J213" s="1182"/>
      <c r="M213" s="216"/>
      <c r="N213" s="31"/>
      <c r="O213" s="31"/>
      <c r="P213" s="31"/>
    </row>
    <row r="214" spans="1:18" ht="12" customHeight="1">
      <c r="B214" s="250"/>
      <c r="C214" s="698"/>
      <c r="D214" s="720" t="s">
        <v>3726</v>
      </c>
      <c r="G214" s="708"/>
      <c r="H214" s="708"/>
      <c r="I214" s="1183">
        <f>IF($I$213=0,0,$I$211/$I$213)</f>
        <v>0.1720802674258137</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3321</v>
      </c>
      <c r="D220" s="583"/>
      <c r="E220" s="1680"/>
      <c r="F220" s="1681"/>
      <c r="G220" s="1681"/>
      <c r="H220" s="1681"/>
      <c r="I220" s="1681"/>
      <c r="J220" s="1681"/>
      <c r="K220" s="1681"/>
      <c r="L220" s="1681"/>
      <c r="M220" s="1681"/>
      <c r="N220" s="1681"/>
      <c r="O220" s="1681"/>
      <c r="P220" s="1313"/>
    </row>
    <row r="221" spans="1:18" ht="12.6" customHeight="1">
      <c r="B221" s="44" t="s">
        <v>3863</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4091</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7" t="s">
        <v>3980</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48"/>
      <c r="P230" s="356"/>
    </row>
    <row r="231" spans="1:18" s="51" customFormat="1" ht="12" customHeight="1">
      <c r="A231" s="189" t="s">
        <v>2865</v>
      </c>
      <c r="B231" s="236" t="s">
        <v>3727</v>
      </c>
      <c r="D231" s="40"/>
      <c r="E231" s="40"/>
      <c r="F231" s="40"/>
      <c r="H231" s="65" t="s">
        <v>3287</v>
      </c>
      <c r="N231" s="803" t="s">
        <v>2865</v>
      </c>
      <c r="O231" s="1574" t="s">
        <v>3980</v>
      </c>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7"/>
      <c r="P233" s="355"/>
    </row>
    <row r="234" spans="1:18" s="132" customFormat="1" ht="11.25" customHeight="1">
      <c r="B234" s="551" t="s">
        <v>2868</v>
      </c>
      <c r="C234" s="697" t="s">
        <v>3729</v>
      </c>
      <c r="N234" s="250" t="s">
        <v>2868</v>
      </c>
      <c r="O234" s="1652"/>
      <c r="P234" s="541"/>
    </row>
    <row r="235" spans="1:18" s="132" customFormat="1" ht="11.25" customHeight="1">
      <c r="B235" s="551" t="s">
        <v>3549</v>
      </c>
      <c r="C235" s="697" t="s">
        <v>3731</v>
      </c>
      <c r="N235" s="250" t="s">
        <v>3549</v>
      </c>
      <c r="O235" s="1652"/>
      <c r="P235" s="541"/>
    </row>
    <row r="236" spans="1:18" s="132" customFormat="1" ht="11.25" customHeight="1">
      <c r="B236" s="551" t="s">
        <v>1762</v>
      </c>
      <c r="C236" s="697" t="s">
        <v>3732</v>
      </c>
      <c r="N236" s="250" t="s">
        <v>1762</v>
      </c>
      <c r="O236" s="164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t="s">
        <v>4064</v>
      </c>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4">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85" t="s">
        <v>4046</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4"/>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4013</v>
      </c>
      <c r="P255" s="232"/>
    </row>
    <row r="256" spans="1:18" ht="12.6" customHeight="1">
      <c r="A256" s="189" t="s">
        <v>2862</v>
      </c>
      <c r="B256" s="254" t="s">
        <v>2020</v>
      </c>
      <c r="D256" s="40"/>
      <c r="E256" s="40"/>
      <c r="F256" s="40"/>
      <c r="G256" s="40"/>
      <c r="H256" s="40"/>
      <c r="I256" s="40"/>
      <c r="J256" s="40"/>
      <c r="K256" s="40"/>
      <c r="L256" s="40"/>
      <c r="M256" s="157"/>
      <c r="N256" s="803" t="s">
        <v>2862</v>
      </c>
      <c r="O256" s="1686">
        <v>10</v>
      </c>
      <c r="P256" s="580"/>
    </row>
    <row r="257" spans="1:18" ht="12.6" customHeight="1">
      <c r="A257" s="189" t="s">
        <v>2865</v>
      </c>
      <c r="B257" s="254" t="s">
        <v>325</v>
      </c>
      <c r="D257" s="40"/>
      <c r="E257" s="40"/>
      <c r="F257" s="40"/>
      <c r="G257" s="48"/>
      <c r="H257" s="48"/>
      <c r="I257" s="48"/>
      <c r="J257" s="48"/>
      <c r="K257" s="48"/>
      <c r="M257" s="134"/>
      <c r="N257" s="803" t="s">
        <v>2865</v>
      </c>
      <c r="O257" s="1574" t="s">
        <v>4047</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t="s">
        <v>4093</v>
      </c>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4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87"/>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88"/>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89"/>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690"/>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88"/>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690"/>
      <c r="P276" s="742"/>
    </row>
    <row r="277" spans="1:18" s="132" customFormat="1" ht="12" customHeight="1">
      <c r="B277" s="551" t="s">
        <v>2868</v>
      </c>
      <c r="C277" s="724" t="s">
        <v>3742</v>
      </c>
      <c r="L277" s="558" t="str">
        <f>IF(OR($O277=$M277,$O277=0,$O277=""),"","* * Check Score! * *")</f>
        <v/>
      </c>
      <c r="M277" s="8">
        <v>1</v>
      </c>
      <c r="N277" s="250" t="s">
        <v>2868</v>
      </c>
      <c r="O277" s="164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84"/>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85"/>
      <c r="P280" s="744"/>
    </row>
    <row r="281" spans="1:18" s="132" customFormat="1" ht="12" customHeight="1">
      <c r="B281" s="551" t="s">
        <v>1762</v>
      </c>
      <c r="C281" s="724" t="s">
        <v>3748</v>
      </c>
      <c r="F281" s="697" t="s">
        <v>3864</v>
      </c>
      <c r="L281" s="558"/>
      <c r="M281" s="8">
        <v>2</v>
      </c>
      <c r="N281" s="250" t="s">
        <v>1762</v>
      </c>
      <c r="O281" s="1640"/>
      <c r="P281" s="85"/>
    </row>
    <row r="282" spans="1:18" s="132" customFormat="1" ht="12" customHeight="1">
      <c r="B282" s="551" t="s">
        <v>1763</v>
      </c>
      <c r="C282" s="724" t="s">
        <v>3749</v>
      </c>
      <c r="F282" s="697" t="s">
        <v>3751</v>
      </c>
      <c r="J282" s="1209">
        <f>'Part IV-Uses of Funds'!$B$39/'Part IV-Uses of Funds'!$G$123</f>
        <v>0.58329290235750053</v>
      </c>
      <c r="K282" s="1210"/>
      <c r="L282" s="558"/>
      <c r="M282" s="8">
        <v>2</v>
      </c>
      <c r="N282" s="250" t="s">
        <v>1763</v>
      </c>
      <c r="O282" s="164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t="s">
        <v>4092</v>
      </c>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55</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55</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 xml:space="preserve">Braselton Court </v>
      </c>
    </row>
    <row r="3" spans="1:6" ht="16.5">
      <c r="A3" s="576" t="str">
        <f>CONCATENATE('Part I-Project Information'!F24,", ", 'Part I-Project Information'!J25," County")</f>
        <v>Winder, Barrow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 xml:space="preserve">Braselton Court </v>
      </c>
    </row>
    <row r="3" spans="1:6" ht="16.5">
      <c r="A3" s="576" t="str">
        <f>CONCATENATE('Part I-Project Information'!F24,", ", 'Part I-Project Information'!J25," County")</f>
        <v>Winder, Barrow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125"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11663696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13996448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12830056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 xml:space="preserve">Braselton Court </v>
      </c>
    </row>
    <row r="3" spans="1:6" ht="16.5">
      <c r="A3" s="1281" t="str">
        <f>CONCATENATE('Part I-Project Information'!F24,", ", 'Part I-Project Information'!J25," County")</f>
        <v>Winder, Barrow County</v>
      </c>
    </row>
    <row r="4" spans="1:6" ht="12" customHeight="1"/>
    <row r="5" spans="1:6" ht="111" customHeight="1">
      <c r="A5" s="1282" t="s">
        <v>4102</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 hidden="1" customHeight="1">
      <c r="A18" s="1282"/>
    </row>
    <row r="19" spans="1:1" ht="49.5" hidden="1" customHeight="1">
      <c r="A19" s="1282"/>
    </row>
    <row r="20" spans="1:1" ht="6" hidden="1" customHeight="1">
      <c r="A20" s="1282"/>
    </row>
    <row r="21" spans="1:1" ht="111" hidden="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rowBreaks count="1" manualBreakCount="1">
    <brk id="23" man="1"/>
  </rowBreaks>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30" zoomScaleNormal="13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- 2012-039 Braselton Court , Winder, Barrow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4125</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748101.5</v>
      </c>
      <c r="K6" s="907"/>
      <c r="O6" s="888" t="s">
        <v>3866</v>
      </c>
      <c r="P6" s="888"/>
    </row>
    <row r="7" spans="1:16" s="2" customFormat="1" ht="13.15" customHeight="1">
      <c r="A7" s="5"/>
      <c r="C7" s="5"/>
      <c r="D7" s="31"/>
      <c r="E7" s="549"/>
      <c r="F7" s="449" t="s">
        <v>1850</v>
      </c>
      <c r="J7" s="908">
        <f>'Part III A-Sources of Funds'!J5</f>
        <v>2000000</v>
      </c>
      <c r="K7" s="909"/>
      <c r="M7" s="449"/>
      <c r="N7" s="449"/>
      <c r="O7" s="1286" t="s">
        <v>4097</v>
      </c>
      <c r="P7" s="1287"/>
    </row>
    <row r="8" spans="1:16" s="449" customFormat="1" ht="7.15" customHeight="1">
      <c r="A8" s="452"/>
      <c r="C8" s="452"/>
      <c r="D8" s="416"/>
      <c r="E8" s="454"/>
      <c r="F8" s="454"/>
      <c r="I8" s="456"/>
      <c r="N8" s="457"/>
    </row>
    <row r="9" spans="1:16" s="449" customFormat="1" ht="13.15" customHeight="1">
      <c r="A9" s="456" t="s">
        <v>1136</v>
      </c>
      <c r="C9" s="452" t="s">
        <v>2925</v>
      </c>
      <c r="F9" s="1288" t="s">
        <v>4096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3976</v>
      </c>
      <c r="G13" s="1293"/>
      <c r="H13" s="1293"/>
      <c r="I13" s="1293"/>
      <c r="J13" s="1293"/>
      <c r="K13" s="1293"/>
      <c r="L13" s="1294"/>
      <c r="M13" s="826" t="s">
        <v>2859</v>
      </c>
      <c r="N13" s="1292" t="s">
        <v>3979</v>
      </c>
      <c r="O13" s="1293"/>
      <c r="P13" s="1294"/>
    </row>
    <row r="14" spans="1:16" s="449" customFormat="1" ht="13.15" customHeight="1">
      <c r="C14" s="455" t="s">
        <v>2860</v>
      </c>
      <c r="F14" s="1292" t="s">
        <v>3977</v>
      </c>
      <c r="G14" s="1293"/>
      <c r="H14" s="1293"/>
      <c r="I14" s="1293"/>
      <c r="J14" s="1293"/>
      <c r="K14" s="1293"/>
      <c r="L14" s="1294"/>
      <c r="M14" s="826" t="s">
        <v>2573</v>
      </c>
      <c r="O14" s="1295">
        <v>6784602869</v>
      </c>
      <c r="P14" s="1296"/>
    </row>
    <row r="15" spans="1:16" s="449" customFormat="1" ht="13.15" customHeight="1">
      <c r="C15" s="455" t="s">
        <v>876</v>
      </c>
      <c r="F15" s="1297" t="s">
        <v>1743</v>
      </c>
      <c r="G15" s="1298"/>
      <c r="H15" s="1299"/>
      <c r="M15" s="826" t="s">
        <v>2658</v>
      </c>
      <c r="O15" s="1300">
        <v>7708508230</v>
      </c>
      <c r="P15" s="1301"/>
    </row>
    <row r="16" spans="1:16" s="449" customFormat="1" ht="13.15" customHeight="1">
      <c r="C16" s="455" t="s">
        <v>2655</v>
      </c>
      <c r="F16" s="1302" t="s">
        <v>1337</v>
      </c>
      <c r="I16" s="839" t="s">
        <v>3138</v>
      </c>
      <c r="J16" s="1303">
        <v>303285820</v>
      </c>
      <c r="K16" s="1304"/>
      <c r="M16" s="826" t="s">
        <v>2858</v>
      </c>
      <c r="O16" s="1300">
        <v>6782093079</v>
      </c>
      <c r="P16" s="1301"/>
    </row>
    <row r="17" spans="1:16" s="449" customFormat="1" ht="13.15" customHeight="1">
      <c r="B17" s="833"/>
      <c r="C17" s="455" t="s">
        <v>2572</v>
      </c>
      <c r="F17" s="1300">
        <v>7708508280</v>
      </c>
      <c r="G17" s="1305"/>
      <c r="H17" s="1301"/>
      <c r="I17" s="830" t="s">
        <v>2571</v>
      </c>
      <c r="J17" s="1306">
        <v>1117</v>
      </c>
      <c r="K17" s="839" t="s">
        <v>2863</v>
      </c>
      <c r="L17" s="1292" t="s">
        <v>3978</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4101</v>
      </c>
      <c r="G22" s="1308"/>
      <c r="H22" s="1308"/>
      <c r="I22" s="1308"/>
      <c r="J22" s="1308"/>
      <c r="K22" s="1308"/>
      <c r="L22" s="1309"/>
      <c r="M22" s="826" t="s">
        <v>3087</v>
      </c>
      <c r="O22" s="1292" t="s">
        <v>3980</v>
      </c>
      <c r="P22" s="1294"/>
    </row>
    <row r="23" spans="1:16" s="449" customFormat="1" ht="13.15" customHeight="1">
      <c r="A23" s="462"/>
      <c r="B23" s="452"/>
      <c r="C23" s="449" t="s">
        <v>875</v>
      </c>
      <c r="D23" s="463"/>
      <c r="F23" s="1292" t="s">
        <v>4039</v>
      </c>
      <c r="G23" s="1293"/>
      <c r="H23" s="1293"/>
      <c r="I23" s="1293"/>
      <c r="J23" s="1293"/>
      <c r="K23" s="1293"/>
      <c r="L23" s="1294"/>
      <c r="M23" s="826" t="s">
        <v>2938</v>
      </c>
      <c r="O23" s="1292" t="s">
        <v>3980</v>
      </c>
      <c r="P23" s="1294"/>
    </row>
    <row r="24" spans="1:16" s="449" customFormat="1" ht="13.15" customHeight="1">
      <c r="A24" s="846"/>
      <c r="B24" s="452"/>
      <c r="C24" s="449" t="s">
        <v>876</v>
      </c>
      <c r="F24" s="1292" t="s">
        <v>2147</v>
      </c>
      <c r="G24" s="1293"/>
      <c r="H24" s="1294"/>
      <c r="I24" s="839" t="s">
        <v>418</v>
      </c>
      <c r="J24" s="1303">
        <v>305480000</v>
      </c>
      <c r="K24" s="1304"/>
      <c r="L24" s="540" t="str">
        <f>IF(AND(NOT(F22=""),NOT(F24="Select from list"),J24=""),"Enter Zip!","")</f>
        <v/>
      </c>
      <c r="M24" s="826" t="s">
        <v>3197</v>
      </c>
      <c r="O24" s="1292">
        <v>4.87</v>
      </c>
      <c r="P24" s="1294"/>
    </row>
    <row r="25" spans="1:16" s="449" customFormat="1" ht="13.15" customHeight="1">
      <c r="A25" s="846"/>
      <c r="B25" s="452"/>
      <c r="C25" s="889" t="s">
        <v>2937</v>
      </c>
      <c r="D25" s="889"/>
      <c r="F25" s="1310" t="s">
        <v>4013</v>
      </c>
      <c r="I25" s="494" t="s">
        <v>877</v>
      </c>
      <c r="J25" s="1311" t="str">
        <f>IF($F$24="","",VLOOKUP($F$24,$N$181:$O$784,2,FALSE))</f>
        <v>Barrow</v>
      </c>
      <c r="K25" s="1312"/>
      <c r="M25" s="465" t="s">
        <v>3212</v>
      </c>
      <c r="O25" s="1292">
        <v>1801.03</v>
      </c>
      <c r="P25" s="1313"/>
    </row>
    <row r="26" spans="1:16" s="449" customFormat="1" ht="13.15" customHeight="1">
      <c r="A26" s="846"/>
      <c r="B26" s="452"/>
      <c r="C26" s="449" t="s">
        <v>2162</v>
      </c>
      <c r="F26" s="1314" t="s">
        <v>4013</v>
      </c>
      <c r="H26" s="457" t="s">
        <v>3656</v>
      </c>
      <c r="I26" s="682" t="str">
        <f>VLOOKUP($J$25,$C$181:$F$340,4)</f>
        <v>MSA</v>
      </c>
      <c r="J26" s="1315" t="str">
        <f>IF($F$24="","",VLOOKUP($J$25,$C$181:$H$340,3,FALSE))</f>
        <v>Atlanta-Sandy Springs-Marietta</v>
      </c>
      <c r="K26" s="1316"/>
      <c r="L26" s="1317"/>
      <c r="M26" s="826" t="s">
        <v>625</v>
      </c>
      <c r="N26" s="1318" t="s">
        <v>3980</v>
      </c>
      <c r="O26" s="457" t="s">
        <v>626</v>
      </c>
      <c r="P26" s="1318" t="s">
        <v>3980</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7</v>
      </c>
      <c r="G29" s="1320"/>
      <c r="H29" s="1319">
        <v>47</v>
      </c>
      <c r="I29" s="1320"/>
      <c r="J29" s="1319">
        <v>108</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4120</v>
      </c>
      <c r="G32" s="1322"/>
      <c r="H32" s="1322"/>
      <c r="I32" s="1322"/>
      <c r="J32" s="1322"/>
      <c r="K32" s="1323"/>
      <c r="L32" s="466"/>
      <c r="M32" s="466"/>
      <c r="N32" s="466"/>
    </row>
    <row r="33" spans="1:19" s="449" customFormat="1" ht="13.15" customHeight="1">
      <c r="A33" s="846"/>
      <c r="B33" s="846"/>
      <c r="C33" s="449" t="s">
        <v>897</v>
      </c>
      <c r="F33" s="1324" t="s">
        <v>4030</v>
      </c>
      <c r="G33" s="1325"/>
      <c r="H33" s="1325"/>
      <c r="I33" s="1325"/>
      <c r="J33" s="1326"/>
      <c r="K33" s="467" t="s">
        <v>2859</v>
      </c>
      <c r="L33" s="1321" t="s">
        <v>4032</v>
      </c>
      <c r="M33" s="1322"/>
      <c r="N33" s="1323"/>
    </row>
    <row r="34" spans="1:19" s="449" customFormat="1" ht="13.15" customHeight="1">
      <c r="A34" s="846"/>
      <c r="B34" s="846"/>
      <c r="C34" s="449" t="s">
        <v>2860</v>
      </c>
      <c r="F34" s="1321" t="s">
        <v>4031</v>
      </c>
      <c r="G34" s="1322"/>
      <c r="H34" s="1322"/>
      <c r="I34" s="1322"/>
      <c r="J34" s="1323"/>
      <c r="K34" s="468" t="s">
        <v>876</v>
      </c>
      <c r="L34" s="1292" t="s">
        <v>52</v>
      </c>
      <c r="M34" s="1293"/>
      <c r="N34" s="1294"/>
    </row>
    <row r="35" spans="1:19" s="449" customFormat="1" ht="13.15" customHeight="1">
      <c r="A35" s="846"/>
      <c r="B35" s="846"/>
      <c r="C35" s="826" t="s">
        <v>3138</v>
      </c>
      <c r="F35" s="1327">
        <v>305170000</v>
      </c>
      <c r="G35" s="1328"/>
      <c r="H35" s="830" t="s">
        <v>2861</v>
      </c>
      <c r="I35" s="1329">
        <v>7066543915</v>
      </c>
      <c r="J35" s="1330"/>
      <c r="K35" s="1331"/>
      <c r="L35" s="830" t="s">
        <v>2658</v>
      </c>
      <c r="M35" s="1329">
        <v>7066543109</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3980</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80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79</v>
      </c>
      <c r="I49" s="897"/>
      <c r="J49" s="846"/>
      <c r="K49" s="459" t="s">
        <v>3221</v>
      </c>
      <c r="M49" s="833"/>
      <c r="N49" s="833"/>
      <c r="O49" s="833"/>
      <c r="P49" s="476">
        <f>'Part VI-Revenues &amp; Expenses'!$M$96</f>
        <v>73818</v>
      </c>
    </row>
    <row r="50" spans="1:16" s="449" customFormat="1" ht="13.15" customHeight="1">
      <c r="A50" s="846"/>
      <c r="B50" s="472"/>
      <c r="D50" s="477" t="s">
        <v>459</v>
      </c>
      <c r="E50" s="477"/>
      <c r="H50" s="476">
        <f>'Part VI-Revenues &amp; Expenses'!$M$57</f>
        <v>16</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63</v>
      </c>
      <c r="I51" s="476">
        <f>'Part VI-Revenues &amp; Expenses'!$M$64</f>
        <v>0</v>
      </c>
      <c r="K51" s="459" t="s">
        <v>3222</v>
      </c>
      <c r="M51" s="833"/>
      <c r="N51" s="833"/>
      <c r="O51" s="833"/>
      <c r="P51" s="476">
        <f>+P49+P50</f>
        <v>73818</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1014</v>
      </c>
    </row>
    <row r="53" spans="1:16" s="449" customFormat="1" ht="13.15" customHeight="1">
      <c r="A53" s="846"/>
      <c r="C53" s="459" t="s">
        <v>3389</v>
      </c>
      <c r="D53" s="833"/>
      <c r="E53" s="833"/>
      <c r="H53" s="476">
        <f>+H49+H52</f>
        <v>79</v>
      </c>
      <c r="J53" s="846"/>
      <c r="K53" s="459" t="s">
        <v>1995</v>
      </c>
      <c r="M53" s="833"/>
      <c r="N53" s="833"/>
      <c r="O53" s="833"/>
      <c r="P53" s="476">
        <f>+P51+P52</f>
        <v>74832</v>
      </c>
    </row>
    <row r="54" spans="1:16" s="449" customFormat="1" ht="13.15" customHeight="1">
      <c r="A54" s="846"/>
      <c r="C54" s="459" t="s">
        <v>3390</v>
      </c>
      <c r="D54" s="833"/>
      <c r="E54" s="833"/>
      <c r="H54" s="476">
        <f>'Part VI-Revenues &amp; Expenses'!$M$61</f>
        <v>1</v>
      </c>
      <c r="J54" s="846"/>
    </row>
    <row r="55" spans="1:16" s="449" customFormat="1" ht="13.15" customHeight="1">
      <c r="A55" s="846"/>
      <c r="C55" s="459" t="s">
        <v>2649</v>
      </c>
      <c r="D55" s="833"/>
      <c r="E55" s="833"/>
      <c r="H55" s="476">
        <f>+H53+H54</f>
        <v>80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1</v>
      </c>
      <c r="K57" s="459" t="s">
        <v>1641</v>
      </c>
      <c r="O57" s="833"/>
      <c r="P57" s="1333">
        <v>27754</v>
      </c>
    </row>
    <row r="58" spans="1:16" s="449" customFormat="1" ht="13.15" customHeight="1">
      <c r="A58" s="846"/>
      <c r="B58" s="846"/>
      <c r="D58" s="829" t="s">
        <v>2877</v>
      </c>
      <c r="H58" s="1333"/>
      <c r="I58" s="833"/>
      <c r="K58" s="459" t="s">
        <v>305</v>
      </c>
      <c r="O58" s="833"/>
      <c r="P58" s="476">
        <f>+P53+P57</f>
        <v>102586</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90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4" t="s">
        <v>4033</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4</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2</v>
      </c>
      <c r="K69" s="889" t="s">
        <v>755</v>
      </c>
      <c r="L69" s="889"/>
      <c r="P69" s="480">
        <f>IF('Part VI-Revenues &amp; Expenses'!$M$62=0,0,$H69/'Part VI-Revenues &amp; Expenses'!$M$62)</f>
        <v>2.5000000000000001E-2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v>0</v>
      </c>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3980</v>
      </c>
      <c r="F81" s="477" t="s">
        <v>3639</v>
      </c>
      <c r="H81" s="1306" t="s">
        <v>4013</v>
      </c>
      <c r="I81" s="826" t="s">
        <v>3638</v>
      </c>
      <c r="K81" s="1306" t="s">
        <v>3980</v>
      </c>
      <c r="L81" s="449" t="s">
        <v>339</v>
      </c>
    </row>
    <row r="82" spans="1:16" s="449" customFormat="1" ht="13.15" customHeight="1">
      <c r="A82" s="846"/>
      <c r="B82" s="846"/>
      <c r="D82" s="470"/>
      <c r="E82" s="1306" t="s">
        <v>3980</v>
      </c>
      <c r="F82" s="826" t="s">
        <v>611</v>
      </c>
      <c r="H82" s="1306" t="s">
        <v>3980</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1698102</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3981</v>
      </c>
      <c r="D102" s="1346"/>
      <c r="E102" s="1346"/>
      <c r="F102" s="1346" t="s">
        <v>3982</v>
      </c>
      <c r="G102" s="1346"/>
      <c r="H102" s="1346"/>
      <c r="I102" s="1347"/>
      <c r="J102" s="1345">
        <v>8</v>
      </c>
      <c r="K102" s="1346"/>
      <c r="L102" s="1346"/>
      <c r="M102" s="1346"/>
      <c r="N102" s="1346"/>
      <c r="O102" s="1346"/>
      <c r="P102" s="1347"/>
    </row>
    <row r="103" spans="1:16" s="449" customFormat="1" ht="13.15" customHeight="1">
      <c r="A103" s="846"/>
      <c r="B103" s="846"/>
      <c r="C103" s="1348" t="s">
        <v>3981</v>
      </c>
      <c r="D103" s="1349"/>
      <c r="E103" s="1349"/>
      <c r="F103" s="1349" t="s">
        <v>4101</v>
      </c>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3980</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t="s">
        <v>3980</v>
      </c>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t="s">
        <v>3980</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t="s">
        <v>3980</v>
      </c>
      <c r="K133" s="829" t="s">
        <v>2136</v>
      </c>
      <c r="L133" s="829"/>
      <c r="M133" s="839"/>
      <c r="N133" s="839"/>
      <c r="O133" s="1343" t="s">
        <v>3980</v>
      </c>
      <c r="P133" s="460"/>
    </row>
    <row r="134" spans="1:16" s="449" customFormat="1" ht="13.15" customHeight="1">
      <c r="A134" s="846"/>
      <c r="B134" s="846"/>
      <c r="C134" s="829" t="s">
        <v>999</v>
      </c>
      <c r="D134" s="829"/>
      <c r="E134" s="829"/>
      <c r="F134" s="839"/>
      <c r="G134" s="839"/>
      <c r="H134" s="1343" t="s">
        <v>3980</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3980</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3980</v>
      </c>
      <c r="J147" s="893" t="s">
        <v>1158</v>
      </c>
      <c r="K147" s="894"/>
      <c r="L147" s="1343"/>
      <c r="M147" s="890" t="s">
        <v>3247</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3980</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3980</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c r="L157" s="833" t="s">
        <v>3907</v>
      </c>
      <c r="P157" s="1343"/>
    </row>
    <row r="158" spans="1:16" s="449" customFormat="1" ht="12.6" customHeight="1">
      <c r="A158" s="846"/>
      <c r="B158" s="846"/>
      <c r="C158" s="833" t="s">
        <v>3115</v>
      </c>
      <c r="H158" s="1343"/>
      <c r="L158" s="833" t="s">
        <v>2222</v>
      </c>
      <c r="P158" s="1343"/>
    </row>
    <row r="159" spans="1:16" s="449" customFormat="1" ht="12.6" customHeight="1">
      <c r="A159" s="846"/>
      <c r="C159" s="833" t="s">
        <v>1849</v>
      </c>
      <c r="D159" s="495"/>
      <c r="H159" s="1343" t="s">
        <v>4013</v>
      </c>
      <c r="L159" s="833" t="s">
        <v>2387</v>
      </c>
      <c r="P159" s="1343"/>
    </row>
    <row r="160" spans="1:16" s="449" customFormat="1" ht="12.6" customHeight="1">
      <c r="A160" s="846"/>
      <c r="B160" s="846"/>
      <c r="C160" s="833" t="s">
        <v>2221</v>
      </c>
      <c r="D160" s="461"/>
      <c r="E160" s="833"/>
      <c r="F160" s="833"/>
      <c r="H160" s="1343" t="s">
        <v>4013</v>
      </c>
      <c r="K160" s="461"/>
      <c r="L160" s="449" t="s">
        <v>3908</v>
      </c>
      <c r="M160" s="833"/>
      <c r="P160" s="1343"/>
    </row>
    <row r="161" spans="1:21" s="449" customFormat="1" ht="12.6" customHeight="1">
      <c r="A161" s="846"/>
      <c r="B161" s="452"/>
      <c r="C161" s="833" t="s">
        <v>2139</v>
      </c>
      <c r="D161" s="461"/>
      <c r="H161" s="1343"/>
      <c r="L161" s="833" t="s">
        <v>3954</v>
      </c>
      <c r="M161" s="833"/>
      <c r="P161" s="1343"/>
    </row>
    <row r="162" spans="1:21" s="449" customFormat="1" ht="12.6" customHeight="1">
      <c r="A162" s="846"/>
      <c r="B162" s="846"/>
      <c r="C162" s="833" t="s">
        <v>2668</v>
      </c>
      <c r="D162" s="461"/>
      <c r="E162" s="833"/>
      <c r="F162" s="833"/>
      <c r="H162" s="1343"/>
      <c r="I162" s="494" t="s">
        <v>3701</v>
      </c>
      <c r="O162" s="1357"/>
      <c r="P162" s="1358"/>
    </row>
    <row r="163" spans="1:21" s="449" customFormat="1" ht="12.6" customHeight="1">
      <c r="A163" s="846"/>
      <c r="B163" s="846"/>
      <c r="C163" s="833" t="s">
        <v>3956</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t="s">
        <v>1469</v>
      </c>
      <c r="I166" s="1340"/>
      <c r="N166" s="833"/>
      <c r="O166" s="833"/>
      <c r="P166" s="460"/>
    </row>
    <row r="167" spans="1:21" s="449" customFormat="1" ht="12.6" customHeight="1">
      <c r="A167" s="846"/>
      <c r="B167" s="846"/>
      <c r="C167" s="455" t="s">
        <v>341</v>
      </c>
      <c r="D167" s="829"/>
      <c r="E167" s="829"/>
      <c r="F167" s="839"/>
      <c r="G167" s="839"/>
      <c r="H167" s="1339" t="s">
        <v>1469</v>
      </c>
      <c r="I167" s="1340"/>
      <c r="N167" s="833"/>
      <c r="O167" s="833"/>
      <c r="P167" s="460"/>
    </row>
    <row r="168" spans="1:21" s="449" customFormat="1" ht="12.6" customHeight="1">
      <c r="A168" s="846"/>
      <c r="B168" s="846"/>
      <c r="C168" s="455" t="s">
        <v>3213</v>
      </c>
      <c r="D168" s="829"/>
      <c r="E168" s="829"/>
      <c r="F168" s="839"/>
      <c r="G168" s="839"/>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108" customHeight="1">
      <c r="A171" s="1360" t="s">
        <v>4107</v>
      </c>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30" zoomScaleNormal="13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2012-039 Braselton Court , Winder, Barrow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3983</v>
      </c>
      <c r="I5" s="1341"/>
      <c r="J5" s="1341"/>
      <c r="K5" s="1341"/>
      <c r="L5" s="1341"/>
      <c r="M5" s="1341"/>
      <c r="N5" s="1342"/>
      <c r="O5" s="826" t="s">
        <v>2869</v>
      </c>
      <c r="P5" s="826"/>
      <c r="Q5" s="1292" t="s">
        <v>3986</v>
      </c>
      <c r="R5" s="1341"/>
      <c r="S5" s="1342"/>
    </row>
    <row r="6" spans="1:19" s="449" customFormat="1" ht="12.6" customHeight="1">
      <c r="D6" s="498"/>
      <c r="E6" s="455" t="s">
        <v>1527</v>
      </c>
      <c r="F6" s="463"/>
      <c r="H6" s="1292" t="s">
        <v>3984</v>
      </c>
      <c r="I6" s="1341"/>
      <c r="J6" s="1341"/>
      <c r="K6" s="1341"/>
      <c r="L6" s="1341"/>
      <c r="M6" s="1341"/>
      <c r="N6" s="1342"/>
      <c r="O6" s="826" t="s">
        <v>2601</v>
      </c>
      <c r="Q6" s="1292" t="s">
        <v>3987</v>
      </c>
      <c r="R6" s="1341"/>
      <c r="S6" s="1342"/>
    </row>
    <row r="7" spans="1:19" s="449" customFormat="1" ht="12.6" customHeight="1">
      <c r="D7" s="498"/>
      <c r="E7" s="455" t="s">
        <v>876</v>
      </c>
      <c r="H7" s="1292" t="s">
        <v>1893</v>
      </c>
      <c r="I7" s="1341"/>
      <c r="J7" s="1342"/>
      <c r="K7" s="1370" t="s">
        <v>1159</v>
      </c>
      <c r="L7" s="1292"/>
      <c r="M7" s="1341"/>
      <c r="N7" s="1342"/>
      <c r="O7" s="826" t="s">
        <v>2659</v>
      </c>
      <c r="Q7" s="1300">
        <v>9123446969</v>
      </c>
      <c r="R7" s="1305"/>
      <c r="S7" s="1301"/>
    </row>
    <row r="8" spans="1:19" s="449" customFormat="1" ht="12.6" customHeight="1">
      <c r="D8" s="498"/>
      <c r="E8" s="455" t="s">
        <v>2655</v>
      </c>
      <c r="H8" s="1306" t="s">
        <v>1337</v>
      </c>
      <c r="I8" s="839" t="s">
        <v>1843</v>
      </c>
      <c r="J8" s="1303">
        <v>314063617</v>
      </c>
      <c r="K8" s="1342"/>
      <c r="L8" s="397" t="s">
        <v>1846</v>
      </c>
      <c r="N8" s="1343">
        <v>12</v>
      </c>
      <c r="O8" s="826" t="s">
        <v>2858</v>
      </c>
      <c r="Q8" s="1300">
        <v>9125476096</v>
      </c>
      <c r="R8" s="1305"/>
      <c r="S8" s="1301"/>
    </row>
    <row r="9" spans="1:19" s="449" customFormat="1" ht="12.6" customHeight="1">
      <c r="D9" s="498"/>
      <c r="E9" s="455" t="s">
        <v>2864</v>
      </c>
      <c r="H9" s="1300">
        <v>9123546096</v>
      </c>
      <c r="I9" s="1301"/>
      <c r="J9" s="1371"/>
      <c r="K9" s="839" t="s">
        <v>2658</v>
      </c>
      <c r="L9" s="1329">
        <v>9123523451</v>
      </c>
      <c r="M9" s="1342"/>
      <c r="N9" s="457" t="s">
        <v>2863</v>
      </c>
      <c r="O9" s="1307" t="s">
        <v>3985</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3981</v>
      </c>
      <c r="I16" s="1341"/>
      <c r="J16" s="1341"/>
      <c r="K16" s="1341"/>
      <c r="L16" s="1341"/>
      <c r="M16" s="1341"/>
      <c r="N16" s="1342"/>
      <c r="O16" s="826" t="s">
        <v>2869</v>
      </c>
      <c r="P16" s="826"/>
      <c r="Q16" s="1292" t="s">
        <v>3990</v>
      </c>
      <c r="R16" s="1341"/>
      <c r="S16" s="1342"/>
    </row>
    <row r="17" spans="4:19" s="449" customFormat="1" ht="12.6" customHeight="1">
      <c r="D17" s="498"/>
      <c r="E17" s="455" t="s">
        <v>1527</v>
      </c>
      <c r="F17" s="463"/>
      <c r="H17" s="1292" t="s">
        <v>3988</v>
      </c>
      <c r="I17" s="1341"/>
      <c r="J17" s="1341"/>
      <c r="K17" s="1341"/>
      <c r="L17" s="1341"/>
      <c r="M17" s="1341"/>
      <c r="N17" s="1342"/>
      <c r="O17" s="826" t="s">
        <v>2601</v>
      </c>
      <c r="Q17" s="1292" t="s">
        <v>3987</v>
      </c>
      <c r="R17" s="1341"/>
      <c r="S17" s="1342"/>
    </row>
    <row r="18" spans="4:19" s="449" customFormat="1" ht="12.6" customHeight="1">
      <c r="D18" s="498"/>
      <c r="E18" s="455" t="s">
        <v>876</v>
      </c>
      <c r="H18" s="1292" t="s">
        <v>1743</v>
      </c>
      <c r="I18" s="1341"/>
      <c r="J18" s="1342"/>
      <c r="O18" s="826" t="s">
        <v>2659</v>
      </c>
      <c r="Q18" s="1300">
        <v>6784602860</v>
      </c>
      <c r="R18" s="1305"/>
      <c r="S18" s="1301"/>
    </row>
    <row r="19" spans="4:19" s="449" customFormat="1" ht="12.6" customHeight="1">
      <c r="D19" s="452"/>
      <c r="E19" s="455" t="s">
        <v>2655</v>
      </c>
      <c r="H19" s="1306" t="s">
        <v>1337</v>
      </c>
      <c r="I19" s="839" t="s">
        <v>1843</v>
      </c>
      <c r="J19" s="1303">
        <v>303285820</v>
      </c>
      <c r="K19" s="1342"/>
      <c r="L19" s="397" t="s">
        <v>1846</v>
      </c>
      <c r="N19" s="1343">
        <v>6</v>
      </c>
      <c r="O19" s="826" t="s">
        <v>2858</v>
      </c>
      <c r="Q19" s="1300">
        <v>4043751894</v>
      </c>
      <c r="R19" s="1305"/>
      <c r="S19" s="1301"/>
    </row>
    <row r="20" spans="4:19" s="449" customFormat="1" ht="12.6" customHeight="1">
      <c r="D20" s="498"/>
      <c r="E20" s="455" t="s">
        <v>2864</v>
      </c>
      <c r="H20" s="1300">
        <v>7708508280</v>
      </c>
      <c r="I20" s="1301"/>
      <c r="J20" s="1371"/>
      <c r="K20" s="839" t="s">
        <v>2658</v>
      </c>
      <c r="L20" s="1329">
        <v>7708508230</v>
      </c>
      <c r="M20" s="1342"/>
      <c r="N20" s="457" t="s">
        <v>2863</v>
      </c>
      <c r="O20" s="1307" t="s">
        <v>3989</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6" t="s">
        <v>2869</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3138</v>
      </c>
      <c r="J25" s="1303"/>
      <c r="K25" s="1342"/>
      <c r="O25" s="826" t="s">
        <v>2858</v>
      </c>
      <c r="Q25" s="1300"/>
      <c r="R25" s="1305"/>
      <c r="S25" s="1301"/>
    </row>
    <row r="26" spans="4:19" s="449" customFormat="1" ht="12.6" customHeight="1">
      <c r="D26" s="498"/>
      <c r="E26" s="455" t="s">
        <v>2864</v>
      </c>
      <c r="H26" s="1300"/>
      <c r="I26" s="1301"/>
      <c r="J26" s="1371"/>
      <c r="K26" s="839" t="s">
        <v>2658</v>
      </c>
      <c r="L26" s="1329"/>
      <c r="M26" s="1342"/>
      <c r="N26" s="457" t="s">
        <v>2863</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3138</v>
      </c>
      <c r="J31" s="1303"/>
      <c r="K31" s="1342"/>
      <c r="O31" s="826" t="s">
        <v>2858</v>
      </c>
      <c r="Q31" s="1300"/>
      <c r="R31" s="1305"/>
      <c r="S31" s="1301"/>
    </row>
    <row r="32" spans="4:19" s="449" customFormat="1" ht="12.6" customHeight="1">
      <c r="D32" s="498"/>
      <c r="E32" s="455" t="s">
        <v>2864</v>
      </c>
      <c r="H32" s="1300"/>
      <c r="I32" s="1301"/>
      <c r="J32" s="1371"/>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4035</v>
      </c>
      <c r="I36" s="1341"/>
      <c r="J36" s="1341"/>
      <c r="K36" s="1341"/>
      <c r="L36" s="1341"/>
      <c r="M36" s="1341"/>
      <c r="N36" s="1342"/>
      <c r="O36" s="826" t="s">
        <v>2869</v>
      </c>
      <c r="P36" s="826"/>
      <c r="Q36" s="1292" t="s">
        <v>4037</v>
      </c>
      <c r="R36" s="1341"/>
      <c r="S36" s="1342"/>
    </row>
    <row r="37" spans="3:19" s="449" customFormat="1" ht="12.6" customHeight="1">
      <c r="D37" s="498"/>
      <c r="E37" s="455" t="s">
        <v>1527</v>
      </c>
      <c r="F37" s="463"/>
      <c r="H37" s="1292" t="s">
        <v>4098</v>
      </c>
      <c r="I37" s="1341"/>
      <c r="J37" s="1341"/>
      <c r="K37" s="1341"/>
      <c r="L37" s="1341"/>
      <c r="M37" s="1341"/>
      <c r="N37" s="1342"/>
      <c r="O37" s="826" t="s">
        <v>2601</v>
      </c>
      <c r="Q37" s="1292" t="s">
        <v>4038</v>
      </c>
      <c r="R37" s="1341"/>
      <c r="S37" s="1342"/>
    </row>
    <row r="38" spans="3:19" s="449" customFormat="1" ht="12.6" customHeight="1">
      <c r="D38" s="498"/>
      <c r="E38" s="455" t="s">
        <v>876</v>
      </c>
      <c r="H38" s="1292" t="s">
        <v>1743</v>
      </c>
      <c r="I38" s="1341"/>
      <c r="J38" s="1342"/>
      <c r="O38" s="826" t="s">
        <v>2659</v>
      </c>
      <c r="Q38" s="1300">
        <v>4045888775</v>
      </c>
      <c r="R38" s="1305"/>
      <c r="S38" s="1301"/>
    </row>
    <row r="39" spans="3:19" s="449" customFormat="1" ht="12.6" customHeight="1">
      <c r="E39" s="455" t="s">
        <v>2655</v>
      </c>
      <c r="H39" s="1306" t="s">
        <v>1337</v>
      </c>
      <c r="I39" s="483" t="s">
        <v>3138</v>
      </c>
      <c r="J39" s="1303">
        <v>303090000</v>
      </c>
      <c r="K39" s="1342"/>
      <c r="O39" s="826" t="s">
        <v>2858</v>
      </c>
      <c r="Q39" s="1300">
        <v>7706390087</v>
      </c>
      <c r="R39" s="1305"/>
      <c r="S39" s="1301"/>
    </row>
    <row r="40" spans="3:19" s="449" customFormat="1" ht="12.6" customHeight="1">
      <c r="D40" s="498"/>
      <c r="E40" s="455" t="s">
        <v>2864</v>
      </c>
      <c r="H40" s="1300">
        <v>4045888775</v>
      </c>
      <c r="I40" s="1301"/>
      <c r="J40" s="1371"/>
      <c r="K40" s="839" t="s">
        <v>2658</v>
      </c>
      <c r="L40" s="1329">
        <v>4048276025</v>
      </c>
      <c r="M40" s="1342"/>
      <c r="N40" s="457" t="s">
        <v>2863</v>
      </c>
      <c r="O40" s="1307" t="s">
        <v>4036</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4035</v>
      </c>
      <c r="I42" s="1341"/>
      <c r="J42" s="1341"/>
      <c r="K42" s="1341"/>
      <c r="L42" s="1341"/>
      <c r="M42" s="1341"/>
      <c r="N42" s="1342"/>
      <c r="O42" s="826" t="s">
        <v>2869</v>
      </c>
      <c r="P42" s="826"/>
      <c r="Q42" s="1292" t="s">
        <v>4037</v>
      </c>
      <c r="R42" s="1341"/>
      <c r="S42" s="1342"/>
    </row>
    <row r="43" spans="3:19" s="449" customFormat="1" ht="12.6" customHeight="1">
      <c r="D43" s="498"/>
      <c r="E43" s="455" t="s">
        <v>1527</v>
      </c>
      <c r="F43" s="463"/>
      <c r="H43" s="1292" t="s">
        <v>4098</v>
      </c>
      <c r="I43" s="1341"/>
      <c r="J43" s="1341"/>
      <c r="K43" s="1341"/>
      <c r="L43" s="1341"/>
      <c r="M43" s="1341"/>
      <c r="N43" s="1342"/>
      <c r="O43" s="826" t="s">
        <v>2601</v>
      </c>
      <c r="Q43" s="1292" t="s">
        <v>4038</v>
      </c>
      <c r="R43" s="1341"/>
      <c r="S43" s="1342"/>
    </row>
    <row r="44" spans="3:19" s="449" customFormat="1" ht="12.6" customHeight="1">
      <c r="D44" s="498"/>
      <c r="E44" s="455" t="s">
        <v>876</v>
      </c>
      <c r="H44" s="1292" t="s">
        <v>1743</v>
      </c>
      <c r="I44" s="1341"/>
      <c r="J44" s="1342"/>
      <c r="O44" s="826" t="s">
        <v>2659</v>
      </c>
      <c r="Q44" s="1300">
        <v>4045888775</v>
      </c>
      <c r="R44" s="1305"/>
      <c r="S44" s="1301"/>
    </row>
    <row r="45" spans="3:19" s="449" customFormat="1" ht="12.6" customHeight="1">
      <c r="D45" s="452"/>
      <c r="E45" s="455" t="s">
        <v>2655</v>
      </c>
      <c r="H45" s="1306" t="s">
        <v>1337</v>
      </c>
      <c r="I45" s="483" t="s">
        <v>3138</v>
      </c>
      <c r="J45" s="1303">
        <v>303090000</v>
      </c>
      <c r="K45" s="1342"/>
      <c r="O45" s="826" t="s">
        <v>2858</v>
      </c>
      <c r="Q45" s="1300">
        <v>7706390087</v>
      </c>
      <c r="R45" s="1305"/>
      <c r="S45" s="1301"/>
    </row>
    <row r="46" spans="3:19" s="449" customFormat="1" ht="12.6" customHeight="1">
      <c r="D46" s="498"/>
      <c r="E46" s="455" t="s">
        <v>2864</v>
      </c>
      <c r="H46" s="1300">
        <v>4045888775</v>
      </c>
      <c r="I46" s="1301"/>
      <c r="J46" s="1371"/>
      <c r="K46" s="839" t="s">
        <v>2658</v>
      </c>
      <c r="L46" s="1329">
        <v>4048276025</v>
      </c>
      <c r="M46" s="1342"/>
      <c r="N46" s="457" t="s">
        <v>2863</v>
      </c>
      <c r="O46" s="1307" t="s">
        <v>4036</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c r="I50" s="1341"/>
      <c r="J50" s="1341"/>
      <c r="K50" s="1341"/>
      <c r="L50" s="1341"/>
      <c r="M50" s="1341"/>
      <c r="N50" s="1342"/>
      <c r="O50" s="826" t="s">
        <v>2869</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2659</v>
      </c>
      <c r="Q52" s="1300"/>
      <c r="R52" s="1305"/>
      <c r="S52" s="1301"/>
    </row>
    <row r="53" spans="1:19" s="449" customFormat="1" ht="12.6" customHeight="1">
      <c r="E53" s="455" t="s">
        <v>2655</v>
      </c>
      <c r="H53" s="1306"/>
      <c r="I53" s="483" t="s">
        <v>3138</v>
      </c>
      <c r="J53" s="1303"/>
      <c r="K53" s="1342"/>
      <c r="O53" s="826" t="s">
        <v>2858</v>
      </c>
      <c r="Q53" s="1300"/>
      <c r="R53" s="1305"/>
      <c r="S53" s="1301"/>
    </row>
    <row r="54" spans="1:19" s="449" customFormat="1" ht="12.6" customHeight="1">
      <c r="D54" s="498"/>
      <c r="E54" s="455" t="s">
        <v>2864</v>
      </c>
      <c r="H54" s="1300"/>
      <c r="I54" s="1301"/>
      <c r="J54" s="1371"/>
      <c r="K54" s="839"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3991</v>
      </c>
      <c r="I58" s="1341"/>
      <c r="J58" s="1341"/>
      <c r="K58" s="1341"/>
      <c r="L58" s="1341"/>
      <c r="M58" s="1341"/>
      <c r="N58" s="1342"/>
      <c r="O58" s="826" t="s">
        <v>2869</v>
      </c>
      <c r="P58" s="826"/>
      <c r="Q58" s="1292" t="s">
        <v>3990</v>
      </c>
      <c r="R58" s="1341"/>
      <c r="S58" s="1342"/>
    </row>
    <row r="59" spans="1:19" s="449" customFormat="1" ht="13.15" customHeight="1">
      <c r="D59" s="498"/>
      <c r="E59" s="455" t="s">
        <v>1527</v>
      </c>
      <c r="F59" s="463"/>
      <c r="H59" s="1292" t="s">
        <v>3988</v>
      </c>
      <c r="I59" s="1341"/>
      <c r="J59" s="1341"/>
      <c r="K59" s="1341"/>
      <c r="L59" s="1341"/>
      <c r="M59" s="1341"/>
      <c r="N59" s="1342"/>
      <c r="O59" s="826" t="s">
        <v>2601</v>
      </c>
      <c r="Q59" s="1292" t="s">
        <v>3987</v>
      </c>
      <c r="R59" s="1341"/>
      <c r="S59" s="1342"/>
    </row>
    <row r="60" spans="1:19" s="449" customFormat="1" ht="13.15" customHeight="1">
      <c r="D60" s="498"/>
      <c r="E60" s="455" t="s">
        <v>876</v>
      </c>
      <c r="H60" s="1292" t="s">
        <v>1743</v>
      </c>
      <c r="I60" s="1341"/>
      <c r="J60" s="1342"/>
      <c r="O60" s="826" t="s">
        <v>2659</v>
      </c>
      <c r="Q60" s="1300">
        <v>6784602860</v>
      </c>
      <c r="R60" s="1305"/>
      <c r="S60" s="1301"/>
    </row>
    <row r="61" spans="1:19" s="449" customFormat="1" ht="13.15" customHeight="1">
      <c r="E61" s="455" t="s">
        <v>2655</v>
      </c>
      <c r="H61" s="1306" t="s">
        <v>1337</v>
      </c>
      <c r="I61" s="483" t="s">
        <v>3138</v>
      </c>
      <c r="J61" s="1303">
        <v>303285820</v>
      </c>
      <c r="K61" s="1342"/>
      <c r="O61" s="826" t="s">
        <v>2858</v>
      </c>
      <c r="Q61" s="1300">
        <v>4043751894</v>
      </c>
      <c r="R61" s="1305"/>
      <c r="S61" s="1301"/>
    </row>
    <row r="62" spans="1:19" s="449" customFormat="1" ht="13.15" customHeight="1">
      <c r="D62" s="498"/>
      <c r="E62" s="455" t="s">
        <v>2864</v>
      </c>
      <c r="H62" s="1300">
        <v>7708508280</v>
      </c>
      <c r="I62" s="1301"/>
      <c r="J62" s="1371"/>
      <c r="K62" s="839" t="s">
        <v>2658</v>
      </c>
      <c r="L62" s="1329"/>
      <c r="M62" s="1342"/>
      <c r="N62" s="457" t="s">
        <v>2863</v>
      </c>
      <c r="O62" s="1307" t="s">
        <v>3989</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c r="I64" s="1341"/>
      <c r="J64" s="1341"/>
      <c r="K64" s="1341"/>
      <c r="L64" s="1341"/>
      <c r="M64" s="1341"/>
      <c r="N64" s="1342"/>
      <c r="O64" s="826" t="s">
        <v>2869</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2659</v>
      </c>
      <c r="Q66" s="1300"/>
      <c r="R66" s="1305"/>
      <c r="S66" s="1301"/>
    </row>
    <row r="67" spans="2:19" s="449" customFormat="1" ht="13.15" customHeight="1">
      <c r="E67" s="455" t="s">
        <v>2655</v>
      </c>
      <c r="H67" s="1306"/>
      <c r="I67" s="483" t="s">
        <v>3138</v>
      </c>
      <c r="J67" s="1303"/>
      <c r="K67" s="1342"/>
      <c r="O67" s="826" t="s">
        <v>2858</v>
      </c>
      <c r="Q67" s="1300"/>
      <c r="R67" s="1305"/>
      <c r="S67" s="1301"/>
    </row>
    <row r="68" spans="2:19" s="449" customFormat="1" ht="13.15" customHeight="1">
      <c r="D68" s="498"/>
      <c r="E68" s="455" t="s">
        <v>2864</v>
      </c>
      <c r="H68" s="1300"/>
      <c r="I68" s="1301"/>
      <c r="J68" s="1371"/>
      <c r="K68" s="839" t="s">
        <v>2658</v>
      </c>
      <c r="L68" s="1329"/>
      <c r="M68" s="1342"/>
      <c r="N68" s="457" t="s">
        <v>2863</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3138</v>
      </c>
      <c r="J73" s="1303"/>
      <c r="K73" s="1342"/>
      <c r="O73" s="826" t="s">
        <v>2858</v>
      </c>
      <c r="Q73" s="1300"/>
      <c r="R73" s="1305"/>
      <c r="S73" s="1301"/>
    </row>
    <row r="74" spans="2:19" s="449" customFormat="1" ht="13.15" customHeight="1">
      <c r="D74" s="498"/>
      <c r="E74" s="455" t="s">
        <v>2864</v>
      </c>
      <c r="H74" s="1300"/>
      <c r="I74" s="1301"/>
      <c r="J74" s="1371"/>
      <c r="K74" s="839" t="s">
        <v>2658</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3138</v>
      </c>
      <c r="J79" s="1303"/>
      <c r="K79" s="1342"/>
      <c r="O79" s="826" t="s">
        <v>2858</v>
      </c>
      <c r="Q79" s="1300"/>
      <c r="R79" s="1305"/>
      <c r="S79" s="1301"/>
    </row>
    <row r="80" spans="2:19" s="449" customFormat="1" ht="13.15" customHeight="1">
      <c r="D80" s="498"/>
      <c r="E80" s="455" t="s">
        <v>2864</v>
      </c>
      <c r="H80" s="1300"/>
      <c r="I80" s="1301"/>
      <c r="J80" s="1371"/>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3138</v>
      </c>
      <c r="J87" s="1303"/>
      <c r="K87" s="1342"/>
      <c r="O87" s="826" t="s">
        <v>2858</v>
      </c>
      <c r="Q87" s="1300"/>
      <c r="R87" s="1305"/>
      <c r="S87" s="1301"/>
    </row>
    <row r="88" spans="1:19" s="449" customFormat="1" ht="13.15" customHeight="1">
      <c r="D88" s="498"/>
      <c r="E88" s="455" t="s">
        <v>2864</v>
      </c>
      <c r="H88" s="1300"/>
      <c r="I88" s="1301"/>
      <c r="J88" s="1371"/>
      <c r="K88" s="839" t="s">
        <v>2658</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3992</v>
      </c>
      <c r="I90" s="1341"/>
      <c r="J90" s="1341"/>
      <c r="K90" s="1341"/>
      <c r="L90" s="1341"/>
      <c r="M90" s="1341"/>
      <c r="N90" s="1342"/>
      <c r="O90" s="826" t="s">
        <v>2869</v>
      </c>
      <c r="P90" s="826"/>
      <c r="Q90" s="1292" t="s">
        <v>3993</v>
      </c>
      <c r="R90" s="1341"/>
      <c r="S90" s="1342"/>
    </row>
    <row r="91" spans="1:19" s="449" customFormat="1" ht="13.15" customHeight="1">
      <c r="D91" s="498"/>
      <c r="E91" s="455" t="s">
        <v>1527</v>
      </c>
      <c r="F91" s="463"/>
      <c r="H91" s="1292" t="s">
        <v>3984</v>
      </c>
      <c r="I91" s="1341"/>
      <c r="J91" s="1341"/>
      <c r="K91" s="1341"/>
      <c r="L91" s="1341"/>
      <c r="M91" s="1341"/>
      <c r="N91" s="1342"/>
      <c r="O91" s="826" t="s">
        <v>2601</v>
      </c>
      <c r="Q91" s="1292" t="s">
        <v>3979</v>
      </c>
      <c r="R91" s="1341"/>
      <c r="S91" s="1342"/>
    </row>
    <row r="92" spans="1:19" s="449" customFormat="1" ht="13.15" customHeight="1">
      <c r="D92" s="498"/>
      <c r="E92" s="455" t="s">
        <v>876</v>
      </c>
      <c r="H92" s="1292" t="s">
        <v>1893</v>
      </c>
      <c r="I92" s="1341"/>
      <c r="J92" s="1342"/>
      <c r="O92" s="826" t="s">
        <v>2659</v>
      </c>
      <c r="Q92" s="1300">
        <v>9126446964</v>
      </c>
      <c r="R92" s="1305"/>
      <c r="S92" s="1301"/>
    </row>
    <row r="93" spans="1:19" s="449" customFormat="1" ht="13.15" customHeight="1">
      <c r="E93" s="455" t="s">
        <v>2655</v>
      </c>
      <c r="H93" s="1306" t="s">
        <v>1337</v>
      </c>
      <c r="I93" s="483" t="s">
        <v>3138</v>
      </c>
      <c r="J93" s="1303">
        <v>314063617</v>
      </c>
      <c r="K93" s="1342"/>
      <c r="O93" s="826" t="s">
        <v>2858</v>
      </c>
      <c r="Q93" s="1300">
        <v>4046179539</v>
      </c>
      <c r="R93" s="1305"/>
      <c r="S93" s="1301"/>
    </row>
    <row r="94" spans="1:19" s="449" customFormat="1" ht="13.15" customHeight="1">
      <c r="D94" s="498"/>
      <c r="E94" s="455" t="s">
        <v>2864</v>
      </c>
      <c r="H94" s="1300">
        <v>9123546096</v>
      </c>
      <c r="I94" s="1301"/>
      <c r="J94" s="1371"/>
      <c r="K94" s="839" t="s">
        <v>2658</v>
      </c>
      <c r="L94" s="1329">
        <v>9123523451</v>
      </c>
      <c r="M94" s="1342"/>
      <c r="N94" s="457" t="s">
        <v>2863</v>
      </c>
      <c r="O94" s="1307" t="s">
        <v>3994</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3995</v>
      </c>
      <c r="I96" s="1341"/>
      <c r="J96" s="1341"/>
      <c r="K96" s="1341"/>
      <c r="L96" s="1341"/>
      <c r="M96" s="1341"/>
      <c r="N96" s="1342"/>
      <c r="O96" s="826" t="s">
        <v>2869</v>
      </c>
      <c r="P96" s="826"/>
      <c r="Q96" s="1292" t="s">
        <v>3996</v>
      </c>
      <c r="R96" s="1341"/>
      <c r="S96" s="1342"/>
    </row>
    <row r="97" spans="2:19" s="449" customFormat="1" ht="13.15" customHeight="1">
      <c r="D97" s="498"/>
      <c r="E97" s="455" t="s">
        <v>1527</v>
      </c>
      <c r="F97" s="463"/>
      <c r="H97" s="1292" t="s">
        <v>3984</v>
      </c>
      <c r="I97" s="1341"/>
      <c r="J97" s="1341"/>
      <c r="K97" s="1341"/>
      <c r="L97" s="1341"/>
      <c r="M97" s="1341"/>
      <c r="N97" s="1342"/>
      <c r="O97" s="826" t="s">
        <v>2601</v>
      </c>
      <c r="Q97" s="1292" t="s">
        <v>3979</v>
      </c>
      <c r="R97" s="1341"/>
      <c r="S97" s="1342"/>
    </row>
    <row r="98" spans="2:19" s="449" customFormat="1" ht="13.15" customHeight="1">
      <c r="D98" s="498"/>
      <c r="E98" s="455" t="s">
        <v>876</v>
      </c>
      <c r="H98" s="1292" t="s">
        <v>1893</v>
      </c>
      <c r="I98" s="1341"/>
      <c r="J98" s="1342"/>
      <c r="O98" s="826" t="s">
        <v>2659</v>
      </c>
      <c r="Q98" s="1300">
        <v>6784602864</v>
      </c>
      <c r="R98" s="1305"/>
      <c r="S98" s="1301"/>
    </row>
    <row r="99" spans="2:19" s="449" customFormat="1" ht="13.15" customHeight="1">
      <c r="D99" s="498"/>
      <c r="E99" s="455" t="s">
        <v>2655</v>
      </c>
      <c r="H99" s="1306" t="s">
        <v>1337</v>
      </c>
      <c r="I99" s="483" t="s">
        <v>3138</v>
      </c>
      <c r="J99" s="1303">
        <v>314063617</v>
      </c>
      <c r="K99" s="1342"/>
      <c r="O99" s="826" t="s">
        <v>2858</v>
      </c>
      <c r="Q99" s="1300">
        <v>4046179763</v>
      </c>
      <c r="R99" s="1305"/>
      <c r="S99" s="1301"/>
    </row>
    <row r="100" spans="2:19" s="449" customFormat="1" ht="13.15" customHeight="1">
      <c r="D100" s="498"/>
      <c r="E100" s="455" t="s">
        <v>2864</v>
      </c>
      <c r="H100" s="1300">
        <v>9123546096</v>
      </c>
      <c r="I100" s="1301"/>
      <c r="J100" s="1371"/>
      <c r="K100" s="839" t="s">
        <v>2658</v>
      </c>
      <c r="L100" s="1329">
        <v>9123523451</v>
      </c>
      <c r="M100" s="1342"/>
      <c r="N100" s="457" t="s">
        <v>2863</v>
      </c>
      <c r="O100" s="1307" t="s">
        <v>3997</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3998</v>
      </c>
      <c r="I102" s="1341"/>
      <c r="J102" s="1341"/>
      <c r="K102" s="1341"/>
      <c r="L102" s="1341"/>
      <c r="M102" s="1341"/>
      <c r="N102" s="1342"/>
      <c r="O102" s="826" t="s">
        <v>2869</v>
      </c>
      <c r="P102" s="826"/>
      <c r="Q102" s="1292" t="s">
        <v>4000</v>
      </c>
      <c r="R102" s="1341"/>
      <c r="S102" s="1342"/>
    </row>
    <row r="103" spans="2:19" s="449" customFormat="1" ht="13.15" customHeight="1">
      <c r="D103" s="498"/>
      <c r="E103" s="455" t="s">
        <v>1527</v>
      </c>
      <c r="F103" s="463"/>
      <c r="H103" s="1292" t="s">
        <v>3999</v>
      </c>
      <c r="I103" s="1341"/>
      <c r="J103" s="1341"/>
      <c r="K103" s="1341"/>
      <c r="L103" s="1341"/>
      <c r="M103" s="1341"/>
      <c r="N103" s="1342"/>
      <c r="O103" s="826" t="s">
        <v>2601</v>
      </c>
      <c r="Q103" s="1292" t="s">
        <v>4001</v>
      </c>
      <c r="R103" s="1341"/>
      <c r="S103" s="1342"/>
    </row>
    <row r="104" spans="2:19" s="449" customFormat="1" ht="13.15" customHeight="1">
      <c r="D104" s="498"/>
      <c r="E104" s="455" t="s">
        <v>876</v>
      </c>
      <c r="H104" s="1292" t="s">
        <v>1893</v>
      </c>
      <c r="I104" s="1341"/>
      <c r="J104" s="1342"/>
      <c r="O104" s="826" t="s">
        <v>2659</v>
      </c>
      <c r="Q104" s="1300">
        <v>9129441635</v>
      </c>
      <c r="R104" s="1305"/>
      <c r="S104" s="1301"/>
    </row>
    <row r="105" spans="2:19" s="449" customFormat="1" ht="13.15" customHeight="1">
      <c r="D105" s="498"/>
      <c r="E105" s="455" t="s">
        <v>2655</v>
      </c>
      <c r="H105" s="1306" t="s">
        <v>1337</v>
      </c>
      <c r="I105" s="483" t="s">
        <v>3138</v>
      </c>
      <c r="J105" s="1303">
        <v>314012700</v>
      </c>
      <c r="K105" s="1342"/>
      <c r="O105" s="826" t="s">
        <v>2858</v>
      </c>
      <c r="Q105" s="1300">
        <v>9124413863</v>
      </c>
      <c r="R105" s="1305"/>
      <c r="S105" s="1301"/>
    </row>
    <row r="106" spans="2:19" ht="13.15" customHeight="1">
      <c r="E106" s="455" t="s">
        <v>2864</v>
      </c>
      <c r="F106" s="449"/>
      <c r="G106" s="449"/>
      <c r="H106" s="1300">
        <v>9122360261</v>
      </c>
      <c r="I106" s="1301"/>
      <c r="J106" s="1371"/>
      <c r="K106" s="839" t="s">
        <v>2658</v>
      </c>
      <c r="L106" s="1329">
        <v>9122364926</v>
      </c>
      <c r="M106" s="1342"/>
      <c r="N106" s="457" t="s">
        <v>2863</v>
      </c>
      <c r="O106" s="1307" t="s">
        <v>4002</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4003</v>
      </c>
      <c r="I109" s="1341"/>
      <c r="J109" s="1341"/>
      <c r="K109" s="1341"/>
      <c r="L109" s="1341"/>
      <c r="M109" s="1341"/>
      <c r="N109" s="1342"/>
      <c r="O109" s="826" t="s">
        <v>2869</v>
      </c>
      <c r="P109" s="826"/>
      <c r="Q109" s="1292" t="s">
        <v>4006</v>
      </c>
      <c r="R109" s="1341"/>
      <c r="S109" s="1342"/>
    </row>
    <row r="110" spans="2:19" s="449" customFormat="1" ht="13.15" customHeight="1">
      <c r="D110" s="498"/>
      <c r="E110" s="455" t="s">
        <v>1527</v>
      </c>
      <c r="F110" s="463"/>
      <c r="H110" s="1292" t="s">
        <v>4004</v>
      </c>
      <c r="I110" s="1341"/>
      <c r="J110" s="1341"/>
      <c r="K110" s="1341"/>
      <c r="L110" s="1341"/>
      <c r="M110" s="1341"/>
      <c r="N110" s="1342"/>
      <c r="O110" s="826" t="s">
        <v>2601</v>
      </c>
      <c r="Q110" s="1292" t="s">
        <v>4007</v>
      </c>
      <c r="R110" s="1341"/>
      <c r="S110" s="1342"/>
    </row>
    <row r="111" spans="2:19" s="449" customFormat="1" ht="13.15" customHeight="1">
      <c r="D111" s="498"/>
      <c r="E111" s="455" t="s">
        <v>876</v>
      </c>
      <c r="H111" s="1292" t="s">
        <v>1743</v>
      </c>
      <c r="I111" s="1341"/>
      <c r="J111" s="1342"/>
      <c r="O111" s="826" t="s">
        <v>2659</v>
      </c>
      <c r="Q111" s="1300">
        <v>4048479447</v>
      </c>
      <c r="R111" s="1305"/>
      <c r="S111" s="1301"/>
    </row>
    <row r="112" spans="2:19" s="449" customFormat="1" ht="13.15" customHeight="1">
      <c r="D112" s="498"/>
      <c r="E112" s="455" t="s">
        <v>2655</v>
      </c>
      <c r="H112" s="1306" t="s">
        <v>1337</v>
      </c>
      <c r="I112" s="483" t="s">
        <v>3138</v>
      </c>
      <c r="J112" s="1303">
        <v>303191470</v>
      </c>
      <c r="K112" s="1342"/>
      <c r="O112" s="826" t="s">
        <v>2858</v>
      </c>
      <c r="Q112" s="1300">
        <v>6785760400</v>
      </c>
      <c r="R112" s="1305"/>
      <c r="S112" s="1301"/>
    </row>
    <row r="113" spans="1:19" ht="13.15" customHeight="1">
      <c r="E113" s="455" t="s">
        <v>2864</v>
      </c>
      <c r="F113" s="449"/>
      <c r="G113" s="449"/>
      <c r="H113" s="1300">
        <v>4048479447</v>
      </c>
      <c r="I113" s="1301"/>
      <c r="J113" s="1371"/>
      <c r="K113" s="839" t="s">
        <v>2658</v>
      </c>
      <c r="L113" s="1329"/>
      <c r="M113" s="1342"/>
      <c r="N113" s="457" t="s">
        <v>2863</v>
      </c>
      <c r="O113" s="1307" t="s">
        <v>4005</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4008</v>
      </c>
      <c r="I115" s="1341"/>
      <c r="J115" s="1341"/>
      <c r="K115" s="1341"/>
      <c r="L115" s="1341"/>
      <c r="M115" s="1341"/>
      <c r="N115" s="1342"/>
      <c r="O115" s="826" t="s">
        <v>2869</v>
      </c>
      <c r="P115" s="826"/>
      <c r="Q115" s="1292" t="s">
        <v>4010</v>
      </c>
      <c r="R115" s="1341"/>
      <c r="S115" s="1342"/>
    </row>
    <row r="116" spans="1:19" s="449" customFormat="1" ht="13.15" customHeight="1">
      <c r="D116" s="498"/>
      <c r="E116" s="455" t="s">
        <v>1527</v>
      </c>
      <c r="F116" s="463"/>
      <c r="H116" s="1292" t="s">
        <v>4009</v>
      </c>
      <c r="I116" s="1341"/>
      <c r="J116" s="1341"/>
      <c r="K116" s="1341"/>
      <c r="L116" s="1341"/>
      <c r="M116" s="1341"/>
      <c r="N116" s="1342"/>
      <c r="O116" s="826" t="s">
        <v>2601</v>
      </c>
      <c r="Q116" s="1292" t="s">
        <v>4011</v>
      </c>
      <c r="R116" s="1341"/>
      <c r="S116" s="1342"/>
    </row>
    <row r="117" spans="1:19" s="449" customFormat="1" ht="13.15" customHeight="1">
      <c r="D117" s="498"/>
      <c r="E117" s="455" t="s">
        <v>876</v>
      </c>
      <c r="H117" s="1292" t="s">
        <v>1664</v>
      </c>
      <c r="I117" s="1341"/>
      <c r="J117" s="1342"/>
      <c r="O117" s="826" t="s">
        <v>2659</v>
      </c>
      <c r="Q117" s="1300">
        <v>4047611299</v>
      </c>
      <c r="R117" s="1305"/>
      <c r="S117" s="1301"/>
    </row>
    <row r="118" spans="1:19" s="449" customFormat="1" ht="13.15" customHeight="1">
      <c r="D118" s="503"/>
      <c r="E118" s="455" t="s">
        <v>2655</v>
      </c>
      <c r="H118" s="1306" t="s">
        <v>1337</v>
      </c>
      <c r="I118" s="483" t="s">
        <v>3138</v>
      </c>
      <c r="J118" s="1303">
        <v>303446947</v>
      </c>
      <c r="K118" s="1342"/>
      <c r="O118" s="826" t="s">
        <v>2858</v>
      </c>
      <c r="Q118" s="1300">
        <v>6784096042</v>
      </c>
      <c r="R118" s="1305"/>
      <c r="S118" s="1301"/>
    </row>
    <row r="119" spans="1:19" s="449" customFormat="1" ht="13.15" customHeight="1">
      <c r="D119" s="503"/>
      <c r="E119" s="455" t="s">
        <v>2864</v>
      </c>
      <c r="H119" s="1300">
        <v>4047611299</v>
      </c>
      <c r="I119" s="1301"/>
      <c r="J119" s="1371"/>
      <c r="K119" s="839" t="s">
        <v>2658</v>
      </c>
      <c r="L119" s="1329">
        <v>4047633172</v>
      </c>
      <c r="M119" s="1342"/>
      <c r="N119" s="457" t="s">
        <v>2863</v>
      </c>
      <c r="O119" s="1307" t="s">
        <v>4012</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5" t="s">
        <v>3980</v>
      </c>
      <c r="F128" s="1385" t="s">
        <v>3980</v>
      </c>
      <c r="G128" s="1386" t="s">
        <v>3980</v>
      </c>
      <c r="H128" s="1387"/>
      <c r="I128" s="1388"/>
      <c r="J128" s="1386" t="s">
        <v>4013</v>
      </c>
      <c r="K128" s="1388"/>
      <c r="L128" s="1386" t="s">
        <v>3980</v>
      </c>
      <c r="M128" s="1388"/>
      <c r="N128" s="1386" t="s">
        <v>3980</v>
      </c>
      <c r="O128" s="1388"/>
      <c r="P128" s="1389" t="s">
        <v>4014</v>
      </c>
      <c r="Q128" s="1390"/>
      <c r="R128" s="1391">
        <v>1E-4</v>
      </c>
      <c r="S128" s="1392"/>
    </row>
    <row r="129" spans="1:19" s="449" customFormat="1" ht="13.9" customHeight="1">
      <c r="A129" s="832" t="s">
        <v>3290</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7"/>
      <c r="E131" s="1393" t="s">
        <v>3980</v>
      </c>
      <c r="F131" s="1393" t="s">
        <v>3980</v>
      </c>
      <c r="G131" s="1394" t="s">
        <v>3980</v>
      </c>
      <c r="H131" s="1395"/>
      <c r="I131" s="1396"/>
      <c r="J131" s="1394" t="s">
        <v>3980</v>
      </c>
      <c r="K131" s="1396"/>
      <c r="L131" s="1394" t="s">
        <v>3980</v>
      </c>
      <c r="M131" s="1396"/>
      <c r="N131" s="1394" t="s">
        <v>3980</v>
      </c>
      <c r="O131" s="1396"/>
      <c r="P131" s="1397" t="s">
        <v>4014</v>
      </c>
      <c r="Q131" s="1398"/>
      <c r="R131" s="1399">
        <v>0.9899</v>
      </c>
      <c r="S131" s="1400"/>
    </row>
    <row r="132" spans="1:19" s="449" customFormat="1" ht="13.9" customHeight="1">
      <c r="A132" s="832" t="s">
        <v>3293</v>
      </c>
      <c r="B132" s="833"/>
      <c r="C132" s="833"/>
      <c r="D132" s="837"/>
      <c r="E132" s="1393" t="s">
        <v>3980</v>
      </c>
      <c r="F132" s="1393" t="s">
        <v>3980</v>
      </c>
      <c r="G132" s="1394" t="s">
        <v>3980</v>
      </c>
      <c r="H132" s="1395"/>
      <c r="I132" s="1396"/>
      <c r="J132" s="1394" t="s">
        <v>3980</v>
      </c>
      <c r="K132" s="1396"/>
      <c r="L132" s="1394" t="s">
        <v>3980</v>
      </c>
      <c r="M132" s="1396"/>
      <c r="N132" s="1394" t="s">
        <v>3980</v>
      </c>
      <c r="O132" s="1396"/>
      <c r="P132" s="1397" t="s">
        <v>4014</v>
      </c>
      <c r="Q132" s="1398"/>
      <c r="R132" s="1399">
        <v>0.01</v>
      </c>
      <c r="S132" s="1400"/>
    </row>
    <row r="133" spans="1:19" s="449" customFormat="1" ht="13.9" customHeight="1">
      <c r="A133" s="832" t="s">
        <v>3294</v>
      </c>
      <c r="B133" s="833"/>
      <c r="C133" s="833"/>
      <c r="D133" s="837"/>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7"/>
      <c r="E134" s="1393" t="s">
        <v>3980</v>
      </c>
      <c r="F134" s="1393" t="s">
        <v>3980</v>
      </c>
      <c r="G134" s="1394" t="s">
        <v>3980</v>
      </c>
      <c r="H134" s="1395"/>
      <c r="I134" s="1396"/>
      <c r="J134" s="1394" t="s">
        <v>4013</v>
      </c>
      <c r="K134" s="1396"/>
      <c r="L134" s="1394" t="s">
        <v>3980</v>
      </c>
      <c r="M134" s="1396"/>
      <c r="N134" s="1394" t="s">
        <v>3980</v>
      </c>
      <c r="O134" s="1396"/>
      <c r="P134" s="1397" t="s">
        <v>4014</v>
      </c>
      <c r="Q134" s="1398"/>
      <c r="R134" s="1399"/>
      <c r="S134" s="1400"/>
    </row>
    <row r="135" spans="1:19" s="449" customFormat="1" ht="13.9" customHeight="1">
      <c r="A135" s="832" t="s">
        <v>3295</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3980</v>
      </c>
      <c r="F139" s="1393" t="s">
        <v>3980</v>
      </c>
      <c r="G139" s="1394" t="s">
        <v>3980</v>
      </c>
      <c r="H139" s="1395"/>
      <c r="I139" s="1396"/>
      <c r="J139" s="1394" t="s">
        <v>4013</v>
      </c>
      <c r="K139" s="1396"/>
      <c r="L139" s="1394" t="s">
        <v>3980</v>
      </c>
      <c r="M139" s="1396"/>
      <c r="N139" s="1394" t="s">
        <v>4013</v>
      </c>
      <c r="O139" s="1396"/>
      <c r="P139" s="1397" t="s">
        <v>4014</v>
      </c>
      <c r="Q139" s="1398"/>
      <c r="R139" s="1399"/>
      <c r="S139" s="1400"/>
    </row>
    <row r="140" spans="1:19" s="449" customFormat="1" ht="13.9" customHeight="1">
      <c r="A140" s="841" t="s">
        <v>3299</v>
      </c>
      <c r="B140" s="842"/>
      <c r="C140" s="842"/>
      <c r="D140" s="504"/>
      <c r="E140" s="1401" t="s">
        <v>3980</v>
      </c>
      <c r="F140" s="1401" t="s">
        <v>3980</v>
      </c>
      <c r="G140" s="1402" t="s">
        <v>3980</v>
      </c>
      <c r="H140" s="1403"/>
      <c r="I140" s="1404"/>
      <c r="J140" s="1402" t="s">
        <v>4013</v>
      </c>
      <c r="K140" s="1404"/>
      <c r="L140" s="1402" t="s">
        <v>3980</v>
      </c>
      <c r="M140" s="1404"/>
      <c r="N140" s="1402" t="s">
        <v>3980</v>
      </c>
      <c r="O140" s="1404"/>
      <c r="P140" s="1405" t="s">
        <v>4014</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78.75" customHeight="1">
      <c r="A145" s="1360" t="s">
        <v>4124</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125" zoomScaleNormal="125"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2012-039 Braselton Court , Winder, Barrow County</v>
      </c>
      <c r="B1" s="946"/>
      <c r="C1" s="946"/>
      <c r="D1" s="946"/>
      <c r="E1" s="946"/>
      <c r="F1" s="946"/>
      <c r="G1" s="946"/>
      <c r="H1" s="946"/>
      <c r="I1" s="946"/>
      <c r="J1" s="946"/>
      <c r="K1" s="946"/>
      <c r="L1" s="946"/>
      <c r="M1" s="946"/>
      <c r="N1" s="946"/>
      <c r="O1" s="946"/>
      <c r="P1" s="946"/>
      <c r="Q1" s="947"/>
      <c r="S1" s="953" t="str">
        <f>$A$1</f>
        <v>PART THREE - SOURCES OF FUNDS  -  2012-039 Braselton Court , Winder, Barrow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4013</v>
      </c>
      <c r="C5" s="826" t="s">
        <v>3392</v>
      </c>
      <c r="D5" s="449"/>
      <c r="E5" s="1306" t="s">
        <v>4013</v>
      </c>
      <c r="F5" s="829" t="s">
        <v>2494</v>
      </c>
      <c r="G5" s="449"/>
      <c r="J5" s="1410">
        <v>2000000</v>
      </c>
      <c r="K5" s="1411"/>
      <c r="M5" s="1306" t="s">
        <v>3980</v>
      </c>
      <c r="N5" s="826" t="s">
        <v>786</v>
      </c>
      <c r="P5" s="1306" t="s">
        <v>3980</v>
      </c>
      <c r="Q5" s="956" t="s">
        <v>3655</v>
      </c>
      <c r="S5" s="1412"/>
      <c r="T5" s="1413"/>
    </row>
    <row r="6" spans="1:20" s="397" customFormat="1" ht="16.899999999999999" customHeight="1">
      <c r="A6" s="846"/>
      <c r="B6" s="1306" t="s">
        <v>3980</v>
      </c>
      <c r="C6" s="826" t="s">
        <v>2660</v>
      </c>
      <c r="D6" s="449"/>
      <c r="E6" s="1306" t="s">
        <v>3980</v>
      </c>
      <c r="F6" s="829" t="s">
        <v>3099</v>
      </c>
      <c r="H6" s="1306" t="s">
        <v>3980</v>
      </c>
      <c r="I6" s="833" t="s">
        <v>787</v>
      </c>
      <c r="J6" s="1306" t="s">
        <v>3980</v>
      </c>
      <c r="K6" s="833" t="s">
        <v>2140</v>
      </c>
      <c r="M6" s="1306" t="s">
        <v>3980</v>
      </c>
      <c r="N6" s="829" t="s">
        <v>785</v>
      </c>
      <c r="Q6" s="956"/>
      <c r="S6" s="1414"/>
      <c r="T6" s="1415"/>
    </row>
    <row r="7" spans="1:20" s="397" customFormat="1" ht="16.899999999999999" customHeight="1">
      <c r="A7" s="449"/>
      <c r="B7" s="1306" t="s">
        <v>3980</v>
      </c>
      <c r="C7" s="826" t="s">
        <v>2661</v>
      </c>
      <c r="E7" s="1306" t="s">
        <v>3980</v>
      </c>
      <c r="F7" s="829" t="s">
        <v>3098</v>
      </c>
      <c r="G7" s="449"/>
      <c r="H7" s="1306" t="s">
        <v>3980</v>
      </c>
      <c r="I7" s="955" t="s">
        <v>3653</v>
      </c>
      <c r="J7" s="1306" t="s">
        <v>3980</v>
      </c>
      <c r="K7" s="956" t="s">
        <v>3652</v>
      </c>
      <c r="L7" s="957"/>
      <c r="M7" s="1306" t="s">
        <v>3980</v>
      </c>
      <c r="N7" s="455" t="s">
        <v>3654</v>
      </c>
      <c r="Q7" s="958"/>
      <c r="S7" s="1414"/>
      <c r="T7" s="1415"/>
    </row>
    <row r="8" spans="1:20" s="397" customFormat="1" ht="16.899999999999999" customHeight="1">
      <c r="A8" s="846"/>
      <c r="B8" s="1306" t="s">
        <v>3980</v>
      </c>
      <c r="C8" s="833" t="s">
        <v>3640</v>
      </c>
      <c r="D8" s="449"/>
      <c r="E8" s="1306" t="s">
        <v>3980</v>
      </c>
      <c r="F8" s="477" t="s">
        <v>3641</v>
      </c>
      <c r="I8" s="955"/>
      <c r="K8" s="956"/>
      <c r="L8" s="957"/>
      <c r="M8" s="1306" t="s">
        <v>3980</v>
      </c>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4034</v>
      </c>
      <c r="I14" s="1293"/>
      <c r="J14" s="1293"/>
      <c r="K14" s="1294"/>
      <c r="L14" s="1418">
        <v>3049097</v>
      </c>
      <c r="M14" s="1419"/>
      <c r="N14" s="1420">
        <v>0.05</v>
      </c>
      <c r="O14" s="1421"/>
      <c r="P14" s="1422">
        <v>30</v>
      </c>
      <c r="Q14" s="1423"/>
      <c r="S14" s="1412"/>
      <c r="T14" s="1413"/>
    </row>
    <row r="15" spans="1:20" s="397" customFormat="1" ht="16.899999999999999" customHeight="1">
      <c r="A15" s="449"/>
      <c r="B15" s="959" t="s">
        <v>2196</v>
      </c>
      <c r="C15" s="960"/>
      <c r="D15" s="960"/>
      <c r="E15" s="833"/>
      <c r="F15" s="833"/>
      <c r="G15" s="833"/>
      <c r="H15" s="1292" t="s">
        <v>4015</v>
      </c>
      <c r="I15" s="1293"/>
      <c r="J15" s="1293"/>
      <c r="K15" s="1294"/>
      <c r="L15" s="1418">
        <v>2000000</v>
      </c>
      <c r="M15" s="1419"/>
      <c r="N15" s="1420">
        <v>0</v>
      </c>
      <c r="O15" s="1421"/>
      <c r="P15" s="1424">
        <v>24</v>
      </c>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3118</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4034</v>
      </c>
      <c r="I20" s="1293"/>
      <c r="J20" s="1293"/>
      <c r="K20" s="1294"/>
      <c r="L20" s="1418">
        <v>3366457</v>
      </c>
      <c r="M20" s="1419"/>
      <c r="N20" s="449"/>
      <c r="O20" s="449"/>
      <c r="P20" s="449"/>
      <c r="Q20" s="449"/>
      <c r="S20" s="1416"/>
      <c r="T20" s="1417"/>
    </row>
    <row r="21" spans="1:20" s="397" customFormat="1" ht="16.899999999999999" customHeight="1">
      <c r="A21" s="449"/>
      <c r="B21" s="959" t="s">
        <v>1289</v>
      </c>
      <c r="C21" s="960"/>
      <c r="D21" s="960"/>
      <c r="E21" s="833"/>
      <c r="H21" s="1292" t="s">
        <v>4034</v>
      </c>
      <c r="I21" s="1293"/>
      <c r="J21" s="1293"/>
      <c r="K21" s="1294"/>
      <c r="L21" s="1418">
        <v>1047342</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v>0</v>
      </c>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9462896</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9462896.0999999996</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-9.999999962747097E-2</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29"/>
      <c r="N31" s="1429"/>
      <c r="O31" s="888" t="s">
        <v>80</v>
      </c>
      <c r="P31" s="888"/>
      <c r="Q31" s="976"/>
      <c r="S31" s="954" t="s">
        <v>3865</v>
      </c>
      <c r="T31" s="954"/>
    </row>
    <row r="32" spans="1:20" s="397" customFormat="1" ht="13.15" customHeight="1">
      <c r="A32" s="449"/>
      <c r="B32" s="961" t="s">
        <v>3663</v>
      </c>
      <c r="C32" s="962"/>
      <c r="D32" s="962"/>
      <c r="E32" s="1430" t="s">
        <v>4034</v>
      </c>
      <c r="F32" s="1431"/>
      <c r="G32" s="1432"/>
      <c r="H32" s="1433">
        <v>700000</v>
      </c>
      <c r="I32" s="1434"/>
      <c r="J32" s="1435">
        <v>5.8000000000000003E-2</v>
      </c>
      <c r="K32" s="1306">
        <v>18</v>
      </c>
      <c r="L32" s="1306">
        <v>30</v>
      </c>
      <c r="M32" s="1436">
        <f t="shared" ref="M32:M37" si="0">IF(OR(H32&lt;=0,H32=""),"",IF(O32="Amortizing",-PMT(J32/12,L32*12,H32,0,0)*12,""))</f>
        <v>49287.255198116283</v>
      </c>
      <c r="N32" s="1437"/>
      <c r="O32" s="1286" t="s">
        <v>4016</v>
      </c>
      <c r="P32" s="1287"/>
      <c r="Q32" s="1438"/>
      <c r="S32" s="1412"/>
      <c r="T32" s="1413"/>
    </row>
    <row r="33" spans="1:20" s="397" customFormat="1" ht="13.15" customHeight="1">
      <c r="A33" s="449"/>
      <c r="B33" s="959" t="s">
        <v>3664</v>
      </c>
      <c r="C33" s="960"/>
      <c r="D33" s="960"/>
      <c r="E33" s="1297" t="s">
        <v>4015</v>
      </c>
      <c r="F33" s="1439"/>
      <c r="G33" s="1440"/>
      <c r="H33" s="1441">
        <v>2000000</v>
      </c>
      <c r="I33" s="1434"/>
      <c r="J33" s="1435">
        <v>0.01</v>
      </c>
      <c r="K33" s="1306">
        <v>20</v>
      </c>
      <c r="L33" s="1306">
        <v>35</v>
      </c>
      <c r="M33" s="1436">
        <f t="shared" si="0"/>
        <v>67748.567744812142</v>
      </c>
      <c r="N33" s="1437"/>
      <c r="O33" s="1286" t="s">
        <v>4016</v>
      </c>
      <c r="P33" s="1287"/>
      <c r="Q33" s="1438"/>
      <c r="S33" s="1414"/>
      <c r="T33" s="1415"/>
    </row>
    <row r="34" spans="1:20" s="397" customFormat="1" ht="13.15" customHeight="1">
      <c r="A34" s="449"/>
      <c r="B34" s="959" t="s">
        <v>3665</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6.9007272727272723E-2</v>
      </c>
      <c r="E37" s="1292" t="s">
        <v>4017</v>
      </c>
      <c r="F37" s="1442"/>
      <c r="G37" s="1434"/>
      <c r="H37" s="1441">
        <v>94885</v>
      </c>
      <c r="I37" s="1434"/>
      <c r="J37" s="1435">
        <v>0</v>
      </c>
      <c r="K37" s="1306"/>
      <c r="L37" s="1306"/>
      <c r="M37" s="1436" t="str">
        <f t="shared" si="0"/>
        <v/>
      </c>
      <c r="N37" s="1437"/>
      <c r="O37" s="1286" t="s">
        <v>1687</v>
      </c>
      <c r="P37" s="1287"/>
      <c r="Q37" s="1438">
        <v>1</v>
      </c>
      <c r="S37" s="1414"/>
      <c r="T37" s="1415"/>
    </row>
    <row r="38" spans="1:20" s="397" customFormat="1" ht="13.15" customHeight="1">
      <c r="A38" s="449"/>
      <c r="B38" s="961" t="s">
        <v>3118</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4034</v>
      </c>
      <c r="F40" s="1293"/>
      <c r="G40" s="1294"/>
      <c r="H40" s="1441">
        <v>6732913.5</v>
      </c>
      <c r="I40" s="1445"/>
      <c r="J40" s="973">
        <f>'Part IV-Uses of Funds'!$J$165*10*'Part IV-Uses of Funds'!$N$158</f>
        <v>6732913.5</v>
      </c>
      <c r="K40" s="974"/>
      <c r="L40" s="969">
        <f>H40-J40</f>
        <v>0</v>
      </c>
      <c r="M40" s="969"/>
      <c r="O40" s="626" t="s">
        <v>3590</v>
      </c>
      <c r="P40" s="545"/>
      <c r="Q40" s="544"/>
      <c r="S40" s="1414"/>
      <c r="T40" s="1415"/>
    </row>
    <row r="41" spans="1:20" s="397" customFormat="1" ht="13.15" customHeight="1">
      <c r="A41" s="449"/>
      <c r="B41" s="959" t="s">
        <v>1289</v>
      </c>
      <c r="C41" s="960"/>
      <c r="D41" s="968"/>
      <c r="E41" s="1292" t="s">
        <v>4034</v>
      </c>
      <c r="F41" s="1293"/>
      <c r="G41" s="1294"/>
      <c r="H41" s="1441">
        <v>2094684.2</v>
      </c>
      <c r="I41" s="1445"/>
      <c r="J41" s="973">
        <f>'Part IV-Uses of Funds'!$J$165*10*'Part IV-Uses of Funds'!$Q$158</f>
        <v>2094684.2000000002</v>
      </c>
      <c r="K41" s="974"/>
      <c r="L41" s="969">
        <f>H41-J41</f>
        <v>0</v>
      </c>
      <c r="M41" s="969"/>
      <c r="O41" s="627">
        <f>H40/H50</f>
        <v>0.57930077781743561</v>
      </c>
      <c r="P41" s="545"/>
      <c r="Q41" s="544"/>
      <c r="S41" s="1414"/>
      <c r="T41" s="1415"/>
    </row>
    <row r="42" spans="1:20" s="397" customFormat="1" ht="13.15" customHeight="1">
      <c r="A42" s="449"/>
      <c r="B42" s="959" t="s">
        <v>1984</v>
      </c>
      <c r="C42" s="960"/>
      <c r="D42" s="968"/>
      <c r="E42" s="1292"/>
      <c r="F42" s="1293"/>
      <c r="G42" s="1294"/>
      <c r="H42" s="1441"/>
      <c r="I42" s="1445"/>
      <c r="M42" s="545"/>
      <c r="O42" s="627">
        <f>H41/H50</f>
        <v>0.18022690865431329</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0.75952768647174884</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3119</v>
      </c>
      <c r="C49" s="449"/>
      <c r="D49" s="449"/>
      <c r="E49" s="449"/>
      <c r="F49" s="449"/>
      <c r="G49" s="449"/>
      <c r="H49" s="989">
        <f>SUM(H32:I48)</f>
        <v>11622482.699999999</v>
      </c>
      <c r="I49" s="990"/>
      <c r="J49" s="472"/>
      <c r="K49" s="449"/>
      <c r="L49" s="546"/>
      <c r="M49" s="545"/>
      <c r="N49" s="545"/>
      <c r="O49" s="545"/>
      <c r="P49" s="545"/>
      <c r="Q49" s="544"/>
      <c r="S49" s="1414"/>
      <c r="T49" s="1415"/>
    </row>
    <row r="50" spans="1:23" s="397" customFormat="1" ht="13.15" customHeight="1" thickBot="1">
      <c r="A50" s="449"/>
      <c r="B50" s="826" t="s">
        <v>3120</v>
      </c>
      <c r="C50" s="449"/>
      <c r="D50" s="449"/>
      <c r="E50" s="449"/>
      <c r="F50" s="449"/>
      <c r="G50" s="449"/>
      <c r="H50" s="987">
        <f>'Part IV-Uses of Funds'!$G$123</f>
        <v>11622483.1</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-0.40000000037252903</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138.75" customHeight="1">
      <c r="A55" s="1360" t="s">
        <v>4108</v>
      </c>
      <c r="B55" s="1446"/>
      <c r="C55" s="1446"/>
      <c r="D55" s="1446"/>
      <c r="E55" s="1446"/>
      <c r="F55" s="1446"/>
      <c r="G55" s="1446"/>
      <c r="H55" s="1446"/>
      <c r="I55" s="1446"/>
      <c r="J55" s="1447"/>
      <c r="K55" s="1363"/>
      <c r="L55" s="1446"/>
      <c r="M55" s="1446"/>
      <c r="N55" s="1446"/>
      <c r="O55" s="1446"/>
      <c r="P55" s="1446"/>
      <c r="Q55" s="1447"/>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2012-039 Braselton Court , Winder, Barrow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2012-039 Braselton Court , Winder, Barrow County</v>
      </c>
      <c r="B58" s="996"/>
      <c r="C58" s="996"/>
      <c r="D58" s="996"/>
      <c r="E58" s="996"/>
      <c r="F58" s="996"/>
      <c r="G58" s="996" t="str">
        <f>CONCATENATE('Part I-Project Information'!$O$4," ",'Part I-Project Information'!$F$22,", ",'Part I-Project Information'!$F$24,", ",'Part I-Project Information'!$J$25," County")</f>
        <v>2012-039 Braselton Court , Winder, Barrow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2012-039 Braselton Court , Winder, Barrow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2012-039 Braselton Court , Winder, Barrow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40" zoomScaleNormal="14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2012-039 Braselton Court , Winder, Barrow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2012-039 Braselton Court , Winder, Barrow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5000</v>
      </c>
      <c r="H8" s="1419"/>
      <c r="J8" s="1418">
        <v>5000</v>
      </c>
      <c r="K8" s="1419"/>
      <c r="L8" s="843"/>
      <c r="M8" s="1418"/>
      <c r="N8" s="1419"/>
      <c r="P8" s="1418"/>
      <c r="Q8" s="1419"/>
      <c r="S8" s="1418"/>
      <c r="T8" s="1419"/>
      <c r="V8" s="1448"/>
      <c r="W8" s="1449"/>
    </row>
    <row r="9" spans="1:23" s="449" customFormat="1" ht="12.6" customHeight="1">
      <c r="B9" s="449" t="s">
        <v>631</v>
      </c>
      <c r="G9" s="1418">
        <v>7500</v>
      </c>
      <c r="H9" s="1419"/>
      <c r="J9" s="1418">
        <v>7500</v>
      </c>
      <c r="K9" s="1419"/>
      <c r="L9" s="843"/>
      <c r="M9" s="1418"/>
      <c r="N9" s="1419"/>
      <c r="P9" s="1418"/>
      <c r="Q9" s="1419"/>
      <c r="S9" s="1418"/>
      <c r="T9" s="1419"/>
      <c r="V9" s="1450"/>
      <c r="W9" s="1451"/>
    </row>
    <row r="10" spans="1:23" s="449" customFormat="1" ht="12.6" customHeight="1">
      <c r="B10" s="449" t="s">
        <v>674</v>
      </c>
      <c r="G10" s="1418">
        <v>5000</v>
      </c>
      <c r="H10" s="1419"/>
      <c r="J10" s="1418">
        <v>5000</v>
      </c>
      <c r="K10" s="1419"/>
      <c r="L10" s="843"/>
      <c r="M10" s="1418"/>
      <c r="N10" s="1419"/>
      <c r="P10" s="1418"/>
      <c r="Q10" s="1419"/>
      <c r="S10" s="1418"/>
      <c r="T10" s="1419"/>
      <c r="V10" s="1450"/>
      <c r="W10" s="1451"/>
    </row>
    <row r="11" spans="1:23" s="449" customFormat="1" ht="12.6" customHeight="1">
      <c r="B11" s="449" t="s">
        <v>675</v>
      </c>
      <c r="G11" s="1418">
        <v>15000</v>
      </c>
      <c r="H11" s="1419"/>
      <c r="J11" s="1418">
        <v>15000</v>
      </c>
      <c r="K11" s="1419"/>
      <c r="L11" s="843"/>
      <c r="M11" s="1418"/>
      <c r="N11" s="1419"/>
      <c r="P11" s="1418"/>
      <c r="Q11" s="1419"/>
      <c r="S11" s="1418"/>
      <c r="T11" s="1419"/>
      <c r="V11" s="1450"/>
      <c r="W11" s="1451"/>
    </row>
    <row r="12" spans="1:23" s="449" customFormat="1" ht="12.6" customHeight="1">
      <c r="B12" s="449" t="s">
        <v>3507</v>
      </c>
      <c r="G12" s="1418">
        <v>15000</v>
      </c>
      <c r="H12" s="1419"/>
      <c r="J12" s="1418">
        <v>15000</v>
      </c>
      <c r="K12" s="1419"/>
      <c r="L12" s="843"/>
      <c r="M12" s="1418"/>
      <c r="N12" s="1419"/>
      <c r="P12" s="1418"/>
      <c r="Q12" s="1419"/>
      <c r="S12" s="1418"/>
      <c r="T12" s="1419"/>
      <c r="V12" s="1450"/>
      <c r="W12" s="1451"/>
    </row>
    <row r="13" spans="1:23" s="449" customFormat="1" ht="12.6" customHeight="1">
      <c r="B13" s="449" t="s">
        <v>229</v>
      </c>
      <c r="G13" s="1418">
        <v>10000</v>
      </c>
      <c r="H13" s="1419"/>
      <c r="J13" s="1418">
        <v>10000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4042</v>
      </c>
      <c r="D14" s="1298"/>
      <c r="E14" s="1298"/>
      <c r="F14" s="1299"/>
      <c r="G14" s="1418">
        <v>5000</v>
      </c>
      <c r="H14" s="1419"/>
      <c r="J14" s="1418">
        <v>5000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4043</v>
      </c>
      <c r="D15" s="1298"/>
      <c r="E15" s="1298"/>
      <c r="F15" s="1299"/>
      <c r="G15" s="1418">
        <v>6500</v>
      </c>
      <c r="H15" s="1419"/>
      <c r="J15" s="1418">
        <v>6500</v>
      </c>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4018</v>
      </c>
      <c r="D16" s="1298"/>
      <c r="E16" s="1298"/>
      <c r="F16" s="1299"/>
      <c r="G16" s="1418">
        <v>2500</v>
      </c>
      <c r="H16" s="1419"/>
      <c r="J16" s="1452">
        <v>2500</v>
      </c>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71500</v>
      </c>
      <c r="H17" s="1016"/>
      <c r="J17" s="1015">
        <f>SUM(J8:K16)</f>
        <v>71500</v>
      </c>
      <c r="K17" s="1028"/>
      <c r="L17" s="843"/>
      <c r="M17" s="1015">
        <f>SUM(M8:N16)</f>
        <v>0</v>
      </c>
      <c r="N17" s="1016"/>
      <c r="P17" s="1015">
        <f>SUM(P8:Q16)</f>
        <v>0</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707825</v>
      </c>
      <c r="H19" s="1419"/>
      <c r="J19" s="515"/>
      <c r="K19" s="512"/>
      <c r="L19" s="515"/>
      <c r="M19" s="515"/>
      <c r="N19" s="512"/>
      <c r="P19" s="515"/>
      <c r="Q19" s="512"/>
      <c r="S19" s="1418">
        <v>707825</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707825</v>
      </c>
      <c r="H23" s="1016"/>
      <c r="J23" s="515"/>
      <c r="K23" s="512"/>
      <c r="L23" s="515"/>
      <c r="M23" s="1015">
        <f>SUM(M21:N22)</f>
        <v>0</v>
      </c>
      <c r="N23" s="1016"/>
      <c r="P23" s="515"/>
      <c r="Q23" s="512"/>
      <c r="S23" s="1015">
        <f>SUM(S19:T22)</f>
        <v>707825</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972421</v>
      </c>
      <c r="H25" s="1419"/>
      <c r="J25" s="1452">
        <f>G25*0.9</f>
        <v>875178.9</v>
      </c>
      <c r="K25" s="1453"/>
      <c r="L25" s="843"/>
      <c r="M25" s="1452"/>
      <c r="N25" s="1453"/>
      <c r="P25" s="1452"/>
      <c r="Q25" s="1453"/>
      <c r="S25" s="1418">
        <v>97242</v>
      </c>
      <c r="T25" s="1419"/>
      <c r="V25" s="1448"/>
      <c r="W25" s="1449"/>
    </row>
    <row r="26" spans="2:23" s="449" customFormat="1" ht="12.6" customHeight="1" thickBot="1">
      <c r="B26" s="449" t="s">
        <v>1635</v>
      </c>
      <c r="G26" s="1418">
        <v>61335</v>
      </c>
      <c r="H26" s="1419"/>
      <c r="J26" s="1452"/>
      <c r="K26" s="1453"/>
      <c r="L26" s="516"/>
      <c r="M26" s="1029"/>
      <c r="N26" s="1029"/>
      <c r="P26" s="1029"/>
      <c r="Q26" s="1029"/>
      <c r="S26" s="1418">
        <v>61335</v>
      </c>
      <c r="T26" s="1419"/>
      <c r="V26" s="1450"/>
      <c r="W26" s="1451"/>
    </row>
    <row r="27" spans="2:23" s="449" customFormat="1" ht="12.6" customHeight="1" thickTop="1">
      <c r="F27" s="513" t="s">
        <v>230</v>
      </c>
      <c r="G27" s="1015">
        <f>SUM(G25:H26)</f>
        <v>1033756</v>
      </c>
      <c r="H27" s="1016"/>
      <c r="J27" s="1015">
        <f>SUM(J25:K26)</f>
        <v>875178.9</v>
      </c>
      <c r="K27" s="1016"/>
      <c r="L27" s="515"/>
      <c r="M27" s="1015">
        <f>M25</f>
        <v>0</v>
      </c>
      <c r="N27" s="1016"/>
      <c r="P27" s="1015">
        <f>P25</f>
        <v>0</v>
      </c>
      <c r="Q27" s="1016"/>
      <c r="S27" s="1015">
        <f>SUM(S25:T26)</f>
        <v>158577</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4913009</v>
      </c>
      <c r="H29" s="1419"/>
      <c r="J29" s="1418">
        <v>4913009</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4913009</v>
      </c>
      <c r="H32" s="1016"/>
      <c r="J32" s="1015">
        <f>SUM(J29:K31)</f>
        <v>4913009</v>
      </c>
      <c r="K32" s="1016"/>
      <c r="L32" s="843"/>
      <c r="M32" s="1015">
        <f>SUM(M29:N31)</f>
        <v>0</v>
      </c>
      <c r="N32" s="1016"/>
      <c r="P32" s="1015">
        <f>SUM(P29:Q31)</f>
        <v>0</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356805.89999999997</v>
      </c>
      <c r="G34" s="1418">
        <v>356805.9</v>
      </c>
      <c r="H34" s="1419"/>
      <c r="I34" s="472"/>
      <c r="J34" s="1418">
        <v>356805.9</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475741.2</v>
      </c>
      <c r="G35" s="1418">
        <v>475741</v>
      </c>
      <c r="H35" s="1419"/>
      <c r="I35" s="472"/>
      <c r="J35" s="1418">
        <v>475741</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5">
        <f>SUM(G34:H35)</f>
        <v>832546.9</v>
      </c>
      <c r="H36" s="1016"/>
      <c r="J36" s="1015">
        <f>SUM(J34:K35)</f>
        <v>832546.9</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84741.398750000008</v>
      </c>
      <c r="E38" s="523"/>
      <c r="F38" s="524" t="s">
        <v>1974</v>
      </c>
      <c r="V38" s="1448"/>
      <c r="W38" s="1449"/>
    </row>
    <row r="39" spans="1:23" s="449" customFormat="1" ht="12.6" customHeight="1">
      <c r="B39" s="1030">
        <f>G27+G32+G36</f>
        <v>6779311.9000000004</v>
      </c>
      <c r="C39" s="1031"/>
      <c r="D39" s="525">
        <f>B39/'Part VI-Revenues &amp; Expenses'!$M$100</f>
        <v>90.593755345306832</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4.9999912232980455E-2</v>
      </c>
      <c r="G42" s="1418">
        <v>338965</v>
      </c>
      <c r="H42" s="1419"/>
      <c r="I42" s="449"/>
      <c r="J42" s="1418">
        <v>338965</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35000</v>
      </c>
      <c r="H48" s="1419"/>
      <c r="J48" s="1418">
        <v>35000</v>
      </c>
      <c r="K48" s="1419"/>
      <c r="L48" s="843"/>
      <c r="M48" s="1418"/>
      <c r="N48" s="1419"/>
      <c r="P48" s="1418"/>
      <c r="Q48" s="1419"/>
      <c r="S48" s="1418"/>
      <c r="T48" s="1419"/>
      <c r="V48" s="1448"/>
      <c r="W48" s="1449"/>
    </row>
    <row r="49" spans="1:23" s="449" customFormat="1" ht="12" customHeight="1">
      <c r="B49" s="449" t="s">
        <v>3272</v>
      </c>
      <c r="G49" s="1418">
        <v>153000</v>
      </c>
      <c r="H49" s="1419"/>
      <c r="J49" s="1418">
        <v>64850</v>
      </c>
      <c r="K49" s="1419"/>
      <c r="L49" s="843"/>
      <c r="M49" s="1418"/>
      <c r="N49" s="1419"/>
      <c r="P49" s="1418"/>
      <c r="Q49" s="1419"/>
      <c r="S49" s="1418">
        <v>88150</v>
      </c>
      <c r="T49" s="1419"/>
      <c r="V49" s="1450"/>
      <c r="W49" s="1451"/>
    </row>
    <row r="50" spans="1:23" s="449" customFormat="1" ht="12" customHeight="1">
      <c r="B50" s="449" t="s">
        <v>3273</v>
      </c>
      <c r="G50" s="1418">
        <v>30000</v>
      </c>
      <c r="H50" s="1419"/>
      <c r="J50" s="1418">
        <v>30000</v>
      </c>
      <c r="K50" s="1419"/>
      <c r="L50" s="843"/>
      <c r="M50" s="1418"/>
      <c r="N50" s="1419"/>
      <c r="P50" s="1418"/>
      <c r="Q50" s="1419"/>
      <c r="S50" s="1418"/>
      <c r="T50" s="1419"/>
      <c r="V50" s="1450"/>
      <c r="W50" s="1451"/>
    </row>
    <row r="51" spans="1:23" s="449" customFormat="1" ht="12" customHeight="1">
      <c r="B51" s="449" t="s">
        <v>3934</v>
      </c>
      <c r="G51" s="1418">
        <v>7700</v>
      </c>
      <c r="H51" s="1419"/>
      <c r="J51" s="1418">
        <v>7700</v>
      </c>
      <c r="K51" s="1419"/>
      <c r="L51" s="843"/>
      <c r="M51" s="1418"/>
      <c r="N51" s="1419"/>
      <c r="P51" s="1418"/>
      <c r="Q51" s="1419"/>
      <c r="S51" s="1418"/>
      <c r="T51" s="1419"/>
      <c r="V51" s="1450"/>
      <c r="W51" s="1451"/>
    </row>
    <row r="52" spans="1:23" s="449" customFormat="1" ht="12" customHeight="1">
      <c r="B52" s="449" t="s">
        <v>1004</v>
      </c>
      <c r="G52" s="1418">
        <v>25000</v>
      </c>
      <c r="H52" s="1419"/>
      <c r="J52" s="1418">
        <v>25000</v>
      </c>
      <c r="K52" s="1419"/>
      <c r="L52" s="843"/>
      <c r="M52" s="1418"/>
      <c r="N52" s="1419"/>
      <c r="P52" s="1418"/>
      <c r="Q52" s="1419"/>
      <c r="S52" s="1418"/>
      <c r="T52" s="1419"/>
      <c r="V52" s="1450"/>
      <c r="W52" s="1451"/>
    </row>
    <row r="53" spans="1:23" s="449" customFormat="1" ht="12" customHeight="1">
      <c r="B53" s="449" t="s">
        <v>3274</v>
      </c>
      <c r="G53" s="1418">
        <v>38392</v>
      </c>
      <c r="H53" s="1419"/>
      <c r="J53" s="1418">
        <v>38392</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55000</v>
      </c>
      <c r="H55" s="1419"/>
      <c r="I55" s="472"/>
      <c r="J55" s="1418">
        <v>55000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4026</v>
      </c>
      <c r="D56" s="1298"/>
      <c r="E56" s="1298"/>
      <c r="F56" s="1299"/>
      <c r="G56" s="1456">
        <v>25000</v>
      </c>
      <c r="H56" s="1457"/>
      <c r="J56" s="1456">
        <v>25000</v>
      </c>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369092</v>
      </c>
      <c r="H57" s="1016"/>
      <c r="J57" s="1015">
        <f>SUM(J48:K56)</f>
        <v>280942</v>
      </c>
      <c r="K57" s="1016"/>
      <c r="L57" s="515"/>
      <c r="M57" s="1015">
        <f>SUM(M48:N56)</f>
        <v>0</v>
      </c>
      <c r="N57" s="1016"/>
      <c r="P57" s="1015">
        <f>SUM(P48:Q56)</f>
        <v>0</v>
      </c>
      <c r="Q57" s="1016"/>
      <c r="S57" s="1015">
        <f>SUM(S48:T56)</f>
        <v>88150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250000</v>
      </c>
      <c r="H59" s="1419"/>
      <c r="J59" s="1418">
        <v>250000</v>
      </c>
      <c r="K59" s="1419"/>
      <c r="L59" s="843"/>
      <c r="M59" s="1418"/>
      <c r="N59" s="1419"/>
      <c r="P59" s="1418"/>
      <c r="Q59" s="1419"/>
      <c r="S59" s="1418"/>
      <c r="T59" s="1419"/>
      <c r="V59" s="1448"/>
      <c r="W59" s="1449"/>
    </row>
    <row r="60" spans="1:23" s="449" customFormat="1" ht="12" customHeight="1">
      <c r="B60" s="449" t="s">
        <v>663</v>
      </c>
      <c r="G60" s="1418">
        <v>60000</v>
      </c>
      <c r="H60" s="1419"/>
      <c r="J60" s="1418">
        <v>60000</v>
      </c>
      <c r="K60" s="1419"/>
      <c r="L60" s="843"/>
      <c r="M60" s="1418"/>
      <c r="N60" s="1419"/>
      <c r="P60" s="1418"/>
      <c r="Q60" s="1419"/>
      <c r="S60" s="1418"/>
      <c r="T60" s="1419"/>
      <c r="V60" s="1450"/>
      <c r="W60" s="1451"/>
    </row>
    <row r="61" spans="1:23" s="449" customFormat="1" ht="12" customHeight="1">
      <c r="B61" s="449" t="s">
        <v>1643</v>
      </c>
      <c r="G61" s="1418"/>
      <c r="H61" s="1419"/>
      <c r="J61" s="1418"/>
      <c r="K61" s="1419"/>
      <c r="L61" s="843"/>
      <c r="M61" s="1418"/>
      <c r="N61" s="1419"/>
      <c r="P61" s="1418"/>
      <c r="Q61" s="1419"/>
      <c r="S61" s="1418"/>
      <c r="T61" s="1419"/>
      <c r="V61" s="1450"/>
      <c r="W61" s="1451"/>
    </row>
    <row r="62" spans="1:23" s="449" customFormat="1" ht="12" customHeight="1">
      <c r="B62" s="449" t="s">
        <v>1644</v>
      </c>
      <c r="G62" s="1418">
        <v>25000</v>
      </c>
      <c r="H62" s="1419"/>
      <c r="J62" s="1418">
        <v>25000</v>
      </c>
      <c r="K62" s="1419"/>
      <c r="L62" s="843"/>
      <c r="M62" s="1418"/>
      <c r="N62" s="1419"/>
      <c r="P62" s="1418"/>
      <c r="Q62" s="1419"/>
      <c r="S62" s="1418"/>
      <c r="T62" s="1419"/>
      <c r="V62" s="1450"/>
      <c r="W62" s="1451"/>
    </row>
    <row r="63" spans="1:23" s="449" customFormat="1" ht="12" customHeight="1">
      <c r="B63" s="449" t="s">
        <v>1645</v>
      </c>
      <c r="G63" s="1418">
        <v>10000</v>
      </c>
      <c r="H63" s="1419"/>
      <c r="J63" s="1418">
        <v>10000</v>
      </c>
      <c r="K63" s="1419"/>
      <c r="L63" s="843"/>
      <c r="M63" s="1418"/>
      <c r="N63" s="1419"/>
      <c r="P63" s="1418"/>
      <c r="Q63" s="1419"/>
      <c r="S63" s="1418"/>
      <c r="T63" s="1419"/>
      <c r="V63" s="1450"/>
      <c r="W63" s="1451"/>
    </row>
    <row r="64" spans="1:23" s="449" customFormat="1" ht="12" customHeight="1">
      <c r="B64" s="449" t="s">
        <v>1646</v>
      </c>
      <c r="G64" s="1418">
        <v>36130</v>
      </c>
      <c r="H64" s="1419"/>
      <c r="J64" s="1418">
        <v>36130</v>
      </c>
      <c r="K64" s="1419"/>
      <c r="L64" s="843"/>
      <c r="M64" s="1418"/>
      <c r="N64" s="1419"/>
      <c r="P64" s="1418"/>
      <c r="Q64" s="1419"/>
      <c r="S64" s="1418"/>
      <c r="T64" s="1419"/>
      <c r="V64" s="1450"/>
      <c r="W64" s="1451"/>
    </row>
    <row r="65" spans="1:23" s="449" customFormat="1" ht="12" customHeight="1">
      <c r="B65" s="449" t="s">
        <v>664</v>
      </c>
      <c r="G65" s="1418">
        <v>50000</v>
      </c>
      <c r="H65" s="1419"/>
      <c r="J65" s="1418">
        <v>50000</v>
      </c>
      <c r="K65" s="1419"/>
      <c r="L65" s="843"/>
      <c r="M65" s="1418"/>
      <c r="N65" s="1419"/>
      <c r="P65" s="1418"/>
      <c r="Q65" s="1419"/>
      <c r="S65" s="1418"/>
      <c r="T65" s="1419"/>
      <c r="V65" s="1450"/>
      <c r="W65" s="1451"/>
    </row>
    <row r="66" spans="1:23" s="449" customFormat="1" ht="12" customHeight="1">
      <c r="B66" s="449" t="s">
        <v>665</v>
      </c>
      <c r="G66" s="1418">
        <v>20000</v>
      </c>
      <c r="H66" s="1419"/>
      <c r="J66" s="1418">
        <v>20000</v>
      </c>
      <c r="K66" s="1419"/>
      <c r="L66" s="843"/>
      <c r="M66" s="1418"/>
      <c r="N66" s="1419"/>
      <c r="P66" s="1418"/>
      <c r="Q66" s="1419"/>
      <c r="S66" s="1418"/>
      <c r="T66" s="1419"/>
      <c r="V66" s="1450"/>
      <c r="W66" s="1451"/>
    </row>
    <row r="67" spans="1:23" s="449" customFormat="1" ht="12" customHeight="1">
      <c r="B67" s="449" t="s">
        <v>2934</v>
      </c>
      <c r="G67" s="1418">
        <v>20000</v>
      </c>
      <c r="H67" s="1419"/>
      <c r="J67" s="1418">
        <v>20000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4044</v>
      </c>
      <c r="D68" s="1298"/>
      <c r="E68" s="1298"/>
      <c r="F68" s="1299"/>
      <c r="G68" s="1418">
        <v>20000</v>
      </c>
      <c r="H68" s="1419"/>
      <c r="J68" s="1418">
        <v>20000</v>
      </c>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491130</v>
      </c>
      <c r="H69" s="1016"/>
      <c r="J69" s="1015">
        <f>SUM(J59:K68)</f>
        <v>491130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41850</v>
      </c>
      <c r="H71" s="1419"/>
      <c r="J71" s="1418">
        <v>41850</v>
      </c>
      <c r="K71" s="1419"/>
      <c r="L71" s="843"/>
      <c r="M71" s="1418"/>
      <c r="N71" s="1419"/>
      <c r="P71" s="1418"/>
      <c r="Q71" s="1419"/>
      <c r="S71" s="1418"/>
      <c r="T71" s="1419"/>
      <c r="V71" s="1460"/>
      <c r="W71" s="1461"/>
    </row>
    <row r="72" spans="1:23" s="449" customFormat="1" ht="12" customHeight="1">
      <c r="B72" s="449" t="s">
        <v>1826</v>
      </c>
      <c r="G72" s="1418">
        <v>47747.199999999997</v>
      </c>
      <c r="H72" s="1419"/>
      <c r="J72" s="1418">
        <v>47747.199999999997</v>
      </c>
      <c r="K72" s="1419"/>
      <c r="L72" s="843"/>
      <c r="M72" s="1418"/>
      <c r="N72" s="1419"/>
      <c r="P72" s="1418"/>
      <c r="Q72" s="1419"/>
      <c r="S72" s="1418"/>
      <c r="T72" s="1419"/>
      <c r="V72" s="1462"/>
      <c r="W72" s="1463"/>
    </row>
    <row r="73" spans="1:23" s="449" customFormat="1" ht="12" customHeight="1">
      <c r="B73" s="449" t="s">
        <v>1827</v>
      </c>
      <c r="D73" s="529" t="s">
        <v>1975</v>
      </c>
      <c r="E73" s="1464" t="s">
        <v>3980</v>
      </c>
      <c r="G73" s="1418">
        <v>274392</v>
      </c>
      <c r="H73" s="1419"/>
      <c r="I73" s="472"/>
      <c r="J73" s="1418">
        <v>274392</v>
      </c>
      <c r="K73" s="1419"/>
      <c r="L73" s="843"/>
      <c r="M73" s="1418"/>
      <c r="N73" s="1419"/>
      <c r="P73" s="1418"/>
      <c r="Q73" s="1419"/>
      <c r="S73" s="1418"/>
      <c r="T73" s="1419"/>
      <c r="V73" s="1462"/>
      <c r="W73" s="1463"/>
    </row>
    <row r="74" spans="1:23" s="449" customFormat="1" ht="12" customHeight="1" thickBot="1">
      <c r="B74" s="449" t="s">
        <v>1828</v>
      </c>
      <c r="D74" s="529" t="s">
        <v>1975</v>
      </c>
      <c r="E74" s="1464" t="s">
        <v>3980</v>
      </c>
      <c r="G74" s="1418">
        <v>284000</v>
      </c>
      <c r="H74" s="1419"/>
      <c r="I74" s="472"/>
      <c r="J74" s="1418">
        <v>284000</v>
      </c>
      <c r="K74" s="1419"/>
      <c r="L74" s="843"/>
      <c r="M74" s="1418"/>
      <c r="N74" s="1419"/>
      <c r="P74" s="1418"/>
      <c r="Q74" s="1419"/>
      <c r="S74" s="1418"/>
      <c r="T74" s="1419"/>
      <c r="V74" s="1462"/>
      <c r="W74" s="1463"/>
    </row>
    <row r="75" spans="1:23" s="449" customFormat="1" ht="12" customHeight="1" thickTop="1">
      <c r="F75" s="513" t="s">
        <v>230</v>
      </c>
      <c r="G75" s="1015">
        <f>SUM(G71:H74)</f>
        <v>647989.19999999995</v>
      </c>
      <c r="H75" s="1016"/>
      <c r="J75" s="1015">
        <f>SUM(J71:K74)</f>
        <v>647989.19999999995</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7000</v>
      </c>
      <c r="H77" s="1419"/>
      <c r="J77" s="1009"/>
      <c r="K77" s="1009"/>
      <c r="L77" s="843"/>
      <c r="M77" s="1009"/>
      <c r="N77" s="1009"/>
      <c r="P77" s="1009"/>
      <c r="Q77" s="1009"/>
      <c r="S77" s="1418">
        <v>7000</v>
      </c>
      <c r="T77" s="1419"/>
      <c r="V77" s="1460"/>
      <c r="W77" s="1461"/>
    </row>
    <row r="78" spans="1:23" s="449" customFormat="1" ht="12" customHeight="1">
      <c r="B78" s="449" t="s">
        <v>1830</v>
      </c>
      <c r="G78" s="1418">
        <v>25000</v>
      </c>
      <c r="H78" s="1419"/>
      <c r="J78" s="1027"/>
      <c r="K78" s="1027"/>
      <c r="L78" s="843"/>
      <c r="M78" s="1027"/>
      <c r="N78" s="1027"/>
      <c r="P78" s="1027"/>
      <c r="Q78" s="1027"/>
      <c r="S78" s="1418">
        <v>25000</v>
      </c>
      <c r="T78" s="1419"/>
      <c r="V78" s="1462"/>
      <c r="W78" s="1463"/>
    </row>
    <row r="79" spans="1:23" s="449" customFormat="1" ht="12" customHeight="1">
      <c r="B79" s="449" t="s">
        <v>1831</v>
      </c>
      <c r="G79" s="1418">
        <v>55097</v>
      </c>
      <c r="H79" s="1419"/>
      <c r="J79" s="1418">
        <v>55097</v>
      </c>
      <c r="K79" s="1419"/>
      <c r="L79" s="843"/>
      <c r="M79" s="1418"/>
      <c r="N79" s="1419"/>
      <c r="P79" s="1418"/>
      <c r="Q79" s="1419"/>
      <c r="S79" s="1418"/>
      <c r="T79" s="1419"/>
      <c r="V79" s="1462"/>
      <c r="W79" s="1463"/>
    </row>
    <row r="80" spans="1:23" s="449" customFormat="1" ht="12" customHeight="1">
      <c r="B80" s="449" t="s">
        <v>1832</v>
      </c>
      <c r="G80" s="1418">
        <v>5000</v>
      </c>
      <c r="H80" s="1419"/>
      <c r="J80" s="1418">
        <v>5000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92097</v>
      </c>
      <c r="H84" s="1016"/>
      <c r="J84" s="1015">
        <f>SUM(J79:K83)</f>
        <v>60097</v>
      </c>
      <c r="K84" s="1016"/>
      <c r="L84" s="515"/>
      <c r="M84" s="1015">
        <f>SUM(M79:N83)</f>
        <v>0</v>
      </c>
      <c r="N84" s="1016"/>
      <c r="P84" s="1015">
        <f>SUM(P79:Q83)</f>
        <v>0</v>
      </c>
      <c r="Q84" s="1016"/>
      <c r="S84" s="1015">
        <f>SUM(S77:T83)</f>
        <v>32000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v>1000</v>
      </c>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3953</v>
      </c>
      <c r="G91" s="1418">
        <v>1000</v>
      </c>
      <c r="H91" s="1419"/>
      <c r="J91" s="515"/>
      <c r="K91" s="515"/>
      <c r="L91" s="530"/>
      <c r="M91" s="515"/>
      <c r="N91" s="515"/>
      <c r="O91" s="833"/>
      <c r="P91" s="515"/>
      <c r="Q91" s="515"/>
      <c r="S91" s="1418">
        <v>1000</v>
      </c>
      <c r="T91" s="1419"/>
      <c r="V91" s="1462"/>
      <c r="W91" s="1463"/>
    </row>
    <row r="92" spans="1:23" s="449" customFormat="1" ht="12.6" customHeight="1">
      <c r="B92" s="449" t="s">
        <v>754</v>
      </c>
      <c r="E92" s="1032">
        <f>'DCA Underwriting Assumptions'!$Q$41*$J$165</f>
        <v>59848.12</v>
      </c>
      <c r="F92" s="1033"/>
      <c r="G92" s="1418">
        <v>59848</v>
      </c>
      <c r="H92" s="1419"/>
      <c r="J92" s="515"/>
      <c r="K92" s="515"/>
      <c r="L92" s="843"/>
      <c r="M92" s="515"/>
      <c r="N92" s="515"/>
      <c r="O92" s="833"/>
      <c r="P92" s="515"/>
      <c r="Q92" s="515"/>
      <c r="S92" s="1418">
        <v>59848</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64000</v>
      </c>
      <c r="F93" s="1033"/>
      <c r="G93" s="1418">
        <v>64000</v>
      </c>
      <c r="H93" s="1419"/>
      <c r="J93" s="416"/>
      <c r="K93" s="416"/>
      <c r="L93" s="416"/>
      <c r="M93" s="416"/>
      <c r="N93" s="416"/>
      <c r="O93" s="416"/>
      <c r="P93" s="416"/>
      <c r="Q93" s="416"/>
      <c r="S93" s="1418">
        <v>64000</v>
      </c>
      <c r="T93" s="1419"/>
      <c r="V93" s="1462"/>
      <c r="W93" s="1463"/>
    </row>
    <row r="94" spans="1:23" s="449" customFormat="1" ht="12.6" customHeight="1">
      <c r="B94" s="449" t="s">
        <v>672</v>
      </c>
      <c r="G94" s="1418">
        <v>2700</v>
      </c>
      <c r="H94" s="1419"/>
      <c r="J94" s="416"/>
      <c r="K94" s="416"/>
      <c r="L94" s="416"/>
      <c r="M94" s="416"/>
      <c r="N94" s="416"/>
      <c r="O94" s="416"/>
      <c r="P94" s="416"/>
      <c r="Q94" s="416"/>
      <c r="S94" s="1418">
        <v>2700</v>
      </c>
      <c r="T94" s="1419"/>
      <c r="V94" s="1462"/>
      <c r="W94" s="1463"/>
    </row>
    <row r="95" spans="1:23" s="449" customFormat="1" ht="12.6" customHeight="1">
      <c r="B95" s="449" t="s">
        <v>3315</v>
      </c>
      <c r="G95" s="1418"/>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135048</v>
      </c>
      <c r="H98" s="1016"/>
      <c r="J98" s="515"/>
      <c r="K98" s="515"/>
      <c r="L98" s="843"/>
      <c r="M98" s="515"/>
      <c r="N98" s="515"/>
      <c r="P98" s="515"/>
      <c r="Q98" s="515"/>
      <c r="S98" s="1015">
        <f>SUM(S89:T97)</f>
        <v>135048</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10000</v>
      </c>
      <c r="H100" s="1419"/>
      <c r="J100" s="1009"/>
      <c r="K100" s="1009"/>
      <c r="L100" s="843"/>
      <c r="M100" s="1009"/>
      <c r="N100" s="1009"/>
      <c r="O100" s="833"/>
      <c r="P100" s="1009"/>
      <c r="Q100" s="1009"/>
      <c r="S100" s="1418">
        <v>10000</v>
      </c>
      <c r="T100" s="1419"/>
      <c r="V100" s="1460"/>
      <c r="W100" s="1461"/>
    </row>
    <row r="101" spans="1:23" s="449" customFormat="1" ht="12.6" customHeight="1">
      <c r="B101" s="449" t="s">
        <v>346</v>
      </c>
      <c r="G101" s="1418">
        <v>70000</v>
      </c>
      <c r="H101" s="1419"/>
      <c r="J101" s="1009"/>
      <c r="K101" s="1009"/>
      <c r="L101" s="843"/>
      <c r="M101" s="1009"/>
      <c r="N101" s="1009"/>
      <c r="O101" s="833"/>
      <c r="P101" s="1009"/>
      <c r="Q101" s="1009"/>
      <c r="S101" s="1418">
        <v>70000</v>
      </c>
      <c r="T101" s="1419"/>
      <c r="V101" s="1462"/>
      <c r="W101" s="1463"/>
    </row>
    <row r="102" spans="1:23" s="449" customFormat="1" ht="12.6" customHeight="1">
      <c r="B102" s="449" t="s">
        <v>3359</v>
      </c>
      <c r="G102" s="1418">
        <v>30000</v>
      </c>
      <c r="H102" s="1419"/>
      <c r="J102" s="1009"/>
      <c r="K102" s="1009"/>
      <c r="L102" s="843"/>
      <c r="M102" s="1009"/>
      <c r="N102" s="1009"/>
      <c r="O102" s="833"/>
      <c r="P102" s="1009"/>
      <c r="Q102" s="1009"/>
      <c r="S102" s="1418">
        <v>30000</v>
      </c>
      <c r="T102" s="1419"/>
      <c r="V102" s="1462"/>
      <c r="W102" s="1463"/>
    </row>
    <row r="103" spans="1:23" s="449" customFormat="1" ht="12.6" customHeight="1" thickBot="1">
      <c r="A103" s="548" t="str">
        <f>IF(AND(G103&gt;0,OR(C103="",C103="&lt;Enter detailed description here; use Comments section if needed&gt;")),"X","")</f>
        <v/>
      </c>
      <c r="B103" s="449" t="s">
        <v>1137</v>
      </c>
      <c r="C103" s="1298"/>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110000</v>
      </c>
      <c r="H104" s="1016"/>
      <c r="J104" s="1009"/>
      <c r="K104" s="1009"/>
      <c r="L104" s="843"/>
      <c r="M104" s="1009"/>
      <c r="N104" s="1009"/>
      <c r="O104" s="833"/>
      <c r="P104" s="1009"/>
      <c r="Q104" s="1009"/>
      <c r="S104" s="1015">
        <f>SUM(S100:T103)</f>
        <v>110000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418">
        <v>275000</v>
      </c>
      <c r="H106" s="1419"/>
      <c r="J106" s="1418">
        <v>275000</v>
      </c>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0.8</v>
      </c>
      <c r="G108" s="1418">
        <v>1100000</v>
      </c>
      <c r="H108" s="1419"/>
      <c r="J108" s="1418">
        <v>1100000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1375000</v>
      </c>
      <c r="H109" s="1016"/>
      <c r="J109" s="1015">
        <f>SUM(J106:K108)</f>
        <v>1375000</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50000</v>
      </c>
      <c r="H111" s="1419"/>
      <c r="J111" s="531"/>
      <c r="K111" s="531"/>
      <c r="L111" s="531"/>
      <c r="M111" s="531"/>
      <c r="N111" s="531"/>
      <c r="P111" s="531"/>
      <c r="Q111" s="531"/>
      <c r="S111" s="1418">
        <v>50000</v>
      </c>
      <c r="T111" s="1419"/>
      <c r="V111" s="1460"/>
      <c r="W111" s="1461"/>
    </row>
    <row r="112" spans="1:23" s="449" customFormat="1" ht="12.6" customHeight="1">
      <c r="B112" s="449" t="s">
        <v>2137</v>
      </c>
      <c r="G112" s="1418">
        <v>85525</v>
      </c>
      <c r="H112" s="1419"/>
      <c r="J112" s="1009"/>
      <c r="K112" s="1009"/>
      <c r="L112" s="843"/>
      <c r="M112" s="1009"/>
      <c r="N112" s="1009"/>
      <c r="O112" s="833"/>
      <c r="P112" s="1009"/>
      <c r="Q112" s="1009"/>
      <c r="R112" s="833"/>
      <c r="S112" s="1418">
        <v>85525</v>
      </c>
      <c r="T112" s="1419"/>
      <c r="V112" s="1462"/>
      <c r="W112" s="1463"/>
    </row>
    <row r="113" spans="1:23" s="449" customFormat="1" ht="12.6" customHeight="1">
      <c r="B113" s="449" t="s">
        <v>948</v>
      </c>
      <c r="F113" s="472"/>
      <c r="G113" s="1418">
        <v>229000</v>
      </c>
      <c r="H113" s="1419"/>
      <c r="J113" s="530"/>
      <c r="K113" s="530"/>
      <c r="L113" s="530"/>
      <c r="M113" s="530"/>
      <c r="N113" s="530"/>
      <c r="O113" s="833"/>
      <c r="P113" s="530"/>
      <c r="Q113" s="530"/>
      <c r="R113" s="833"/>
      <c r="S113" s="1418">
        <v>229000</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1437.5</v>
      </c>
      <c r="G115" s="1418">
        <v>115000</v>
      </c>
      <c r="H115" s="1419"/>
      <c r="J115" s="1418">
        <v>115000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4041</v>
      </c>
      <c r="D116" s="1298"/>
      <c r="E116" s="1298"/>
      <c r="F116" s="1299"/>
      <c r="G116" s="1418">
        <v>25000</v>
      </c>
      <c r="H116" s="1419"/>
      <c r="J116" s="1418"/>
      <c r="K116" s="1419"/>
      <c r="L116" s="843"/>
      <c r="M116" s="1418"/>
      <c r="N116" s="1419"/>
      <c r="P116" s="1418"/>
      <c r="Q116" s="1419"/>
      <c r="S116" s="1418">
        <v>25000</v>
      </c>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504525</v>
      </c>
      <c r="H117" s="1016"/>
      <c r="J117" s="1015">
        <f>SUM(J115:K116)</f>
        <v>115000</v>
      </c>
      <c r="K117" s="1016"/>
      <c r="L117" s="843"/>
      <c r="M117" s="1015">
        <f>SUM(M115:N116)</f>
        <v>0</v>
      </c>
      <c r="N117" s="1016"/>
      <c r="P117" s="1015">
        <f>SUM(P115:Q116)</f>
        <v>0</v>
      </c>
      <c r="Q117" s="1016"/>
      <c r="S117" s="1015">
        <f>SUM(S111:T116)</f>
        <v>389525</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11622483.1</v>
      </c>
      <c r="H123" s="1049"/>
      <c r="J123" s="1048">
        <f>J17+J23+J27+J32+J36+J42+J57+J69+J75+J84+J98+J104+J109+J117+J121</f>
        <v>10001358</v>
      </c>
      <c r="K123" s="1049"/>
      <c r="M123" s="1048">
        <f>M17+M23+M27+M32+M36+M42+M57+M69+M75+M84+M98+M104+M109+M117+M121</f>
        <v>0</v>
      </c>
      <c r="N123" s="1049"/>
      <c r="P123" s="1048">
        <f>P17+P23+P27+P32+P36+P42+P57+P69+P75+P84+P98+P104+P109+P117+P121</f>
        <v>0</v>
      </c>
      <c r="Q123" s="1049"/>
      <c r="S123" s="1048">
        <f>S17+S23+S27+S32+S36+S42+S57+S69+S75+S84+S98+S104+S109+S117+S121</f>
        <v>1621125</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11663696</v>
      </c>
      <c r="E125" s="1075"/>
      <c r="F125" s="452" t="s">
        <v>957</v>
      </c>
      <c r="G125" s="1053">
        <f>G123/'Part VI-Revenues &amp; Expenses'!$M$62</f>
        <v>145281.03875000001</v>
      </c>
      <c r="H125" s="1054"/>
      <c r="I125" s="533"/>
      <c r="J125" s="456" t="s">
        <v>958</v>
      </c>
      <c r="M125" s="1053">
        <f>G123/'Part VI-Revenues &amp; Expenses'!$M$100</f>
        <v>155.31434546717981</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10001358</v>
      </c>
      <c r="K140" s="1035"/>
      <c r="M140" s="1050">
        <f>M123</f>
        <v>0</v>
      </c>
      <c r="N140" s="1051"/>
      <c r="P140" s="1034">
        <f>P123</f>
        <v>0</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10001358</v>
      </c>
      <c r="K142" s="1037"/>
      <c r="M142" s="1036">
        <f>M140</f>
        <v>0</v>
      </c>
      <c r="N142" s="1037"/>
      <c r="P142" s="1036">
        <f>P140-P141</f>
        <v>0</v>
      </c>
      <c r="Q142" s="1037"/>
      <c r="V142" s="1462"/>
      <c r="W142" s="1463"/>
    </row>
    <row r="143" spans="2:23" s="449" customFormat="1" ht="13.9" customHeight="1">
      <c r="B143" s="449" t="s">
        <v>2080</v>
      </c>
      <c r="G143" s="830" t="s">
        <v>2563</v>
      </c>
      <c r="H143" s="1286" t="s">
        <v>2626</v>
      </c>
      <c r="I143" s="1287"/>
      <c r="J143" s="1469">
        <v>1</v>
      </c>
      <c r="K143" s="1470"/>
      <c r="M143" s="1052"/>
      <c r="N143" s="1052"/>
      <c r="P143" s="1469"/>
      <c r="Q143" s="1470"/>
      <c r="V143" s="1462"/>
      <c r="W143" s="1463"/>
    </row>
    <row r="144" spans="2:23" s="449" customFormat="1" ht="13.9" customHeight="1">
      <c r="B144" s="449" t="s">
        <v>2942</v>
      </c>
      <c r="J144" s="1036">
        <f>J142*J143</f>
        <v>10001358</v>
      </c>
      <c r="K144" s="1037"/>
      <c r="M144" s="1036">
        <f>+M142</f>
        <v>0</v>
      </c>
      <c r="N144" s="1037"/>
      <c r="P144" s="1036">
        <f>P142*P143</f>
        <v>0</v>
      </c>
      <c r="Q144" s="1037"/>
      <c r="V144" s="1462"/>
      <c r="W144" s="1463"/>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2930</v>
      </c>
      <c r="J146" s="1036">
        <f>J144*J145</f>
        <v>10001358</v>
      </c>
      <c r="K146" s="1037"/>
      <c r="M146" s="1036">
        <f>M144*M145</f>
        <v>0</v>
      </c>
      <c r="N146" s="1037"/>
      <c r="P146" s="1036">
        <f>P144*P145</f>
        <v>0</v>
      </c>
      <c r="Q146" s="1037"/>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46">
        <f>J146*J147</f>
        <v>748101.5784</v>
      </c>
      <c r="K148" s="1047"/>
      <c r="M148" s="1046">
        <f>M146*M147</f>
        <v>0</v>
      </c>
      <c r="N148" s="1047"/>
      <c r="P148" s="1046">
        <f>P146*P147</f>
        <v>0</v>
      </c>
      <c r="Q148" s="1047"/>
      <c r="V148" s="1462"/>
      <c r="W148" s="1463"/>
    </row>
    <row r="149" spans="1:23" s="449" customFormat="1" ht="13.9" customHeight="1" thickBot="1">
      <c r="B149" s="452" t="s">
        <v>2004</v>
      </c>
      <c r="J149" s="978">
        <f>J148+M148+P148</f>
        <v>748101.5784</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11622483.1</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v>11622483</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2699999.9999999991</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8922483</v>
      </c>
      <c r="K155" s="1040"/>
      <c r="L155" s="1040"/>
      <c r="M155" s="1073" t="s">
        <v>3887</v>
      </c>
      <c r="N155" s="1473"/>
      <c r="O155" s="1473"/>
      <c r="P155" s="1473"/>
      <c r="Q155" s="1473"/>
      <c r="R155" s="1474"/>
      <c r="S155" s="649" t="s">
        <v>2493</v>
      </c>
      <c r="T155" s="1475" t="s">
        <v>3980</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3980</v>
      </c>
      <c r="V156" s="1462"/>
      <c r="W156" s="1463"/>
    </row>
    <row r="157" spans="1:23" s="449" customFormat="1" ht="13.9" customHeight="1">
      <c r="B157" s="449" t="s">
        <v>1854</v>
      </c>
      <c r="J157" s="1036">
        <f>J155/10</f>
        <v>892248.3</v>
      </c>
      <c r="K157" s="1040"/>
      <c r="L157" s="1037"/>
      <c r="M157" s="472"/>
      <c r="N157" s="888" t="s">
        <v>1855</v>
      </c>
      <c r="O157" s="888"/>
      <c r="Q157" s="888" t="s">
        <v>2655</v>
      </c>
      <c r="R157" s="888"/>
      <c r="V157" s="1462"/>
      <c r="W157" s="1463"/>
    </row>
    <row r="158" spans="1:23" s="449" customFormat="1" ht="13.9" customHeight="1" thickBot="1">
      <c r="B158" s="449" t="s">
        <v>2079</v>
      </c>
      <c r="J158" s="1059">
        <f>N158+Q158</f>
        <v>1.1800000000000002</v>
      </c>
      <c r="K158" s="1060"/>
      <c r="L158" s="1061"/>
      <c r="M158" s="830" t="s">
        <v>1856</v>
      </c>
      <c r="N158" s="1477">
        <v>0.9</v>
      </c>
      <c r="O158" s="1478"/>
      <c r="P158" s="830" t="s">
        <v>868</v>
      </c>
      <c r="Q158" s="1477">
        <v>0.28000000000000003</v>
      </c>
      <c r="R158" s="1478"/>
      <c r="V158" s="1462"/>
      <c r="W158" s="1463"/>
    </row>
    <row r="159" spans="1:23" s="449" customFormat="1" ht="13.9" customHeight="1" thickBot="1">
      <c r="B159" s="452" t="s">
        <v>2005</v>
      </c>
      <c r="J159" s="978">
        <f>IF(J158=0,"",J157/J158)</f>
        <v>756142.62711864396</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748101.5784</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748101.5</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748101.5</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218.25" customHeight="1">
      <c r="A169" s="1483" t="s">
        <v>4109</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2012-039 Braselton Court , Winder, Barrow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87" t="s">
        <v>4024</v>
      </c>
      <c r="J5" s="1488"/>
      <c r="K5" s="1488"/>
      <c r="L5" s="1488"/>
      <c r="M5" s="1489"/>
    </row>
    <row r="6" spans="1:20" s="9" customFormat="1" ht="13.15" customHeight="1">
      <c r="A6" s="16"/>
      <c r="F6" s="9" t="s">
        <v>895</v>
      </c>
      <c r="H6" s="31"/>
      <c r="I6" s="1490">
        <v>40695</v>
      </c>
      <c r="J6" s="1491"/>
      <c r="K6" s="74" t="s">
        <v>776</v>
      </c>
      <c r="L6" s="1492" t="s">
        <v>4025</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4023</v>
      </c>
      <c r="E10" s="1494"/>
      <c r="F10" s="1495" t="s">
        <v>612</v>
      </c>
      <c r="G10" s="1495"/>
      <c r="H10" s="343"/>
      <c r="I10" s="1496"/>
      <c r="J10" s="1496">
        <v>7</v>
      </c>
      <c r="K10" s="1496">
        <v>9</v>
      </c>
      <c r="L10" s="1496"/>
      <c r="M10" s="1496"/>
    </row>
    <row r="11" spans="1:20" s="9" customFormat="1">
      <c r="B11" s="344" t="s">
        <v>644</v>
      </c>
      <c r="C11" s="345"/>
      <c r="D11" s="344" t="s">
        <v>2204</v>
      </c>
      <c r="E11" s="345"/>
      <c r="F11" s="1497" t="s">
        <v>612</v>
      </c>
      <c r="G11" s="1497"/>
      <c r="H11" s="346"/>
      <c r="I11" s="1498"/>
      <c r="J11" s="1498">
        <v>32</v>
      </c>
      <c r="K11" s="1498">
        <v>41</v>
      </c>
      <c r="L11" s="1499"/>
      <c r="M11" s="1499"/>
    </row>
    <row r="12" spans="1:20" s="9" customFormat="1">
      <c r="B12" s="344" t="s">
        <v>2205</v>
      </c>
      <c r="C12" s="345"/>
      <c r="D12" s="1500" t="s">
        <v>2204</v>
      </c>
      <c r="E12" s="1501"/>
      <c r="F12" s="1497" t="s">
        <v>612</v>
      </c>
      <c r="G12" s="1497"/>
      <c r="H12" s="346"/>
      <c r="I12" s="1498"/>
      <c r="J12" s="1498">
        <v>9</v>
      </c>
      <c r="K12" s="1498">
        <v>12</v>
      </c>
      <c r="L12" s="1499"/>
      <c r="M12" s="1499"/>
    </row>
    <row r="13" spans="1:20" s="9" customFormat="1">
      <c r="B13" s="344" t="s">
        <v>2206</v>
      </c>
      <c r="C13" s="345"/>
      <c r="D13" s="1500" t="s">
        <v>2204</v>
      </c>
      <c r="E13" s="1501"/>
      <c r="F13" s="1497" t="s">
        <v>612</v>
      </c>
      <c r="G13" s="1497"/>
      <c r="H13" s="346"/>
      <c r="I13" s="1498"/>
      <c r="J13" s="1498">
        <v>28</v>
      </c>
      <c r="K13" s="1498">
        <v>36</v>
      </c>
      <c r="L13" s="1499"/>
      <c r="M13" s="1499"/>
    </row>
    <row r="14" spans="1:20" s="9" customFormat="1">
      <c r="B14" s="344" t="s">
        <v>2207</v>
      </c>
      <c r="C14" s="345"/>
      <c r="D14" s="344" t="s">
        <v>2204</v>
      </c>
      <c r="E14" s="347"/>
      <c r="F14" s="1497" t="s">
        <v>612</v>
      </c>
      <c r="G14" s="1497"/>
      <c r="H14" s="346"/>
      <c r="I14" s="1498"/>
      <c r="J14" s="1498">
        <v>26</v>
      </c>
      <c r="K14" s="1498">
        <v>33</v>
      </c>
      <c r="L14" s="1499"/>
      <c r="M14" s="1499"/>
    </row>
    <row r="15" spans="1:20" s="9" customFormat="1">
      <c r="B15" s="344" t="s">
        <v>1938</v>
      </c>
      <c r="C15" s="345"/>
      <c r="D15" s="344" t="s">
        <v>3135</v>
      </c>
      <c r="E15" s="1502" t="s">
        <v>3980</v>
      </c>
      <c r="F15" s="1497"/>
      <c r="G15" s="1497" t="s">
        <v>612</v>
      </c>
      <c r="H15" s="346"/>
      <c r="I15" s="1498"/>
      <c r="J15" s="1498"/>
      <c r="K15" s="1498"/>
      <c r="L15" s="1499"/>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102</v>
      </c>
      <c r="K17" s="847">
        <f>SUM(K10:K16)</f>
        <v>131</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4095</v>
      </c>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BF1B2DD948DB4492865DACD0D7EED0" ma:contentTypeVersion="0" ma:contentTypeDescription="Create a new document." ma:contentTypeScope="" ma:versionID="99cc434259d6f59a087395e5f19e3037">
  <xsd:schema xmlns:xsd="http://www.w3.org/2001/XMLSchema" xmlns:p="http://schemas.microsoft.com/office/2006/metadata/properties" targetNamespace="http://schemas.microsoft.com/office/2006/metadata/properties" ma:root="true" ma:fieldsID="84d24c2467e79a5b957f305a830827c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07C5ED4-EE3A-4002-9984-0B50F7A32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6DE0136-7C56-4D88-9A76-9F397E36B0AD}">
  <ds:schemaRefs>
    <ds:schemaRef ds:uri="http://schemas.microsoft.com/sharepoint/v3/contenttype/forms"/>
  </ds:schemaRefs>
</ds:datastoreItem>
</file>

<file path=customXml/itemProps3.xml><?xml version="1.0" encoding="utf-8"?>
<ds:datastoreItem xmlns:ds="http://schemas.openxmlformats.org/officeDocument/2006/customXml" ds:itemID="{99536276-F937-4908-B9DC-01DC17885652}">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2012-06-14T14:17:40Z</cp:lastPrinted>
  <dcterms:created xsi:type="dcterms:W3CDTF">2005-09-15T20:51:37Z</dcterms:created>
  <dcterms:modified xsi:type="dcterms:W3CDTF">2012-08-03T21:15:57Z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0x0101008DBF1B2DD948DB4492865DACD0D7EED0</vt:lpwstr>
  </property>
</Properties>
</file>