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75" windowWidth="18660" windowHeight="1077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C70"/>
  <c r="C100"/>
  <c r="P218" i="11"/>
  <c r="O273"/>
  <c r="P273"/>
  <c r="D70" i="8" l="1"/>
  <c r="D100"/>
  <c r="D40"/>
  <c r="M291" i="11"/>
  <c r="M6" s="1"/>
  <c r="L277"/>
  <c r="A265"/>
  <c r="P246"/>
  <c r="O246"/>
  <c r="L233"/>
  <c r="K221"/>
  <c r="E100" i="8" l="1"/>
  <c r="E40"/>
  <c r="P242" i="11"/>
  <c r="O242"/>
  <c r="E70" i="8"/>
  <c r="O218" i="11"/>
  <c r="O264"/>
  <c r="P264"/>
  <c r="L211"/>
  <c r="F40" i="8" l="1"/>
  <c r="F7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G70"/>
  <c r="G40"/>
  <c r="B23"/>
  <c r="Q14" i="36"/>
  <c r="Q16"/>
  <c r="Q17"/>
  <c r="Q18"/>
  <c r="Q19"/>
  <c r="Q20"/>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C109" s="1"/>
  <c r="D37" i="3"/>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39" i="15" l="1"/>
  <c r="F42" s="1"/>
  <c r="L27" i="3"/>
  <c r="GI48" i="36"/>
  <c r="L87" s="1"/>
  <c r="Z48"/>
  <c r="L56" s="1"/>
  <c r="AQ48"/>
  <c r="AU48"/>
  <c r="H65" s="1"/>
  <c r="AY48"/>
  <c r="L65" s="1"/>
  <c r="BC48"/>
  <c r="K64" s="1"/>
  <c r="AM48"/>
  <c r="J59" s="1"/>
  <c r="AS48"/>
  <c r="CT48"/>
  <c r="AO48"/>
  <c r="L59" s="1"/>
  <c r="AK48"/>
  <c r="H59" s="1"/>
  <c r="Y48"/>
  <c r="K56" s="1"/>
  <c r="W48"/>
  <c r="I56" s="1"/>
  <c r="FT48"/>
  <c r="L90" s="1"/>
  <c r="AV48"/>
  <c r="I65" s="1"/>
  <c r="X48"/>
  <c r="J56" s="1"/>
  <c r="V48"/>
  <c r="H56" s="1"/>
  <c r="GG48"/>
  <c r="J87" s="1"/>
  <c r="CV48"/>
  <c r="AW48"/>
  <c r="J65" s="1"/>
  <c r="BA48"/>
  <c r="I64" s="1"/>
  <c r="CS48"/>
  <c r="CW48"/>
  <c r="F106" i="15"/>
  <c r="F108"/>
  <c r="F107"/>
  <c r="FW48" i="36"/>
  <c r="J85" s="1"/>
  <c r="J17" i="8"/>
  <c r="G17"/>
  <c r="C17"/>
  <c r="K20"/>
  <c r="G20"/>
  <c r="C20"/>
  <c r="E50"/>
  <c r="I50"/>
  <c r="C80"/>
  <c r="G80"/>
  <c r="I86"/>
  <c r="E86"/>
  <c r="K56"/>
  <c r="G56"/>
  <c r="C56"/>
  <c r="I26"/>
  <c r="E26"/>
  <c r="K86"/>
  <c r="G86"/>
  <c r="C86"/>
  <c r="I56"/>
  <c r="G26"/>
  <c r="H86"/>
  <c r="D86"/>
  <c r="J56"/>
  <c r="F56"/>
  <c r="B56"/>
  <c r="H26"/>
  <c r="D26"/>
  <c r="E56"/>
  <c r="K26"/>
  <c r="C26"/>
  <c r="J86"/>
  <c r="F86"/>
  <c r="B86"/>
  <c r="H56"/>
  <c r="D56"/>
  <c r="J26"/>
  <c r="F26"/>
  <c r="B26"/>
  <c r="I17"/>
  <c r="F17"/>
  <c r="B17"/>
  <c r="K18"/>
  <c r="I18"/>
  <c r="G18"/>
  <c r="E18"/>
  <c r="C18"/>
  <c r="J20"/>
  <c r="F20"/>
  <c r="B50"/>
  <c r="F50"/>
  <c r="J50"/>
  <c r="D80"/>
  <c r="H80"/>
  <c r="M123" i="15"/>
  <c r="M140" s="1"/>
  <c r="M142" s="1"/>
  <c r="M144" s="1"/>
  <c r="H70" i="8"/>
  <c r="E17"/>
  <c r="I20"/>
  <c r="E20"/>
  <c r="C50"/>
  <c r="G50"/>
  <c r="K50"/>
  <c r="E80"/>
  <c r="I80"/>
  <c r="I84"/>
  <c r="E84"/>
  <c r="K54"/>
  <c r="G54"/>
  <c r="C54"/>
  <c r="I24"/>
  <c r="E24"/>
  <c r="G84"/>
  <c r="E54"/>
  <c r="G24"/>
  <c r="H84"/>
  <c r="D84"/>
  <c r="J54"/>
  <c r="F54"/>
  <c r="B54"/>
  <c r="H24"/>
  <c r="D24"/>
  <c r="K84"/>
  <c r="C84"/>
  <c r="I54"/>
  <c r="K24"/>
  <c r="C24"/>
  <c r="J84"/>
  <c r="F84"/>
  <c r="B84"/>
  <c r="H54"/>
  <c r="D54"/>
  <c r="J24"/>
  <c r="F24"/>
  <c r="B24"/>
  <c r="K17"/>
  <c r="H17"/>
  <c r="D17"/>
  <c r="B18"/>
  <c r="J18"/>
  <c r="H18"/>
  <c r="F18"/>
  <c r="D18"/>
  <c r="CU48" i="36"/>
  <c r="H20" i="8"/>
  <c r="D20"/>
  <c r="D50"/>
  <c r="H50"/>
  <c r="B80"/>
  <c r="F80"/>
  <c r="J80"/>
  <c r="K85"/>
  <c r="G85"/>
  <c r="C85"/>
  <c r="I55"/>
  <c r="E55"/>
  <c r="K25"/>
  <c r="G25"/>
  <c r="C25"/>
  <c r="E85"/>
  <c r="K55"/>
  <c r="C55"/>
  <c r="I25"/>
  <c r="J85"/>
  <c r="F85"/>
  <c r="B85"/>
  <c r="H55"/>
  <c r="D55"/>
  <c r="D63" s="1"/>
  <c r="J25"/>
  <c r="F25"/>
  <c r="B25"/>
  <c r="I85"/>
  <c r="G55"/>
  <c r="E25"/>
  <c r="H85"/>
  <c r="D85"/>
  <c r="J55"/>
  <c r="F55"/>
  <c r="B55"/>
  <c r="H25"/>
  <c r="D25"/>
  <c r="L254" i="11"/>
  <c r="H40" i="8"/>
  <c r="H100"/>
  <c r="EX48" i="36"/>
  <c r="FN48"/>
  <c r="K91" s="1"/>
  <c r="FP48"/>
  <c r="H90" s="1"/>
  <c r="FY48"/>
  <c r="L85" s="1"/>
  <c r="FB48"/>
  <c r="I89" s="1"/>
  <c r="FH48"/>
  <c r="J92" s="1"/>
  <c r="GH48"/>
  <c r="K87" s="1"/>
  <c r="GF48"/>
  <c r="I87" s="1"/>
  <c r="BD48"/>
  <c r="L64" s="1"/>
  <c r="BB48"/>
  <c r="J64" s="1"/>
  <c r="AZ48"/>
  <c r="H64" s="1"/>
  <c r="AX48"/>
  <c r="K65" s="1"/>
  <c r="GZ48"/>
  <c r="HL48"/>
  <c r="GS48"/>
  <c r="GO48"/>
  <c r="BG48"/>
  <c r="BY48"/>
  <c r="H94" s="1"/>
  <c r="AN48"/>
  <c r="K59" s="1"/>
  <c r="AL48"/>
  <c r="I59" s="1"/>
  <c r="AE48"/>
  <c r="L57" s="1"/>
  <c r="AD48"/>
  <c r="K57" s="1"/>
  <c r="AC48"/>
  <c r="J57" s="1"/>
  <c r="AB48"/>
  <c r="I57" s="1"/>
  <c r="AA48"/>
  <c r="H57" s="1"/>
  <c r="AT48"/>
  <c r="AR48"/>
  <c r="AP48"/>
  <c r="HF48"/>
  <c r="J154" i="15"/>
  <c r="J155" s="1"/>
  <c r="J157" s="1"/>
  <c r="J159" s="1"/>
  <c r="B36"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B32" i="8"/>
  <c r="GN48" i="36"/>
  <c r="L88" s="1"/>
  <c r="GL48"/>
  <c r="J88" s="1"/>
  <c r="GJ48"/>
  <c r="H88" s="1"/>
  <c r="GD48"/>
  <c r="L86" s="1"/>
  <c r="GB48"/>
  <c r="J86" s="1"/>
  <c r="FZ48"/>
  <c r="H86" s="1"/>
  <c r="FX48"/>
  <c r="K85" s="1"/>
  <c r="FV48"/>
  <c r="I85" s="1"/>
  <c r="FO48"/>
  <c r="L91" s="1"/>
  <c r="FM48"/>
  <c r="J91" s="1"/>
  <c r="FI48"/>
  <c r="K92" s="1"/>
  <c r="FG48"/>
  <c r="I92" s="1"/>
  <c r="E33" i="15"/>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63" i="8" l="1"/>
  <c r="K92"/>
  <c r="B33"/>
  <c r="F62"/>
  <c r="L58" i="36"/>
  <c r="H66"/>
  <c r="K66"/>
  <c r="L66"/>
  <c r="L60"/>
  <c r="L62" s="1"/>
  <c r="I77"/>
  <c r="I58"/>
  <c r="I60" s="1"/>
  <c r="I62" s="1"/>
  <c r="J66"/>
  <c r="M56"/>
  <c r="H74"/>
  <c r="I66"/>
  <c r="H58"/>
  <c r="H60" s="1"/>
  <c r="H62" s="1"/>
  <c r="M59"/>
  <c r="J58"/>
  <c r="J60" s="1"/>
  <c r="J62" s="1"/>
  <c r="M87"/>
  <c r="J70"/>
  <c r="M64"/>
  <c r="K80"/>
  <c r="M79"/>
  <c r="Q79" s="1"/>
  <c r="M65"/>
  <c r="H70"/>
  <c r="M90"/>
  <c r="Q90" s="1"/>
  <c r="M57"/>
  <c r="H32" i="8"/>
  <c r="D92"/>
  <c r="I100"/>
  <c r="F63"/>
  <c r="I70"/>
  <c r="I84" i="36"/>
  <c r="I40" i="8"/>
  <c r="H33"/>
  <c r="D93"/>
  <c r="J63"/>
  <c r="K58" i="36"/>
  <c r="K60" s="1"/>
  <c r="K77"/>
  <c r="M89"/>
  <c r="Q89" s="1"/>
  <c r="L70"/>
  <c r="M99"/>
  <c r="I80"/>
  <c r="M75"/>
  <c r="Q75" s="1"/>
  <c r="M76"/>
  <c r="Q76" s="1"/>
  <c r="M61"/>
  <c r="M91"/>
  <c r="Q91" s="1"/>
  <c r="M72"/>
  <c r="Q72" s="1"/>
  <c r="L77"/>
  <c r="M78"/>
  <c r="Q78" s="1"/>
  <c r="K70"/>
  <c r="J80"/>
  <c r="L80"/>
  <c r="J77"/>
  <c r="M69"/>
  <c r="Q69" s="1"/>
  <c r="M73"/>
  <c r="Q73" s="1"/>
  <c r="J282" i="11"/>
  <c r="B41" i="8"/>
  <c r="F33"/>
  <c r="P157" i="36"/>
  <c r="B19" i="8" s="1"/>
  <c r="I70" i="36"/>
  <c r="B14" i="8"/>
  <c r="D7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Q15" s="1"/>
  <c r="M95"/>
  <c r="Q95" s="1"/>
  <c r="H96"/>
  <c r="I96"/>
  <c r="I98" s="1"/>
  <c r="I100" s="1"/>
  <c r="M94"/>
  <c r="Q94" s="1"/>
  <c r="J44" i="8" l="1"/>
  <c r="M66" i="36"/>
  <c r="Q66" s="1"/>
  <c r="B44" i="8"/>
  <c r="Q59" i="36"/>
  <c r="H52" i="7"/>
  <c r="H51"/>
  <c r="Q56" i="36"/>
  <c r="Q99"/>
  <c r="M60"/>
  <c r="P52" i="7"/>
  <c r="B74" i="8"/>
  <c r="H50" i="7"/>
  <c r="E74" i="8"/>
  <c r="Q61" i="36"/>
  <c r="H14" i="8"/>
  <c r="F44"/>
  <c r="Q64" i="36"/>
  <c r="K62"/>
  <c r="R12" i="24" s="1"/>
  <c r="M58" i="36"/>
  <c r="Q58" s="1"/>
  <c r="I51" i="7"/>
  <c r="I50"/>
  <c r="D14" i="8"/>
  <c r="G14"/>
  <c r="Q65" i="36"/>
  <c r="Q57"/>
  <c r="I44" i="8"/>
  <c r="K14"/>
  <c r="F74"/>
  <c r="H54" i="7"/>
  <c r="M70" i="36"/>
  <c r="Q70" s="1"/>
  <c r="J70" i="8"/>
  <c r="J40"/>
  <c r="J100"/>
  <c r="Q13" i="36"/>
  <c r="Q12"/>
  <c r="Q10"/>
  <c r="Q11"/>
  <c r="L214" i="11"/>
  <c r="Q97" i="36"/>
  <c r="M80"/>
  <c r="M84"/>
  <c r="Q84" s="1"/>
  <c r="M77"/>
  <c r="F44" i="7" s="1"/>
  <c r="O201" i="11"/>
  <c r="C41" i="8"/>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C36" i="8"/>
  <c r="M96" i="36"/>
  <c r="H98"/>
  <c r="P201" i="11" l="1"/>
  <c r="P193" s="1"/>
  <c r="L31"/>
  <c r="Q60" i="36"/>
  <c r="P140" i="7"/>
  <c r="P141"/>
  <c r="L32" i="11"/>
  <c r="Q80" i="36"/>
  <c r="R11" i="24"/>
  <c r="D125" i="15" s="1"/>
  <c r="R13" i="24"/>
  <c r="H49" i="7"/>
  <c r="H53" s="1"/>
  <c r="H55" s="1"/>
  <c r="M62" i="36"/>
  <c r="K100" i="8"/>
  <c r="K70"/>
  <c r="K40"/>
  <c r="F45" i="7"/>
  <c r="Q77" i="36"/>
  <c r="B75" i="8"/>
  <c r="B76" s="1"/>
  <c r="K15"/>
  <c r="K16" s="1"/>
  <c r="J15"/>
  <c r="J16" s="1"/>
  <c r="F45"/>
  <c r="F46" s="1"/>
  <c r="K45"/>
  <c r="K46" s="1"/>
  <c r="G15"/>
  <c r="G16" s="1"/>
  <c r="F75"/>
  <c r="F76" s="1"/>
  <c r="C45"/>
  <c r="C46" s="1"/>
  <c r="E75"/>
  <c r="E76" s="1"/>
  <c r="I15"/>
  <c r="I16" s="1"/>
  <c r="D45"/>
  <c r="D46" s="1"/>
  <c r="J45"/>
  <c r="J46" s="1"/>
  <c r="J75"/>
  <c r="J76" s="1"/>
  <c r="D15"/>
  <c r="D16" s="1"/>
  <c r="E45"/>
  <c r="E46" s="1"/>
  <c r="B45"/>
  <c r="B46" s="1"/>
  <c r="I75"/>
  <c r="I76" s="1"/>
  <c r="O193" i="11"/>
  <c r="D41" i="8"/>
  <c r="D36"/>
  <c r="C15"/>
  <c r="C16" s="1"/>
  <c r="D75"/>
  <c r="D76" s="1"/>
  <c r="H15"/>
  <c r="H16" s="1"/>
  <c r="I45"/>
  <c r="I46" s="1"/>
  <c r="G75"/>
  <c r="G76" s="1"/>
  <c r="J177" i="11"/>
  <c r="L177" s="1"/>
  <c r="B16" i="8"/>
  <c r="K7" s="1"/>
  <c r="E15"/>
  <c r="E16" s="1"/>
  <c r="H45"/>
  <c r="H46" s="1"/>
  <c r="H75"/>
  <c r="H76" s="1"/>
  <c r="F15"/>
  <c r="F16" s="1"/>
  <c r="G45"/>
  <c r="G46" s="1"/>
  <c r="C75"/>
  <c r="C76" s="1"/>
  <c r="F42" i="7"/>
  <c r="Q74" i="36"/>
  <c r="K76" i="8"/>
  <c r="M98" i="36"/>
  <c r="Q98" s="1"/>
  <c r="H100"/>
  <c r="M100" s="1"/>
  <c r="P49" i="7"/>
  <c r="P51" s="1"/>
  <c r="P53" s="1"/>
  <c r="P58" s="1"/>
  <c r="Q96" i="36"/>
  <c r="P30" i="11" l="1"/>
  <c r="P291" s="1"/>
  <c r="P6" s="1"/>
  <c r="O30"/>
  <c r="D38" i="15"/>
  <c r="N157" i="36"/>
  <c r="Q62"/>
  <c r="J157"/>
  <c r="P160"/>
  <c r="P165" s="1"/>
  <c r="N149"/>
  <c r="P69" i="7"/>
  <c r="J158" i="36"/>
  <c r="F115" i="15"/>
  <c r="J159" i="36"/>
  <c r="N148"/>
  <c r="E93" i="15"/>
  <c r="P67" i="7"/>
  <c r="G125" i="15"/>
  <c r="P71" i="7"/>
  <c r="J145" i="15"/>
  <c r="J146" s="1"/>
  <c r="J148" s="1"/>
  <c r="E41" i="8"/>
  <c r="E36"/>
  <c r="K5"/>
  <c r="P145" i="15"/>
  <c r="P146" s="1"/>
  <c r="P148" s="1"/>
  <c r="K6" i="8"/>
  <c r="M145" i="15"/>
  <c r="M146" s="1"/>
  <c r="M148" s="1"/>
  <c r="J152"/>
  <c r="M151"/>
  <c r="Q100" i="36"/>
  <c r="D39" i="15"/>
  <c r="M125"/>
  <c r="B21" i="8" l="1"/>
  <c r="F81" s="1"/>
  <c r="F95" s="1"/>
  <c r="O291" i="11"/>
  <c r="O292" s="1"/>
  <c r="R30"/>
  <c r="L30"/>
  <c r="Q53" i="36"/>
  <c r="J149" i="15"/>
  <c r="J161" s="1"/>
  <c r="J165" s="1"/>
  <c r="P292" i="11"/>
  <c r="F41" i="8"/>
  <c r="F36"/>
  <c r="G51" l="1"/>
  <c r="G65" s="1"/>
  <c r="B22"/>
  <c r="B31" s="1"/>
  <c r="J81"/>
  <c r="J95" s="1"/>
  <c r="B51"/>
  <c r="B65" s="1"/>
  <c r="J21"/>
  <c r="J35" s="1"/>
  <c r="K21"/>
  <c r="K35" s="1"/>
  <c r="I81"/>
  <c r="I95" s="1"/>
  <c r="H21"/>
  <c r="H35" s="1"/>
  <c r="K51"/>
  <c r="K65" s="1"/>
  <c r="C21"/>
  <c r="C35" s="1"/>
  <c r="F51"/>
  <c r="F65" s="1"/>
  <c r="F21"/>
  <c r="F35" s="1"/>
  <c r="D81"/>
  <c r="D95" s="1"/>
  <c r="D51"/>
  <c r="D65" s="1"/>
  <c r="J51"/>
  <c r="J65" s="1"/>
  <c r="E51"/>
  <c r="E65" s="1"/>
  <c r="H81"/>
  <c r="H95" s="1"/>
  <c r="B35"/>
  <c r="O6" i="11"/>
  <c r="G21" i="8"/>
  <c r="G35" s="1"/>
  <c r="E81"/>
  <c r="E95" s="1"/>
  <c r="G81"/>
  <c r="G95" s="1"/>
  <c r="C51"/>
  <c r="C65" s="1"/>
  <c r="C81"/>
  <c r="C95" s="1"/>
  <c r="B81"/>
  <c r="B95" s="1"/>
  <c r="I21"/>
  <c r="I35" s="1"/>
  <c r="H51"/>
  <c r="H65" s="1"/>
  <c r="E21"/>
  <c r="E35" s="1"/>
  <c r="K81"/>
  <c r="K95" s="1"/>
  <c r="D21"/>
  <c r="D35" s="1"/>
  <c r="I51"/>
  <c r="I65" s="1"/>
  <c r="M163" i="15"/>
  <c r="B30" i="8"/>
  <c r="G41"/>
  <c r="G36"/>
  <c r="J22"/>
  <c r="J31" s="1"/>
  <c r="F82"/>
  <c r="F91" s="1"/>
  <c r="J41" i="3"/>
  <c r="L41" s="1"/>
  <c r="J40"/>
  <c r="L40" s="1"/>
  <c r="E92" i="15"/>
  <c r="J6" i="7"/>
  <c r="G52" i="8" l="1"/>
  <c r="G61" s="1"/>
  <c r="K22"/>
  <c r="K31" s="1"/>
  <c r="C22"/>
  <c r="C31" s="1"/>
  <c r="B52"/>
  <c r="B61" s="1"/>
  <c r="F22"/>
  <c r="F30" s="1"/>
  <c r="G82"/>
  <c r="G91" s="1"/>
  <c r="J52"/>
  <c r="J61" s="1"/>
  <c r="F52"/>
  <c r="F61" s="1"/>
  <c r="I82"/>
  <c r="I91" s="1"/>
  <c r="J82"/>
  <c r="J91" s="1"/>
  <c r="D52"/>
  <c r="D61" s="1"/>
  <c r="E52"/>
  <c r="E61" s="1"/>
  <c r="H22"/>
  <c r="H31" s="1"/>
  <c r="D82"/>
  <c r="D91" s="1"/>
  <c r="H82"/>
  <c r="H91" s="1"/>
  <c r="K52"/>
  <c r="K61" s="1"/>
  <c r="B82"/>
  <c r="B91" s="1"/>
  <c r="E82"/>
  <c r="E91" s="1"/>
  <c r="C52"/>
  <c r="C61" s="1"/>
  <c r="G22"/>
  <c r="G30" s="1"/>
  <c r="C82"/>
  <c r="C91" s="1"/>
  <c r="H52"/>
  <c r="H61" s="1"/>
  <c r="I52"/>
  <c r="I61" s="1"/>
  <c r="K82"/>
  <c r="K91" s="1"/>
  <c r="D22"/>
  <c r="D31" s="1"/>
  <c r="E22"/>
  <c r="E31" s="1"/>
  <c r="I22"/>
  <c r="I31" s="1"/>
  <c r="C30"/>
  <c r="H41"/>
  <c r="H36"/>
  <c r="F31" l="1"/>
  <c r="D30"/>
  <c r="H30"/>
  <c r="G31"/>
  <c r="E30"/>
  <c r="I30"/>
  <c r="I41"/>
  <c r="I36"/>
  <c r="J30"/>
  <c r="J41" l="1"/>
  <c r="J36"/>
  <c r="K30"/>
  <c r="K41" l="1"/>
  <c r="K36"/>
  <c r="B60"/>
  <c r="B71" l="1"/>
  <c r="B66"/>
  <c r="C60"/>
  <c r="C71" l="1"/>
  <c r="C66"/>
  <c r="D60"/>
  <c r="D71" l="1"/>
  <c r="D66"/>
  <c r="E60"/>
  <c r="E71" l="1"/>
  <c r="E66"/>
  <c r="F60"/>
  <c r="F71" l="1"/>
  <c r="F66"/>
  <c r="G60"/>
  <c r="G71" l="1"/>
  <c r="G66"/>
  <c r="H66" s="1"/>
  <c r="H60"/>
  <c r="H71" l="1"/>
  <c r="I60"/>
  <c r="I71" l="1"/>
  <c r="J60"/>
  <c r="J71" l="1"/>
  <c r="B88"/>
  <c r="K60"/>
  <c r="K71" l="1"/>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<sst xmlns="http://schemas.openxmlformats.org/spreadsheetml/2006/main" count="7928" uniqueCount="4094">
  <si>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</si>
  <si>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</si>
  <si>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</si>
  <si>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</si>
  <si>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</si>
  <si>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</si>
  <si>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</si>
  <si>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</si>
  <si>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</si>
  <si>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</si>
  <si>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</si>
  <si>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</si>
  <si>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</si>
  <si>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</si>
  <si>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</si>
  <si>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</si>
  <si>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</si>
  <si>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</si>
  <si>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</si>
  <si>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</si>
  <si>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</si>
  <si>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</si>
  <si>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</si>
  <si>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</si>
  <si>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</si>
  <si>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</si>
  <si>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</si>
  <si>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</si>
  <si>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</si>
  <si>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</si>
  <si>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</si>
  <si>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</si>
  <si>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</si>
  <si>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</si>
  <si>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</si>
  <si>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</si>
  <si>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</si>
  <si>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</si>
  <si>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</si>
  <si>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</si>
  <si>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</si>
  <si>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</si>
  <si>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</si>
  <si>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</si>
  <si>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</si>
  <si>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</si>
  <si>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</si>
  <si>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</si>
  <si>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</si>
  <si>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</si>
  <si>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</si>
  <si>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</si>
  <si>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</si>
  <si>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</si>
  <si>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</si>
  <si>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</si>
  <si>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</si>
  <si>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</si>
  <si>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</si>
  <si>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</si>
  <si>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</si>
  <si>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</si>
  <si>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</si>
  <si>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</si>
  <si>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</si>
  <si>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</si>
  <si>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</si>
  <si>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</si>
  <si>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</si>
  <si>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</si>
  <si>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</si>
  <si>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</si>
  <si>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</si>
  <si>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</si>
  <si>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</si>
  <si>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</si>
  <si>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</si>
  <si>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</si>
  <si>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</si>
  <si>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</si>
  <si>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</si>
  <si>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</si>
  <si>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</si>
  <si>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</si>
  <si>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</si>
  <si>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</si>
  <si>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</si>
  <si>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</si>
  <si>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</si>
  <si>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</si>
  <si>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</si>
  <si>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</si>
  <si>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</si>
  <si>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</si>
  <si>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</si>
  <si>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</si>
  <si>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</si>
  <si>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</si>
  <si>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</si>
  <si>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</si>
  <si>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</si>
  <si>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</si>
  <si>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</si>
  <si>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</si>
  <si>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</si>
  <si>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</si>
  <si>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</si>
  <si>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</si>
  <si>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</si>
  <si>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</si>
  <si>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</si>
  <si>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</si>
  <si>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</si>
  <si>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</si>
  <si>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</si>
  <si>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</si>
  <si>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</si>
  <si>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</si>
  <si>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</si>
  <si>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</si>
  <si>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</si>
  <si>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</si>
  <si>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</si>
  <si>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</si>
  <si>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</si>
  <si>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</si>
  <si>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</si>
  <si>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</si>
  <si>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</si>
  <si>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</si>
  <si>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</si>
  <si>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</si>
  <si>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</si>
  <si>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</si>
  <si>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</si>
  <si>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</si>
  <si>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</si>
  <si>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</si>
  <si>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</si>
  <si>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</si>
  <si>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</si>
  <si>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</si>
  <si>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</si>
  <si>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</si>
  <si>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</si>
  <si>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</si>
  <si>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</si>
  <si>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</si>
  <si>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</si>
  <si>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</si>
  <si>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</si>
  <si>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</si>
  <si>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</si>
  <si>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</si>
  <si>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</si>
  <si>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</si>
  <si>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</si>
  <si>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</si>
  <si>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</si>
  <si>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</si>
  <si>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</si>
  <si>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</si>
  <si>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</si>
  <si>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</si>
  <si>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</si>
  <si>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</si>
  <si>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</si>
  <si>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</si>
  <si>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</si>
  <si>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</si>
  <si>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</si>
  <si>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</si>
  <si>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</si>
  <si>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</si>
  <si>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</si>
  <si>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</si>
  <si>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</si>
  <si>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</si>
  <si>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</si>
  <si>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</si>
  <si>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</si>
  <si>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</si>
  <si>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</si>
  <si>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</si>
  <si>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</si>
  <si>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</si>
  <si>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</si>
  <si>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</si>
  <si>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</si>
  <si>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</si>
  <si>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</si>
  <si>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</si>
  <si>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</si>
  <si>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</si>
  <si>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</si>
  <si>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</si>
  <si>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</si>
  <si>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</si>
  <si>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</si>
  <si>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</si>
  <si>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</si>
  <si>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</si>
  <si>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</si>
  <si>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</si>
  <si>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</si>
  <si>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</si>
  <si>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</si>
  <si>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</si>
  <si>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</si>
  <si>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</si>
  <si>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</si>
  <si>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</si>
  <si>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</si>
  <si>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</si>
  <si>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</si>
  <si>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</si>
  <si>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</si>
  <si>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</si>
  <si>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</si>
  <si>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</si>
  <si>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</si>
  <si>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</si>
  <si>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</si>
  <si>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</si>
  <si>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</si>
  <si>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</si>
  <si>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</si>
  <si>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</si>
  <si>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</si>
  <si>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</si>
  <si>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</si>
  <si>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</si>
  <si>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</si>
  <si>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</si>
  <si>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</si>
  <si>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</si>
  <si>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</si>
  <si>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</si>
  <si>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</si>
  <si>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</si>
  <si>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</si>
  <si>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</si>
  <si>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</si>
  <si>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</si>
  <si>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</si>
  <si>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</si>
  <si>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</si>
  <si>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</si>
  <si>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</si>
  <si>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</si>
  <si>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</si>
  <si>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</si>
  <si>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</si>
  <si>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</si>
  <si>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</si>
  <si>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</si>
  <si>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</si>
  <si>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</si>
  <si>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</si>
  <si>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</si>
  <si>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</si>
  <si>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</si>
  <si>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</si>
  <si>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</si>
  <si>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</si>
  <si>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</si>
  <si>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</si>
  <si>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</si>
  <si>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</si>
  <si>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</si>
  <si>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</si>
  <si>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</si>
  <si>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</si>
  <si>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</si>
  <si>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</si>
  <si>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</si>
  <si>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</si>
  <si>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</si>
  <si>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</si>
  <si>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</si>
  <si>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</si>
  <si>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</si>
  <si>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</si>
  <si>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</si>
  <si>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</si>
  <si>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</si>
  <si>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</si>
  <si>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</si>
  <si>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</si>
  <si>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</si>
  <si>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</si>
  <si>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</si>
  <si>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</si>
  <si>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</si>
  <si>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</si>
  <si>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</si>
  <si>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</si>
  <si>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</si>
  <si>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</si>
  <si>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</si>
  <si>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</si>
  <si>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</si>
  <si>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</si>
  <si>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</si>
  <si>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</si>
  <si>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</si>
  <si>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</si>
  <si>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</si>
  <si>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</si>
  <si>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</si>
  <si>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</si>
  <si>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</si>
  <si>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</si>
  <si>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</si>
  <si>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</si>
  <si>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</si>
  <si>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</si>
  <si>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</si>
  <si>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</si>
  <si>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</si>
  <si>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</si>
  <si>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</si>
  <si>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</si>
  <si>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</si>
  <si>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</si>
  <si>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</si>
  <si>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</si>
  <si>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</si>
  <si>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</si>
  <si>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</si>
  <si>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</si>
  <si>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</si>
  <si>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</si>
  <si>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</si>
  <si>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</si>
  <si>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</si>
  <si>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</si>
  <si>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</si>
  <si>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</si>
  <si>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</si>
  <si>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</si>
  <si>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</si>
  <si>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</si>
  <si>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</si>
  <si>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</si>
  <si>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</si>
  <si>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</si>
  <si>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</si>
  <si>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</si>
  <si>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</si>
  <si>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</si>
  <si>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</si>
  <si>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</si>
  <si>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</si>
  <si>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</si>
  <si>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</si>
  <si>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</si>
  <si>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</si>
  <si>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</si>
  <si>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</si>
  <si>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</si>
  <si>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</si>
  <si>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</si>
  <si>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</si>
  <si>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</si>
  <si>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</si>
  <si>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</si>
  <si>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</si>
  <si>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</si>
  <si>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</si>
  <si>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</si>
  <si>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</si>
  <si>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</si>
  <si>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</si>
  <si>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</si>
  <si>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</si>
  <si>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</si>
  <si>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</si>
  <si>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</si>
  <si>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</si>
  <si>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</si>
  <si>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</si>
  <si>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</si>
  <si>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</si>
  <si>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</si>
  <si>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</si>
  <si>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</si>
  <si>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</si>
  <si>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</si>
  <si>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</si>
  <si>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</si>
  <si>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</si>
  <si>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</si>
  <si>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</si>
  <si>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</si>
  <si>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</si>
  <si>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</si>
  <si>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</si>
  <si>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</si>
  <si>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</si>
  <si>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</si>
  <si>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</si>
  <si>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</si>
  <si>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</si>
  <si>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</si>
  <si>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</si>
  <si>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</si>
  <si>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</si>
  <si>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</si>
  <si>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</si>
  <si>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</si>
  <si>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</si>
  <si>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</si>
  <si>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</si>
  <si>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</si>
  <si>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</si>
  <si>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</si>
  <si>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</si>
  <si>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</si>
  <si>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</si>
  <si>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</si>
  <si>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</si>
  <si>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</si>
  <si>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</si>
  <si>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</si>
  <si>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</si>
  <si>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</si>
  <si>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</si>
  <si>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</si>
  <si>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</si>
  <si>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</si>
  <si>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</si>
  <si>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</si>
  <si>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</si>
  <si>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</si>
  <si>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</si>
  <si>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</si>
  <si>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</si>
  <si>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</si>
  <si>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</si>
  <si>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</si>
  <si>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</si>
  <si>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</si>
  <si>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</si>
  <si>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</si>
  <si>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</si>
  <si>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</si>
  <si>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</si>
  <si>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</si>
  <si>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</si>
  <si>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</si>
  <si>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</si>
  <si>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</si>
  <si>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</si>
  <si>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</si>
  <si>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</si>
  <si>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</si>
  <si>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</si>
  <si>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</si>
  <si>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</si>
  <si>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</si>
  <si>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</si>
  <si>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</si>
  <si>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</si>
  <si>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</si>
  <si>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</si>
  <si>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</si>
  <si>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</si>
  <si>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</si>
  <si>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</si>
  <si>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</si>
  <si>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</si>
  <si>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</si>
  <si>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</si>
  <si>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</si>
  <si>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</si>
  <si>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</si>
  <si>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</si>
  <si>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</si>
  <si>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</si>
  <si>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</si>
  <si>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</si>
  <si>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</si>
  <si>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</si>
  <si>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</si>
  <si>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</si>
  <si>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</si>
  <si>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</si>
  <si>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</si>
  <si>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</si>
  <si>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</si>
  <si>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</si>
  <si>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</si>
  <si>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</si>
  <si>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</si>
  <si>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</si>
  <si>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</si>
  <si>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</si>
  <si>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</si>
  <si>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</si>
  <si>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</si>
  <si>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</si>
  <si>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</si>
  <si>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</si>
  <si>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</si>
  <si>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</si>
  <si>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</si>
  <si>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</si>
  <si>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</si>
  <si>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</si>
  <si>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</si>
  <si>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</si>
  <si>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</si>
  <si>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</si>
  <si>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</si>
  <si>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</si>
  <si>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</si>
  <si>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</si>
  <si>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</si>
  <si>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</si>
  <si>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</si>
  <si>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</si>
  <si>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</si>
  <si>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</si>
  <si>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</si>
  <si>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</si>
  <si>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</si>
  <si>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</si>
  <si>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</si>
  <si>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</si>
  <si>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</si>
  <si>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</si>
  <si>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</si>
  <si>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</si>
  <si>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</si>
  <si>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</si>
  <si>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</si>
  <si>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</si>
  <si>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</si>
  <si>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</si>
  <si>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</si>
  <si>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</si>
  <si>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</si>
  <si>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</si>
  <si>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</si>
  <si>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</si>
  <si>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</si>
  <si>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</si>
  <si>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</si>
  <si>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</si>
  <si>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</si>
  <si>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</si>
  <si>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</si>
  <si>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</si>
  <si>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</si>
  <si>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</si>
  <si>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</si>
  <si>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</si>
  <si>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</si>
  <si>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</si>
  <si>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</si>
  <si>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</si>
  <si>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</si>
  <si>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</si>
  <si>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</si>
  <si>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</si>
  <si>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</si>
  <si>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</si>
  <si>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</si>
  <si>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</si>
  <si>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</si>
  <si>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</si>
  <si>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</si>
  <si>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</si>
  <si>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</si>
  <si>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</si>
  <si>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</si>
  <si>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</si>
  <si>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</si>
  <si>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</si>
  <si>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</si>
  <si>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</si>
  <si>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</si>
  <si>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</si>
  <si>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</si>
  <si>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</si>
  <si>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</si>
  <si>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</si>
  <si>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</si>
  <si>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</si>
  <si>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</si>
  <si>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</si>
  <si>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</si>
  <si>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</si>
  <si>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</si>
  <si>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</si>
  <si>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</si>
  <si>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</si>
  <si>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</si>
  <si>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</si>
  <si>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</si>
  <si>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</si>
  <si>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</si>
  <si>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</si>
  <si>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</si>
  <si>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</si>
  <si>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</si>
  <si>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</si>
  <si>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</si>
  <si>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</si>
  <si>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</si>
  <si>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</si>
  <si>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</si>
  <si>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</si>
  <si>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</si>
  <si>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</si>
  <si>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</si>
  <si>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</si>
  <si>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</si>
  <si>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</si>
  <si>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</si>
  <si>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</si>
  <si>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</si>
  <si>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</si>
  <si>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</si>
  <si>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</si>
  <si>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</si>
  <si>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</si>
  <si>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</si>
  <si>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</si>
  <si>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</si>
  <si>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</si>
  <si>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</si>
  <si>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</si>
  <si>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</si>
  <si>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</si>
  <si>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</si>
  <si>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</si>
  <si>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</si>
  <si>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</si>
  <si>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</si>
  <si>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</si>
  <si>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</si>
  <si>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</si>
  <si>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</si>
  <si>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</si>
  <si>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</si>
  <si>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</si>
  <si>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</si>
  <si>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</si>
  <si>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</si>
  <si>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</si>
  <si>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</si>
  <si>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</si>
  <si>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</si>
  <si>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</si>
  <si>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</si>
  <si>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</si>
  <si>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</si>
  <si>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</si>
  <si>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</si>
  <si>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</si>
  <si>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</si>
  <si>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</si>
  <si>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</si>
  <si>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</si>
  <si>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</si>
  <si>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</si>
  <si>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</si>
  <si>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</si>
  <si>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</si>
  <si>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</si>
  <si>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</si>
  <si>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</si>
  <si>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</si>
  <si>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</si>
  <si>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</si>
  <si>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</si>
  <si>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</si>
  <si>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</si>
  <si>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</si>
  <si>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</si>
  <si>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</si>
  <si>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</si>
  <si>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</si>
  <si>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</si>
  <si>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</si>
  <si>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</si>
  <si>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</si>
  <si>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</si>
  <si>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</si>
  <si>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</si>
  <si>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</si>
  <si>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</si>
  <si>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</si>
  <si>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</si>
  <si>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</si>
  <si>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</si>
  <si>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</si>
  <si>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</si>
  <si>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</si>
  <si>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</si>
  <si>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</si>
  <si>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</si>
  <si>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</si>
  <si>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</si>
  <si>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</si>
  <si>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</si>
  <si>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</si>
  <si>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</si>
  <si>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</si>
  <si>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</si>
  <si>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</si>
  <si>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</si>
  <si>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</si>
  <si>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</si>
  <si>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</si>
  <si>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</si>
  <si>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</si>
  <si>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</si>
  <si>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</si>
  <si>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</si>
  <si>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</si>
  <si>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</si>
  <si>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</si>
  <si>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</si>
  <si>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</si>
  <si>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</si>
  <si>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</si>
  <si>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</si>
  <si>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</si>
  <si>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</si>
  <si>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</si>
  <si>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</si>
  <si>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</si>
  <si>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</si>
  <si>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</si>
  <si>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</si>
  <si>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</si>
  <si>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</si>
  <si>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</si>
  <si>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</si>
  <si>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</si>
  <si>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</si>
  <si>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</si>
  <si>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</si>
  <si>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</si>
  <si>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</si>
  <si>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</si>
  <si>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</si>
  <si>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</si>
  <si>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</si>
  <si>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</si>
  <si>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</si>
  <si>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</si>
  <si>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</si>
  <si>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</si>
  <si>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</si>
  <si>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</si>
  <si>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</si>
  <si>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</si>
  <si>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</si>
  <si>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</si>
  <si>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</si>
  <si>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</si>
  <si>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</si>
  <si>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</si>
  <si>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</si>
  <si>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</si>
  <si>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</si>
  <si>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</si>
  <si>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</si>
  <si>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</si>
  <si>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</si>
  <si>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</si>
  <si>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</si>
  <si>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</si>
  <si>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</si>
  <si>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</si>
  <si>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</si>
  <si>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</si>
  <si>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</si>
  <si>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</si>
  <si>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</si>
  <si>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</si>
  <si>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</si>
  <si>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</si>
  <si>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</si>
  <si>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</si>
  <si>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</si>
  <si>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</si>
  <si>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</si>
  <si>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</si>
  <si>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</si>
  <si>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</si>
  <si>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</si>
  <si>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</si>
  <si>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</si>
  <si>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</si>
  <si>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</si>
  <si>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</si>
  <si>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</si>
  <si>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</si>
  <si>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</si>
  <si>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</si>
  <si>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</si>
  <si>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</si>
  <si>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</si>
  <si>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</si>
  <si>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</si>
  <si>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</si>
  <si>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</si>
  <si>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</si>
  <si>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</si>
  <si>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</si>
  <si>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</si>
  <si>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</si>
  <si>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</si>
  <si>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</si>
  <si>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</si>
  <si>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</si>
  <si>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</si>
  <si>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</si>
  <si>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</si>
  <si>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</si>
  <si>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</si>
  <si>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</si>
  <si>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</si>
  <si>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</si>
  <si>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</si>
  <si>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</si>
  <si>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</si>
  <si>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</si>
  <si>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</si>
  <si>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</si>
  <si>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</si>
  <si>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</si>
  <si>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</si>
  <si>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</si>
  <si>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</si>
  <si>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</si>
  <si>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</si>
  <si>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</si>
  <si>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</si>
  <si>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</si>
  <si>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</si>
  <si>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</si>
  <si>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</si>
  <si>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</si>
  <si>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</si>
  <si>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</si>
  <si>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</si>
  <si>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</si>
  <si>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</si>
  <si>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</si>
  <si>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</si>
  <si>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</si>
  <si>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</si>
  <si>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</si>
  <si>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</si>
  <si>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</si>
  <si>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</si>
  <si>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</si>
  <si>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</si>
  <si>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</si>
  <si>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</si>
  <si>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</si>
  <si>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</si>
  <si>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</si>
  <si>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</si>
  <si>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</si>
  <si>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</si>
  <si>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</si>
  <si>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</si>
  <si>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</si>
  <si>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</si>
  <si>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</si>
  <si>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</si>
  <si>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</si>
  <si>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</si>
  <si>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</si>
  <si>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</si>
  <si>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</si>
  <si>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</si>
  <si>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</si>
  <si>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</si>
  <si>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</si>
  <si>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</si>
  <si>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</si>
  <si>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</si>
  <si>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</si>
  <si>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</si>
  <si>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</si>
  <si>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</si>
  <si>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</si>
  <si>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</si>
  <si>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</si>
  <si>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</si>
  <si>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</si>
  <si>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</si>
  <si>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</si>
  <si>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</si>
  <si>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</si>
  <si>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</si>
  <si>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</si>
  <si>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</si>
  <si>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</si>
  <si>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</si>
  <si>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</si>
  <si>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</si>
  <si>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</si>
  <si>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</si>
  <si>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</si>
  <si>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</si>
  <si>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</si>
  <si>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</si>
  <si>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</si>
  <si>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</si>
  <si>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</si>
  <si>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</si>
  <si>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</si>
  <si>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</si>
  <si>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</si>
  <si>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</si>
  <si>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</si>
  <si>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</si>
  <si>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</si>
  <si>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</si>
  <si>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</si>
  <si>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</si>
  <si>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</si>
  <si>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</si>
  <si>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</si>
  <si>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</si>
  <si>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</si>
  <si>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</si>
  <si>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</si>
  <si>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</si>
  <si>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</si>
  <si>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</si>
  <si>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</si>
  <si>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</si>
  <si>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</si>
  <si>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</si>
  <si>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</si>
  <si>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</si>
  <si>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</si>
  <si>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</si>
  <si>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</si>
  <si>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</si>
  <si>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</si>
  <si>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</si>
  <si>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</si>
  <si>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</si>
  <si>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</si>
  <si>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</si>
  <si>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</si>
  <si>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</si>
  <si>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</si>
  <si>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</si>
  <si>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</si>
  <si>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</si>
  <si>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</si>
  <si>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</si>
  <si>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</si>
  <si>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</si>
  <si>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</si>
  <si>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</si>
  <si>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</si>
  <si>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</si>
  <si>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</si>
  <si>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</si>
  <si>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</si>
  <si>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</si>
  <si>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</si>
  <si>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</si>
  <si>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</si>
  <si>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</si>
  <si>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</si>
  <si>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</si>
  <si>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</si>
  <si>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</si>
  <si>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</si>
  <si>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</si>
  <si>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</si>
  <si>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</si>
  <si>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</si>
  <si>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</si>
  <si>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</si>
  <si>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</si>
  <si>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</si>
  <si>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</si>
  <si>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</si>
  <si>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</si>
  <si>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</si>
  <si>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</si>
  <si>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</si>
  <si>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</si>
  <si>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</si>
  <si>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</si>
  <si>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</si>
  <si>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</si>
  <si>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</si>
  <si>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</si>
  <si>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</si>
  <si>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</si>
  <si>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</si>
  <si>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</si>
  <si>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</si>
  <si>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</si>
  <si>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</si>
  <si>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</si>
  <si>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</si>
  <si>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</si>
  <si>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</si>
  <si>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</si>
  <si>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</si>
  <si>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</si>
  <si>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</si>
  <si>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</si>
  <si>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</si>
  <si>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</si>
  <si>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</si>
  <si>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</si>
  <si>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</si>
  <si>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</si>
  <si>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</si>
  <si>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</si>
  <si>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</si>
  <si>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</si>
  <si>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</si>
  <si>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</si>
  <si>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</si>
  <si>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</si>
  <si>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</si>
  <si>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</si>
  <si>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</si>
  <si>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</si>
  <si>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</si>
  <si>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</si>
  <si>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</si>
  <si>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</si>
  <si>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</si>
  <si>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</si>
  <si>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</si>
  <si>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</si>
  <si>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</si>
  <si>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</si>
  <si>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</si>
  <si>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</si>
  <si>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</si>
  <si>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</si>
  <si>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</si>
  <si>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</si>
  <si>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</si>
  <si>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</si>
  <si>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</si>
  <si>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</si>
  <si>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</si>
  <si>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</si>
  <si>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</si>
  <si>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</si>
  <si>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</si>
  <si>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</si>
  <si>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</si>
  <si>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</si>
  <si>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</si>
  <si>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</si>
  <si>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</si>
  <si>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</si>
  <si>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</si>
  <si>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</si>
  <si>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</si>
  <si>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</si>
  <si>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</si>
  <si>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</si>
  <si>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</si>
  <si>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</si>
  <si>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</si>
  <si>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</si>
  <si>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</si>
  <si>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</si>
  <si>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</si>
  <si>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</si>
  <si>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</si>
  <si>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</si>
  <si>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</si>
  <si>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</si>
  <si>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</si>
  <si>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</si>
  <si>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</si>
  <si>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</si>
  <si>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</si>
  <si>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</si>
  <si>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</si>
  <si>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</si>
  <si>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</si>
  <si>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</si>
  <si>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</si>
  <si>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</si>
  <si>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</si>
  <si>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</si>
  <si>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</si>
  <si>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</si>
  <si>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</si>
  <si>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</si>
  <si>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</si>
  <si>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</si>
  <si>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</si>
  <si>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</si>
  <si>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</si>
  <si>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</si>
  <si>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</si>
  <si>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</si>
  <si>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</si>
  <si>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</si>
  <si>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</si>
  <si>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</si>
  <si>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</si>
  <si>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</si>
  <si>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</si>
  <si>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</si>
  <si>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</si>
  <si>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</si>
  <si>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</si>
  <si>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</si>
  <si>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</si>
  <si>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</si>
  <si>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</si>
  <si>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</si>
  <si>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</si>
  <si>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</si>
  <si>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</si>
  <si>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</si>
  <si>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</si>
  <si>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</si>
  <si>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</si>
  <si>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</si>
  <si>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</si>
  <si>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</si>
  <si>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</si>
  <si>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</si>
  <si>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</si>
  <si>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</si>
  <si>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</si>
  <si>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</si>
  <si>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</si>
  <si>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</si>
  <si>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</si>
  <si>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</si>
  <si>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</si>
  <si>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</si>
  <si>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</si>
  <si>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</si>
  <si>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</si>
  <si>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</si>
  <si>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</si>
  <si>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</si>
  <si>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</si>
  <si>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</si>
  <si>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</si>
  <si>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</si>
  <si>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</si>
  <si>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</si>
  <si>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</si>
  <si>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</si>
  <si>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</si>
  <si>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</si>
  <si>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</si>
  <si>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</si>
  <si>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</si>
  <si>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</si>
  <si>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</si>
  <si>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</si>
  <si>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</si>
  <si>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</si>
  <si>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</si>
  <si>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</si>
  <si>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</si>
  <si>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</si>
  <si>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</si>
  <si>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</si>
  <si>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</si>
  <si>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</si>
  <si>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</si>
  <si>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</si>
  <si>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</si>
  <si>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</si>
  <si>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</si>
  <si>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</si>
  <si>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</si>
  <si>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</si>
  <si>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</si>
  <si>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</si>
  <si>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</si>
  <si>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</si>
  <si>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</si>
  <si>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</si>
  <si>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</si>
  <si>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</si>
  <si>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</si>
  <si>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</si>
  <si>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</si>
  <si>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</si>
  <si>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</si>
  <si>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</si>
  <si>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</si>
  <si>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</si>
  <si>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</si>
  <si>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</si>
  <si>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</si>
  <si>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</si>
  <si>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</si>
  <si>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</si>
  <si>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</si>
  <si>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</si>
  <si>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</si>
  <si>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</si>
  <si>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</si>
  <si>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</si>
  <si>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</si>
  <si>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</si>
  <si>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</si>
  <si>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</si>
  <si>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</si>
  <si>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</si>
  <si>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</si>
  <si>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</si>
  <si>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</si>
  <si>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</si>
  <si>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</si>
  <si>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</si>
  <si>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</si>
  <si>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</si>
  <si>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</si>
  <si>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</si>
  <si>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</si>
  <si>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</si>
  <si>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</si>
  <si>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</si>
  <si>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</si>
  <si>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</si>
  <si>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</si>
  <si>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</si>
  <si>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</si>
  <si>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</si>
  <si>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</si>
  <si>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</si>
  <si>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</si>
  <si>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</si>
  <si>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</si>
  <si>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</si>
  <si>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</si>
  <si>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</si>
  <si>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</si>
  <si>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</si>
  <si>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</si>
  <si>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</si>
  <si>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</si>
  <si>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</si>
  <si>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</si>
  <si>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</si>
  <si>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</si>
  <si>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</si>
  <si>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</si>
  <si>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</si>
  <si>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</si>
  <si>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</si>
  <si>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</si>
  <si>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</si>
  <si>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</si>
  <si>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</si>
  <si>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</si>
  <si>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</si>
  <si>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</si>
  <si>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</si>
  <si>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</si>
  <si>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</si>
  <si>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</si>
  <si>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</si>
  <si>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</si>
  <si>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</si>
  <si>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</si>
  <si>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</si>
  <si>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</si>
  <si>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</si>
  <si>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</si>
  <si>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</si>
  <si>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</si>
  <si>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</si>
  <si>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</si>
  <si>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</si>
  <si>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</si>
  <si>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</si>
  <si>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</si>
  <si>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</si>
  <si>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</si>
  <si>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</si>
  <si>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</si>
  <si>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</si>
  <si>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</si>
  <si>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</si>
  <si>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</si>
  <si>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</si>
  <si>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</si>
  <si>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</si>
  <si>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</si>
  <si>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</si>
  <si>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</si>
  <si>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</si>
  <si>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</si>
  <si>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</si>
  <si>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</si>
  <si>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</si>
  <si>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</si>
  <si>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</si>
  <si>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</si>
  <si>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</si>
  <si>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</si>
  <si>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</si>
  <si>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</si>
  <si>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</si>
  <si>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</si>
  <si>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</si>
  <si>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</si>
  <si>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</si>
  <si>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</si>
  <si>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</si>
  <si>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</si>
  <si>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</si>
  <si>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</si>
  <si>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</si>
  <si>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</si>
  <si>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</si>
  <si>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</si>
  <si>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</si>
  <si>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</si>
  <si>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</si>
  <si>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</si>
  <si>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</si>
  <si>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</si>
  <si>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</si>
  <si>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</si>
  <si>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</si>
  <si>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</si>
  <si>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</si>
  <si>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</si>
  <si>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</si>
  <si>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</si>
  <si>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</si>
  <si>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</si>
  <si>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</si>
  <si>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</si>
  <si>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</si>
  <si>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</si>
  <si>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</si>
  <si>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</si>
  <si>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</si>
  <si>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</si>
  <si>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</si>
  <si>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</si>
  <si>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</si>
  <si>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</si>
  <si>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</si>
  <si>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</si>
  <si>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</si>
  <si>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</si>
  <si>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</si>
  <si>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</si>
  <si>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</si>
  <si>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</si>
  <si>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</si>
  <si>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</si>
  <si>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</si>
  <si>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</si>
  <si>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</si>
  <si>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</si>
  <si>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</si>
  <si>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</si>
  <si>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</si>
  <si>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</si>
  <si>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</si>
  <si>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</si>
  <si>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</si>
  <si>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</si>
  <si>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</si>
  <si>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</si>
  <si>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</si>
  <si>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</si>
  <si>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</si>
  <si>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</si>
  <si>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</si>
  <si>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</si>
  <si>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</si>
  <si>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</si>
  <si>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</si>
  <si>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</si>
  <si>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</si>
  <si>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</si>
  <si>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</si>
  <si>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</si>
  <si>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</si>
  <si>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</si>
  <si>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</si>
  <si>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</si>
  <si>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</si>
  <si>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</si>
  <si>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</si>
  <si>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</si>
  <si>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</si>
  <si>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</si>
  <si>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</si>
  <si>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</si>
  <si>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</si>
  <si>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</si>
  <si>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</si>
  <si>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</si>
  <si>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</si>
  <si>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</si>
  <si>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</si>
  <si>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</si>
  <si>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</si>
  <si>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</si>
  <si>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</si>
  <si>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</si>
  <si>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</si>
  <si>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</si>
  <si>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</si>
  <si>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</si>
  <si>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</si>
  <si>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</si>
  <si>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</si>
  <si>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</si>
  <si>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</si>
  <si>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</si>
  <si>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</si>
  <si>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</si>
  <si>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</si>
  <si>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</si>
  <si>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</si>
  <si>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</si>
  <si>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</si>
  <si>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</si>
  <si>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</si>
  <si>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</si>
  <si>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</si>
  <si>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</si>
  <si>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</si>
  <si>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</si>
  <si>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</si>
  <si>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</si>
  <si>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</si>
  <si>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</si>
  <si>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</si>
  <si>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</si>
  <si>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</si>
  <si>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</si>
  <si>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</si>
  <si>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</si>
  <si>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</si>
  <si>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</si>
  <si>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</si>
  <si>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</si>
  <si>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</si>
  <si>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</si>
  <si>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</si>
  <si>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</si>
  <si>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</si>
  <si>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</si>
  <si>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</si>
  <si>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</si>
  <si>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</si>
  <si>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</si>
  <si>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</si>
  <si>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</si>
  <si>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</si>
  <si>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</si>
  <si>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</si>
  <si>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</si>
  <si>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</si>
  <si>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</si>
  <si>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</si>
  <si>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</si>
  <si>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</si>
  <si>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</si>
  <si>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</si>
  <si>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</si>
  <si>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</si>
  <si>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</si>
  <si>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</si>
  <si>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</si>
  <si>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</si>
  <si>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</si>
  <si>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</si>
  <si>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</si>
  <si>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</si>
  <si>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</si>
  <si>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</si>
  <si>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</si>
  <si>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</si>
  <si>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</si>
  <si>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</si>
  <si>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</si>
  <si>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</si>
  <si>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</si>
  <si>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</si>
  <si>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</si>
  <si>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</si>
  <si>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</si>
  <si>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</si>
  <si>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</si>
  <si>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</si>
  <si>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</si>
  <si>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</si>
  <si>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</si>
  <si>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</si>
  <si>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</si>
  <si>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</si>
  <si>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</si>
  <si>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</si>
  <si>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</si>
  <si>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</si>
  <si>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</si>
  <si>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</si>
  <si>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</si>
  <si>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</si>
  <si>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</si>
  <si>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</si>
  <si>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</si>
  <si>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</si>
  <si>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</si>
  <si>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</si>
  <si>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</si>
  <si>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</si>
  <si>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</si>
  <si>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</si>
  <si>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</si>
  <si>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</si>
  <si>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</si>
  <si>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</si>
  <si>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</si>
  <si>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</si>
  <si>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</si>
  <si>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</si>
  <si>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</si>
  <si>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</si>
  <si>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</si>
  <si>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</si>
  <si>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</si>
  <si>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</si>
  <si>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</si>
  <si>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</si>
  <si>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</si>
  <si>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</si>
  <si>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</si>
  <si>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</si>
  <si>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</si>
  <si>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</si>
  <si>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</si>
  <si>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</si>
  <si>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</si>
  <si>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</si>
  <si>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</si>
  <si>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</si>
  <si>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</si>
  <si>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</si>
  <si>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</si>
  <si>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</si>
  <si>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</si>
  <si>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</si>
  <si>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</si>
  <si>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</si>
  <si>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</si>
  <si>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</si>
  <si>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</si>
  <si>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</si>
  <si>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</si>
  <si>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</si>
  <si>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</si>
  <si>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</si>
  <si>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</si>
  <si>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</si>
  <si>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</si>
  <si>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</si>
  <si>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</si>
  <si>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</si>
  <si>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</si>
  <si>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</si>
  <si>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</si>
  <si>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</si>
  <si>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</si>
  <si>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</si>
  <si>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</si>
  <si>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</si>
  <si>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</si>
  <si>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</si>
  <si>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</si>
  <si>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</si>
  <si>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</si>
  <si>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</si>
  <si>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</si>
  <si>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</si>
  <si>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</si>
  <si>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</si>
  <si>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</si>
  <si>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</si>
  <si>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</si>
  <si>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</si>
  <si>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</si>
  <si>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</si>
  <si>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</si>
  <si>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</si>
  <si>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</si>
  <si>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</si>
  <si>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</si>
  <si>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</si>
  <si>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</si>
  <si>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</si>
  <si>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</si>
  <si>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</si>
  <si>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</si>
  <si>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</si>
  <si>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</si>
  <si>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</si>
  <si>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</si>
  <si>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</si>
  <si>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</si>
  <si>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</si>
  <si>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</si>
  <si>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</si>
  <si>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</si>
  <si>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</si>
  <si>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</si>
  <si>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</si>
  <si>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</si>
  <si>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</si>
  <si>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</si>
  <si>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</si>
  <si>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</si>
  <si>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</si>
  <si>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</si>
  <si>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</si>
  <si>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</si>
  <si>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</si>
  <si>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</si>
  <si>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</si>
  <si>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</si>
  <si>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</si>
  <si>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</si>
  <si>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</si>
  <si>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</si>
  <si>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</si>
  <si>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</si>
  <si>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</si>
  <si>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</si>
  <si>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</si>
  <si>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</si>
  <si>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</si>
  <si>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</si>
  <si>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</si>
  <si>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</si>
  <si>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</si>
  <si>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</si>
  <si>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</si>
  <si>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</si>
  <si>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</si>
  <si>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</si>
  <si>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</si>
  <si>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</si>
  <si>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</si>
  <si>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</si>
  <si>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</si>
  <si>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</si>
  <si>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</si>
  <si>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</si>
  <si>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</si>
  <si>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</si>
  <si>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</si>
  <si>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</si>
  <si>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</si>
  <si>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</si>
  <si>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</si>
  <si>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</si>
  <si>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</si>
  <si>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</si>
  <si>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</si>
  <si>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</si>
  <si>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</si>
  <si>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</si>
  <si>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</si>
  <si>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</si>
  <si>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</si>
  <si>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</si>
  <si>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</si>
  <si>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</si>
  <si>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</si>
  <si>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</si>
  <si>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</si>
  <si>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</si>
  <si>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</si>
  <si>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</si>
  <si>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</si>
  <si>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</si>
  <si>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</si>
  <si>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</si>
  <si>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</si>
  <si>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</si>
  <si>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</si>
  <si>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</si>
  <si>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</si>
  <si>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</si>
  <si>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</si>
  <si>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</si>
  <si>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</si>
  <si>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</si>
  <si>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</si>
  <si>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</si>
  <si>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</si>
  <si>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</si>
  <si>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</si>
  <si>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</si>
  <si>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</si>
  <si>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</si>
  <si>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</si>
  <si>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</si>
  <si>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</si>
  <si>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</si>
  <si>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</si>
  <si>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</si>
  <si>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</si>
  <si>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</si>
  <si>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</si>
  <si>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</si>
  <si>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</si>
  <si>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</si>
  <si>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</si>
  <si>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</si>
  <si>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</si>
  <si>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</si>
  <si>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</si>
  <si>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</si>
  <si>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</si>
  <si>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</si>
  <si>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</si>
  <si>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</si>
  <si>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</si>
  <si>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</si>
  <si>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</si>
  <si>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</si>
  <si>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</si>
  <si>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</si>
  <si>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</si>
  <si>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</si>
  <si>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</si>
  <si>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</si>
  <si>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</si>
  <si>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</si>
  <si>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</si>
  <si>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</si>
  <si>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</si>
  <si>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</si>
  <si>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</si>
  <si>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</si>
  <si>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</si>
  <si>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</si>
  <si>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</si>
  <si>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</si>
  <si>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</si>
  <si>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</si>
  <si>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</si>
  <si>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</si>
  <si>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</si>
  <si>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</si>
  <si>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</si>
  <si>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</si>
  <si>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</si>
  <si>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</si>
  <si>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</si>
  <si>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</si>
  <si>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</si>
  <si>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</si>
  <si>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</si>
  <si>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</si>
  <si>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</si>
  <si>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</si>
  <si>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</si>
  <si>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</si>
  <si>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</si>
  <si>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</si>
  <si>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</si>
  <si>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</si>
  <si>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</si>
  <si>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</si>
  <si>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</si>
  <si>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</si>
  <si>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</si>
  <si>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</si>
  <si>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</si>
  <si>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</si>
  <si>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</si>
  <si>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</si>
  <si>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</si>
  <si>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</si>
  <si>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</si>
  <si>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</si>
  <si>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</si>
  <si>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</si>
  <si>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</si>
  <si>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</si>
  <si>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</si>
  <si>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</si>
  <si>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</si>
  <si>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</si>
  <si>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</si>
  <si>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</si>
  <si>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</si>
  <si>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</si>
  <si>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</si>
  <si>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</si>
  <si>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</si>
  <si>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</si>
  <si>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</si>
  <si>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</si>
  <si>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</si>
  <si>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</si>
  <si>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</si>
  <si>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</si>
  <si>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</si>
  <si>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</si>
  <si>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</si>
  <si>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</si>
  <si>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</si>
  <si>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</si>
  <si>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</si>
  <si>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</si>
  <si>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</si>
  <si>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</si>
  <si>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</si>
  <si>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</si>
  <si>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</si>
  <si>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</si>
  <si>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</si>
  <si>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</si>
  <si>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</si>
  <si>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</si>
  <si>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</si>
  <si>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</si>
  <si>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</si>
  <si>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</si>
  <si>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</si>
  <si>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</si>
  <si>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</si>
  <si>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</si>
  <si>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</si>
  <si>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</si>
  <si>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</si>
  <si>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</si>
  <si>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</si>
  <si>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</si>
  <si>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</si>
  <si>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</si>
  <si>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</si>
  <si>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</si>
  <si>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</si>
  <si>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</si>
  <si>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</si>
  <si>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</si>
  <si>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</si>
  <si>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</si>
  <si>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</si>
  <si>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</si>
  <si>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</si>
  <si>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</si>
  <si>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</si>
  <si>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</si>
  <si>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</si>
  <si>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</si>
  <si>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</si>
  <si>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</si>
  <si>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</si>
  <si>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</si>
  <si>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</si>
  <si>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</si>
  <si>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</si>
  <si>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</si>
  <si>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</si>
  <si>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</si>
  <si>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</si>
  <si>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</si>
  <si>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</si>
  <si>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</si>
  <si>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</si>
  <si>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</si>
  <si>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</si>
  <si>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</si>
  <si>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</si>
  <si>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</si>
  <si>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</si>
  <si>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</si>
  <si>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</si>
  <si>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</si>
  <si>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</si>
  <si>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</si>
  <si>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</si>
  <si>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</si>
  <si>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</si>
  <si>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</si>
  <si>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</si>
  <si>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</si>
  <si>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</si>
  <si>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</si>
  <si>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</si>
  <si>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</si>
  <si>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</si>
  <si>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</si>
  <si>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</si>
  <si>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</si>
  <si>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</si>
  <si>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</si>
  <si>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</si>
  <si>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</si>
  <si>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</si>
  <si>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</si>
  <si>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</si>
  <si>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</si>
  <si>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</si>
  <si>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</si>
  <si>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</si>
  <si>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</si>
  <si>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</si>
  <si>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</si>
  <si>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</si>
  <si>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</si>
  <si>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</si>
  <si>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</si>
  <si>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</si>
  <si>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</si>
  <si>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</si>
  <si>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</si>
  <si>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</si>
  <si>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</si>
  <si>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</si>
  <si>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</si>
  <si>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</si>
  <si>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</si>
  <si>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</si>
  <si>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</si>
  <si>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</si>
  <si>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</si>
  <si>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</si>
  <si>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</si>
  <si>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</si>
  <si>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</si>
  <si>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</si>
  <si>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</si>
  <si>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</si>
  <si>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</si>
  <si>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</si>
  <si>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</si>
  <si>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</si>
  <si>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</si>
  <si>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</si>
  <si>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</si>
  <si>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</si>
  <si>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</si>
  <si>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</si>
  <si>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</si>
  <si>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</si>
  <si>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</si>
  <si>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</si>
  <si>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</si>
  <si>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</si>
  <si>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</si>
  <si>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</si>
  <si>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</si>
  <si>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</si>
  <si>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</si>
  <si>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</si>
  <si>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</si>
  <si>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</si>
  <si>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</si>
  <si>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</si>
  <si>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</si>
  <si>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</si>
  <si>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</si>
  <si>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</si>
  <si>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</si>
  <si>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</si>
  <si>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</si>
  <si>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</si>
  <si>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</si>
  <si>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</si>
  <si>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</si>
  <si>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</si>
  <si>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</si>
  <si>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</si>
  <si>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</si>
  <si>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</si>
  <si>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</si>
  <si>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</si>
  <si>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</si>
  <si>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</si>
  <si>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</si>
  <si>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</si>
  <si>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</si>
  <si>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</si>
  <si>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</si>
  <si>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</si>
  <si>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</si>
  <si>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</si>
  <si>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</si>
  <si>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</si>
  <si>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</si>
  <si>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</si>
  <si>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</si>
  <si>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</si>
  <si>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</si>
  <si>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</si>
  <si>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</si>
  <si>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</si>
  <si>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</si>
  <si>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</si>
  <si>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</si>
  <si>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</si>
  <si>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</si>
  <si>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</si>
  <si>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</si>
  <si>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</si>
  <si>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</si>
  <si>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</si>
  <si>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</si>
  <si>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</si>
  <si>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</si>
  <si>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</si>
  <si>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</si>
  <si>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</si>
  <si>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</si>
  <si>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</si>
  <si>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</si>
  <si>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</si>
  <si>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</si>
  <si>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</si>
  <si>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</si>
  <si>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</si>
  <si>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</si>
  <si>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</si>
  <si>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</si>
  <si>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</si>
  <si>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</si>
  <si>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</si>
  <si>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</si>
  <si>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</si>
  <si>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</si>
  <si>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</si>
  <si>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</si>
  <si>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</si>
  <si>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</si>
  <si>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</si>
  <si>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</si>
  <si>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</si>
  <si>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</si>
  <si>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</si>
  <si>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</si>
  <si>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</si>
  <si>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</si>
  <si>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</si>
  <si>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</si>
  <si>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</si>
  <si>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</si>
  <si>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</si>
  <si>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</si>
  <si>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</si>
  <si>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</si>
  <si>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</si>
  <si>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</si>
  <si>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</si>
  <si>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</si>
  <si>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</si>
  <si>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</si>
  <si>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</si>
  <si>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</si>
  <si>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</si>
  <si>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</si>
  <si>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</si>
  <si>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</si>
  <si>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</si>
  <si>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</si>
  <si>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</si>
  <si>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</si>
  <si>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</si>
  <si>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</si>
  <si>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</si>
  <si>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</si>
  <si>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</si>
  <si>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</si>
  <si>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</si>
  <si>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</si>
  <si>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</si>
  <si>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</si>
  <si>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</si>
  <si>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</si>
  <si>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</si>
  <si>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</si>
  <si>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</si>
  <si>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</si>
  <si>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</si>
  <si>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</si>
  <si>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</si>
  <si>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</si>
  <si>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</si>
  <si>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</si>
  <si>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</si>
  <si>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</si>
  <si>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</si>
  <si>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</si>
  <si>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</si>
  <si>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</si>
  <si>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</si>
  <si>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</si>
  <si>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</si>
  <si>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</si>
  <si>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</si>
  <si>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</si>
  <si>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</si>
  <si>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</si>
  <si>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</si>
  <si>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</si>
  <si>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</si>
  <si>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</si>
  <si>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</si>
  <si>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</si>
  <si>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</si>
  <si>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</si>
  <si>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</si>
  <si>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</si>
  <si>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</si>
  <si>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</si>
  <si>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</si>
  <si>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</si>
  <si>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</si>
  <si>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</si>
  <si>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</si>
  <si>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</si>
  <si>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</si>
  <si>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</si>
  <si>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</si>
  <si>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</si>
  <si>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</si>
  <si>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</si>
  <si>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</si>
  <si>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</si>
  <si>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</si>
  <si>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</si>
  <si>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</si>
  <si>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</si>
  <si>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</si>
  <si>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</si>
  <si>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</si>
  <si>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</si>
  <si>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</si>
  <si>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</si>
  <si>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</si>
  <si>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</si>
  <si>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</si>
  <si>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</si>
  <si>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</si>
  <si>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</si>
  <si>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</si>
  <si>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</si>
  <si>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</si>
  <si>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</si>
  <si>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</si>
  <si>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</si>
  <si>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</si>
  <si>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</si>
  <si>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</si>
  <si>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</si>
  <si>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</si>
  <si>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</si>
  <si>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</si>
  <si>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</si>
  <si>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</si>
  <si>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</si>
  <si>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</si>
  <si>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</si>
  <si>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</si>
  <si>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</si>
  <si>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</si>
  <si>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</si>
  <si>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</si>
  <si>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</si>
  <si>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</si>
  <si>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</si>
  <si>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</si>
  <si>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</si>
  <si>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</si>
  <si>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</si>
  <si>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</si>
  <si>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</si>
  <si>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</si>
  <si>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</si>
  <si>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</si>
  <si>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</si>
  <si>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</si>
  <si>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</si>
  <si>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</si>
  <si>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</si>
  <si>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</si>
  <si>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</si>
  <si>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</si>
  <si>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</si>
  <si>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</si>
  <si>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</si>
  <si>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</si>
  <si>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</si>
  <si>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</si>
  <si>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</si>
  <si>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</si>
  <si>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</si>
  <si>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</si>
  <si>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</si>
  <si>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</si>
  <si>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</si>
  <si>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</si>
  <si>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</si>
  <si>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</si>
  <si>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</si>
  <si>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</si>
  <si>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</si>
  <si>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</si>
  <si>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</si>
  <si>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</si>
  <si>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</si>
  <si>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</si>
  <si>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</si>
  <si>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</si>
  <si>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</si>
  <si>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</si>
  <si>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</si>
  <si>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</si>
  <si>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</si>
  <si>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</si>
  <si>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</si>
  <si>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</si>
  <si>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</si>
  <si>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</si>
  <si>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</si>
  <si>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</si>
  <si>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</si>
  <si>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</si>
  <si>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</si>
  <si>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</si>
  <si>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</si>
  <si>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</si>
  <si>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</si>
  <si>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</si>
  <si>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</si>
  <si>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</si>
  <si>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</si>
  <si>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</si>
  <si>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</si>
  <si>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</si>
  <si>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</si>
  <si>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</si>
  <si>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</si>
  <si>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</si>
  <si>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</si>
  <si>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</si>
  <si>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</si>
  <si>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</si>
  <si>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</si>
  <si>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</si>
  <si>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</si>
  <si>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</si>
  <si>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</si>
  <si>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</si>
  <si>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</si>
  <si>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</si>
  <si>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</si>
  <si>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</si>
  <si>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</si>
  <si>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</si>
  <si>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</si>
  <si>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</si>
  <si>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</si>
  <si>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</si>
  <si>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</si>
  <si>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</si>
  <si>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</si>
  <si>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</si>
  <si>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</si>
  <si>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</si>
  <si>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</si>
  <si>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</si>
  <si>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</si>
  <si>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</si>
  <si>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</si>
  <si>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</si>
  <si>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</si>
  <si>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</si>
  <si>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</si>
  <si>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</si>
  <si>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</si>
  <si>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</si>
  <si>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</si>
  <si>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</si>
  <si>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</si>
  <si>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</si>
  <si>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</si>
  <si>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</si>
  <si>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</si>
  <si>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</si>
  <si>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</si>
  <si>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</si>
  <si>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</si>
  <si>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</si>
  <si>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</si>
  <si>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</si>
  <si>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</si>
  <si>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</si>
  <si>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</si>
  <si>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</si>
  <si>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</si>
  <si>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</si>
  <si>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</si>
  <si>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</si>
  <si>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</si>
  <si>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</si>
  <si>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</si>
  <si>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</si>
  <si>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</si>
  <si>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</si>
  <si>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</si>
  <si>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</si>
  <si>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</si>
  <si>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</si>
  <si>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</si>
  <si>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</si>
  <si>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</si>
  <si>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</si>
  <si>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</si>
  <si>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</si>
  <si>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</si>
  <si>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</si>
  <si>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</si>
  <si>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</si>
  <si>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</si>
  <si>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</si>
  <si>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</si>
  <si>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</si>
  <si>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</si>
  <si>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</si>
  <si>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</si>
  <si>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</si>
  <si>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</si>
  <si>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</si>
  <si>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</si>
  <si>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</si>
  <si>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</si>
  <si>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</si>
  <si>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</si>
  <si>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</si>
  <si>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</si>
  <si>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</si>
  <si>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</si>
  <si>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</si>
  <si>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</si>
  <si>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</si>
  <si>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</si>
  <si>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</si>
  <si>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</si>
  <si>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</si>
  <si>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</si>
  <si>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</si>
  <si>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</si>
  <si>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</si>
  <si>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</si>
  <si>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</si>
  <si>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</si>
  <si>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</si>
  <si>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</si>
  <si>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</si>
  <si>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</si>
  <si>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</si>
  <si>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</si>
  <si>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</si>
  <si>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</si>
  <si>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</si>
  <si>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</si>
  <si>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</si>
  <si>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</si>
  <si>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</si>
  <si>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</si>
  <si>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</si>
  <si>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</si>
  <si>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</si>
  <si>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</si>
  <si>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</si>
  <si>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</si>
  <si>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</si>
  <si>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</si>
  <si>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</si>
  <si>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</si>
  <si>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</si>
  <si>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</si>
  <si>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</si>
  <si>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</si>
  <si>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</si>
  <si>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</si>
  <si>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</si>
  <si>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</si>
  <si>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</si>
  <si>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</si>
  <si>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</si>
  <si>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</si>
  <si>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</si>
  <si>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</si>
  <si>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</si>
  <si>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</si>
  <si>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</si>
  <si>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</si>
  <si>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</si>
  <si>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</si>
  <si>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</si>
  <si>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</si>
  <si>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</si>
  <si>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</si>
  <si>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</si>
  <si>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</si>
  <si>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</si>
  <si>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</si>
  <si>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</si>
  <si>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</si>
  <si>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</si>
  <si>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</si>
  <si>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</si>
  <si>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</si>
  <si>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</si>
  <si>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</si>
  <si>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</si>
  <si>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</si>
  <si>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</si>
  <si>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</si>
  <si>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</si>
  <si>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</si>
  <si>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</si>
  <si>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</si>
  <si>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</si>
  <si>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</si>
  <si>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</si>
  <si>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</si>
  <si>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</si>
  <si>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</si>
  <si>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</si>
  <si>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</si>
  <si>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</si>
  <si>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</si>
  <si>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</si>
  <si>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</si>
  <si>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</si>
  <si>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</si>
  <si>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</si>
  <si>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</si>
  <si>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</si>
  <si>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</si>
  <si>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</si>
  <si>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</si>
  <si>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</si>
  <si>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</si>
  <si>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</si>
  <si>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</si>
  <si>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</si>
  <si>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</si>
  <si>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</si>
  <si>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</si>
  <si>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</si>
  <si>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</si>
  <si>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</si>
  <si>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</si>
  <si>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</si>
  <si>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</si>
  <si>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</si>
  <si>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</si>
  <si>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</si>
  <si>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</si>
  <si>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</si>
  <si>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</si>
  <si>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</si>
  <si>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</si>
  <si>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</si>
  <si>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</si>
  <si>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</si>
  <si>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</si>
  <si>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</si>
  <si>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</si>
  <si>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</si>
  <si>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</si>
  <si>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</si>
  <si>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</si>
  <si>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</si>
  <si>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</si>
  <si>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</si>
  <si>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</si>
  <si>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</si>
  <si>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</si>
  <si>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</si>
  <si>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</si>
  <si>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</si>
  <si>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</si>
  <si>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</si>
  <si>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</si>
  <si>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</si>
  <si>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</si>
  <si>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</si>
  <si>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</si>
  <si>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</si>
  <si>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</si>
  <si>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</si>
  <si>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</si>
  <si>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</si>
  <si>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</si>
  <si>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</si>
  <si>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</si>
  <si>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</si>
  <si>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</si>
  <si>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</si>
  <si>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</si>
  <si>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</si>
  <si>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</si>
  <si>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</si>
  <si>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</si>
  <si>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</si>
  <si>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</si>
  <si>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</si>
  <si>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</si>
  <si>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</si>
  <si>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</si>
  <si>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</si>
  <si>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</si>
  <si>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</si>
  <si>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</si>
  <si>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</si>
  <si>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</si>
  <si>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</si>
  <si>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</si>
  <si>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</si>
  <si>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</si>
  <si>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</si>
  <si>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</si>
  <si>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</si>
  <si>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</si>
  <si>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</si>
  <si>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</si>
  <si>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</si>
  <si>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</si>
  <si>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</si>
  <si>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</si>
  <si>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</si>
  <si>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</si>
  <si>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</si>
  <si>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</si>
  <si>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</si>
  <si>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</si>
  <si>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</si>
  <si>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</si>
  <si>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</si>
  <si>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</si>
  <si>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</si>
  <si>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</si>
  <si>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</si>
  <si>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</si>
  <si>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</si>
  <si>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</si>
  <si>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</si>
  <si>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</si>
  <si>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</si>
  <si>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</si>
  <si>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</si>
  <si>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</si>
  <si>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</si>
  <si>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</si>
  <si>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</si>
  <si>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</si>
  <si>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</si>
  <si>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</si>
  <si>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</si>
  <si>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</si>
  <si>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</si>
  <si>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</si>
  <si>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</si>
  <si>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</si>
  <si>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</si>
  <si>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</si>
  <si>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</si>
  <si>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</si>
  <si>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</si>
  <si>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</si>
  <si>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</si>
  <si>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</si>
  <si>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</si>
  <si>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</si>
  <si>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</si>
  <si>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</si>
  <si>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</si>
  <si>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</si>
  <si>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</si>
  <si>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</si>
  <si>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</si>
  <si>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</si>
  <si>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</si>
  <si>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</si>
  <si>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</si>
  <si>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</si>
  <si>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</si>
  <si>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</si>
  <si>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</si>
  <si>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</si>
  <si>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</si>
  <si>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</si>
  <si>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</si>
  <si>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</si>
  <si>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</si>
  <si>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</si>
  <si>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</si>
  <si>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</si>
  <si>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</si>
  <si>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</si>
  <si>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</si>
  <si>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</si>
  <si>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</si>
  <si>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</si>
  <si>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</si>
  <si>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</si>
  <si>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</si>
  <si>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</si>
  <si>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</si>
  <si>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</si>
  <si>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</si>
  <si>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</si>
  <si>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</si>
  <si>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</si>
  <si>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</si>
  <si>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</si>
  <si>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</si>
  <si>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</si>
  <si>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</si>
  <si>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</si>
  <si>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</si>
  <si>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</si>
  <si>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</si>
  <si>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</si>
  <si>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</si>
  <si>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</si>
  <si>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</si>
  <si>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</si>
  <si>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</si>
  <si>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</si>
  <si>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</si>
  <si>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</si>
  <si>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</si>
  <si>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</si>
  <si>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</si>
  <si>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</si>
  <si>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</si>
  <si>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</si>
  <si>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</si>
  <si>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</si>
  <si>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</si>
  <si>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</si>
  <si>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</si>
  <si>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</si>
  <si>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</si>
  <si>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</si>
  <si>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</si>
  <si>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</si>
  <si>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</si>
  <si>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</si>
  <si>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</si>
  <si>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</si>
  <si>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</si>
  <si>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</si>
  <si>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</si>
  <si>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</si>
  <si>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</si>
  <si>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</si>
  <si>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</si>
  <si>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</si>
  <si>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</si>
  <si>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</si>
  <si>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</si>
  <si>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</si>
  <si>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</si>
  <si>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</si>
  <si>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</si>
  <si>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</si>
  <si>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</si>
  <si>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</si>
  <si>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</si>
  <si>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</si>
  <si>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</si>
  <si>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</si>
  <si>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</si>
  <si>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</si>
  <si>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</si>
  <si>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</si>
  <si>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</si>
  <si>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</si>
  <si>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</si>
  <si>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</si>
  <si>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</si>
  <si>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</si>
  <si>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</si>
  <si>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</si>
  <si>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</si>
  <si>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</si>
  <si>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</si>
  <si>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</si>
  <si>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</si>
  <si>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</si>
  <si>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</si>
  <si>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</si>
  <si>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</si>
  <si>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</si>
  <si>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</si>
  <si>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</si>
  <si>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</si>
  <si>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</si>
  <si>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</si>
  <si>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</si>
  <si>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</si>
  <si>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</si>
  <si>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</si>
  <si>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</si>
  <si>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</si>
  <si>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</si>
  <si>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</si>
  <si>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</si>
  <si>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</si>
  <si>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</si>
  <si>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</si>
  <si>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</si>
  <si>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</si>
  <si>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</si>
  <si>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</si>
  <si>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</si>
  <si>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</si>
  <si>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</si>
  <si>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</si>
  <si>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</si>
  <si>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</si>
  <si>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</si>
  <si>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</si>
  <si>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</si>
  <si>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</si>
  <si>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</si>
  <si>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</si>
  <si>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</si>
  <si>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</si>
  <si>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</si>
  <si>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</si>
  <si>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</si>
  <si>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</si>
  <si>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</si>
  <si>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</si>
  <si>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</si>
  <si>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</si>
  <si>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</si>
  <si>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</si>
  <si>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</si>
  <si>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</si>
  <si>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</si>
  <si>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</si>
  <si>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</si>
  <si>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</si>
  <si>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</si>
  <si>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</si>
  <si>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</si>
  <si>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</si>
  <si>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</si>
  <si>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</si>
  <si>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</si>
  <si>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</si>
  <si>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</si>
  <si>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</si>
  <si>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</si>
  <si>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</si>
  <si>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</si>
  <si>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</si>
  <si>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</si>
  <si>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</si>
  <si>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</si>
  <si>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</si>
  <si>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</si>
  <si>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</si>
  <si>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</si>
  <si>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</si>
  <si>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</si>
  <si>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</si>
  <si>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</si>
  <si>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</si>
  <si>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</si>
  <si>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</si>
  <si>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</si>
  <si>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</si>
  <si>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</si>
  <si>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</si>
  <si>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</si>
  <si>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</si>
  <si>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</si>
  <si>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</si>
  <si>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</si>
  <si>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</si>
  <si>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</si>
  <si>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</si>
  <si>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</si>
  <si>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</si>
  <si>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</si>
  <si>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</si>
  <si>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</si>
  <si>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</si>
  <si>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</si>
  <si>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</si>
  <si>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</si>
  <si>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</si>
  <si>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</si>
  <si>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</si>
  <si>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</si>
  <si>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</si>
  <si>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</si>
  <si>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</si>
  <si>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</si>
  <si>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</si>
  <si>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</si>
  <si>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</si>
  <si>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</si>
  <si>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</si>
  <si>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</si>
  <si>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</si>
  <si>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</si>
  <si>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</si>
  <si>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</si>
  <si>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</si>
  <si>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</si>
  <si>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</si>
  <si>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</si>
  <si>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</si>
  <si>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</si>
  <si>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</si>
  <si>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</si>
  <si>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</si>
  <si>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</si>
  <si>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</si>
  <si>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</si>
  <si>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</si>
  <si>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</si>
  <si>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</si>
  <si>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</si>
  <si>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</si>
  <si>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</si>
  <si>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</si>
  <si>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</si>
  <si>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</si>
  <si>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</si>
  <si>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</si>
  <si>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</si>
  <si>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</si>
  <si>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</si>
  <si>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</si>
  <si>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</si>
  <si>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</si>
  <si>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</si>
  <si>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</si>
  <si>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</si>
  <si>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</si>
  <si>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</si>
  <si>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</si>
  <si>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</si>
  <si>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</si>
  <si>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</si>
  <si>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</si>
  <si>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</si>
  <si>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</si>
  <si>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</si>
  <si>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</si>
  <si>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</si>
  <si>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</si>
  <si>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</si>
  <si>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</si>
  <si>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</si>
  <si>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</si>
  <si>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</si>
  <si>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</si>
  <si>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</si>
  <si>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</si>
  <si>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</si>
  <si>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</si>
  <si>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</si>
  <si>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</si>
  <si>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</si>
  <si>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</si>
  <si>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</si>
  <si>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</si>
  <si>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</si>
  <si>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</si>
  <si>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</si>
  <si>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</si>
  <si>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</si>
  <si>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</si>
  <si>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</si>
  <si>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</si>
  <si>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</si>
  <si>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</si>
  <si>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</si>
  <si>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</si>
  <si>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</si>
  <si>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</si>
  <si>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</si>
  <si>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</si>
  <si>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</si>
  <si>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</si>
  <si>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</si>
  <si>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</si>
  <si>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</si>
  <si>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</si>
  <si>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</si>
  <si>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</si>
  <si>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</si>
  <si>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</si>
  <si>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</si>
  <si>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</si>
  <si>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</si>
  <si>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</si>
  <si>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</si>
  <si>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</si>
  <si>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</si>
  <si>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</si>
  <si>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</si>
  <si>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</si>
  <si>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</si>
  <si>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</si>
  <si>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</si>
  <si>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</si>
  <si>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</si>
  <si>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</si>
  <si>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</si>
  <si>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</si>
  <si>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</si>
  <si>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</si>
  <si>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</si>
  <si>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</si>
  <si>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</si>
  <si>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</si>
  <si>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</si>
  <si>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</si>
  <si>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</si>
  <si>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</si>
  <si>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</si>
  <si>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</si>
  <si>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</si>
  <si>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</si>
  <si>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</si>
  <si>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</si>
  <si>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</si>
  <si>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</si>
  <si>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</si>
  <si>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</si>
  <si>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</si>
  <si>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</si>
  <si>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</si>
  <si>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</si>
  <si>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</si>
  <si>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</si>
  <si>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</si>
  <si>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</si>
  <si>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</si>
  <si>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</si>
  <si>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</si>
  <si>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</si>
  <si>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</si>
  <si>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</si>
  <si>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</si>
  <si>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</si>
  <si>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</si>
  <si>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</si>
  <si>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</si>
  <si>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</si>
  <si>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</si>
  <si>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</si>
  <si>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</si>
  <si>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</si>
  <si>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</si>
  <si>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</si>
  <si>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</si>
  <si>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</si>
  <si>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</si>
  <si>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</si>
  <si>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</si>
  <si>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</si>
  <si>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</si>
  <si>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</si>
  <si>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</si>
  <si>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</si>
  <si>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</si>
  <si>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</si>
  <si>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</si>
  <si>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</si>
  <si>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</si>
  <si>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</si>
  <si>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</si>
  <si>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</si>
  <si>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</si>
  <si>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</si>
  <si>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</si>
  <si>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</si>
  <si>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</si>
  <si>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</si>
  <si>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</si>
  <si>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</si>
  <si>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</si>
  <si>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</si>
  <si>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</si>
  <si>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</si>
  <si>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</si>
  <si>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</si>
  <si>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</si>
  <si>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</si>
  <si>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</si>
  <si>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</si>
  <si>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</si>
  <si>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</si>
  <si>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</si>
  <si>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</si>
  <si>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</si>
  <si>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</si>
  <si>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</si>
  <si>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</si>
  <si>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</si>
  <si>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</si>
  <si>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</si>
  <si>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</si>
  <si>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</si>
  <si>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</si>
  <si>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</si>
  <si>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</si>
  <si>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</si>
  <si>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</si>
  <si>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</si>
  <si>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</si>
  <si>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</si>
  <si>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</si>
  <si>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</si>
  <si>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</si>
  <si>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</si>
  <si>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</si>
  <si>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</si>
  <si>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</si>
  <si>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</si>
  <si>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</si>
  <si>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</si>
  <si>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</si>
  <si>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</si>
  <si>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</si>
  <si>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</si>
  <si>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</si>
  <si>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</si>
  <si>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</si>
  <si>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</si>
  <si>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</si>
  <si>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</si>
  <si>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</si>
  <si>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</si>
  <si>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</si>
  <si>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</si>
  <si>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</si>
  <si>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</si>
  <si>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</si>
  <si>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</si>
  <si>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</si>
  <si>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</si>
  <si>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</si>
  <si>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</si>
  <si>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</si>
  <si>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</si>
  <si>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</si>
  <si>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</si>
  <si>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</si>
  <si>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</si>
  <si>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</si>
  <si>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</si>
  <si>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</si>
  <si>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</si>
  <si>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</si>
  <si>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</si>
  <si>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</si>
  <si>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</si>
  <si>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</si>
  <si>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</si>
  <si>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</si>
  <si>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</si>
  <si>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</si>
  <si>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</si>
  <si>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</si>
  <si>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</si>
  <si>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</si>
  <si>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</si>
  <si>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</si>
  <si>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</si>
  <si>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</si>
  <si>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</si>
  <si>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</si>
  <si>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</si>
  <si>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</si>
  <si>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</si>
  <si>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</si>
  <si>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</si>
  <si>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</si>
  <si>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</si>
  <si>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</si>
  <si>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</si>
  <si>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</si>
  <si>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</si>
  <si>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</si>
  <si>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</si>
  <si>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</si>
  <si>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</si>
  <si>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</si>
  <si>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</si>
  <si>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</si>
  <si>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</si>
  <si>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</si>
  <si>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</si>
  <si>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</si>
  <si>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</si>
  <si>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</si>
  <si>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</si>
  <si>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</si>
  <si>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</si>
  <si>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</si>
  <si>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</si>
  <si>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</si>
  <si>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</si>
  <si>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</si>
  <si>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</si>
  <si>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</si>
  <si>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</si>
  <si>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</si>
  <si>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</si>
  <si>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</si>
  <si>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</si>
  <si>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</si>
  <si>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</si>
  <si>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</si>
  <si>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</si>
  <si>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</si>
  <si>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</si>
  <si>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</si>
  <si>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</si>
  <si>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</si>
  <si>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</si>
  <si>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</si>
  <si>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</si>
  <si>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</si>
  <si>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</si>
  <si>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</si>
  <si>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</si>
  <si>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</si>
  <si>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</si>
  <si>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</si>
  <si>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</si>
  <si>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</si>
  <si>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</si>
  <si>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</si>
  <si>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</si>
  <si>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</si>
  <si>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</si>
  <si>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</si>
  <si>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</si>
  <si>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</si>
  <si>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</si>
  <si>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</si>
  <si>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</si>
  <si>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</si>
  <si>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</si>
  <si>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</si>
  <si>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</si>
  <si>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</si>
  <si>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</si>
  <si>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</si>
  <si>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</si>
  <si>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</si>
  <si>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</si>
  <si>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</si>
  <si>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</si>
  <si>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</si>
  <si>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</si>
  <si>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</si>
  <si>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</si>
  <si>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</si>
  <si>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</si>
  <si>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</si>
  <si>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</si>
  <si>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</si>
  <si>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</si>
  <si>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</si>
  <si>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</si>
  <si>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</si>
  <si>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</si>
  <si>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</si>
  <si>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</si>
  <si>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</si>
  <si>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</si>
  <si>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</si>
  <si>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</si>
  <si>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</si>
  <si>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</si>
  <si>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</si>
  <si>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</si>
  <si>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</si>
  <si>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</si>
  <si>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</si>
  <si>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</si>
  <si>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</si>
  <si>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</si>
  <si>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</si>
  <si>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</si>
  <si>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</si>
  <si>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</si>
  <si>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</si>
  <si>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</si>
  <si>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</si>
  <si>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</si>
  <si>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</si>
  <si>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</si>
  <si>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</si>
  <si>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</si>
  <si>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</si>
  <si>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</si>
  <si>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</si>
  <si>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</si>
  <si>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</si>
  <si>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</si>
  <si>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</si>
  <si>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</si>
  <si>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</si>
  <si>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</si>
  <si>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</si>
  <si>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</si>
  <si>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</si>
  <si>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</si>
  <si>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</si>
  <si>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</si>
  <si>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</si>
  <si>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</si>
  <si>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</si>
  <si>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</si>
  <si>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</si>
  <si>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</si>
  <si>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</si>
  <si>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</si>
  <si>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</si>
  <si>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</si>
  <si>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</si>
  <si>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</si>
  <si>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</si>
  <si>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</si>
  <si>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</si>
  <si>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</si>
  <si>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</si>
  <si>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</si>
  <si>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</si>
  <si>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</si>
  <si>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</si>
  <si>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</si>
  <si>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</si>
  <si>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</si>
  <si>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</si>
  <si>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</si>
  <si>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</si>
  <si>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</si>
  <si>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</si>
  <si>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</si>
  <si>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</si>
  <si>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</si>
  <si>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</si>
  <si>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</si>
  <si>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</si>
  <si>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</si>
  <si>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</si>
  <si>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</si>
  <si>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</si>
  <si>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</si>
  <si>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</si>
  <si>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</si>
  <si>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</si>
  <si>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</si>
  <si>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</si>
  <si>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</si>
  <si>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</si>
  <si>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</si>
  <si>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</si>
  <si>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</si>
  <si>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</si>
  <si>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</si>
  <si>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</si>
  <si>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</si>
  <si>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</si>
  <si>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</si>
  <si>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</si>
  <si>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</si>
  <si>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</si>
  <si>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</si>
  <si>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</si>
  <si>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</si>
  <si>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</si>
  <si>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</si>
  <si>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</si>
  <si>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</si>
  <si>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</si>
  <si>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</si>
  <si>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</si>
  <si>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</si>
  <si>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</si>
  <si>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</si>
  <si>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</si>
  <si>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</si>
  <si>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</si>
  <si>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</si>
  <si>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</si>
  <si>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</si>
  <si>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</si>
  <si>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</si>
  <si>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</si>
  <si>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</si>
  <si>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</si>
  <si>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</si>
  <si>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</si>
  <si>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</si>
  <si>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</si>
  <si>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</si>
  <si>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</si>
  <si>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</si>
  <si>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</si>
  <si>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</si>
  <si>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</si>
  <si>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</si>
  <si>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</si>
  <si>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</si>
  <si>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</si>
  <si>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</si>
  <si>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</si>
  <si>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</si>
  <si>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</si>
  <si>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</si>
  <si>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</si>
  <si>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</si>
  <si>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</si>
  <si>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</si>
  <si>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</si>
  <si>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</si>
  <si>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</si>
  <si>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</si>
  <si>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</si>
  <si>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</si>
  <si>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</si>
  <si>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</si>
  <si>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</si>
  <si>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</si>
  <si>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</si>
  <si>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</si>
  <si>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</si>
  <si>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</si>
  <si>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</si>
  <si>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</si>
  <si>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</si>
  <si>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</si>
  <si>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</si>
  <si>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</si>
  <si>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</si>
  <si>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</si>
  <si>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</si>
  <si>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</si>
  <si>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</si>
  <si>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</si>
  <si>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</si>
  <si>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</si>
  <si>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</si>
  <si>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</si>
  <si>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</si>
  <si>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</si>
  <si>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</si>
  <si>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</si>
  <si>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</si>
  <si>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</si>
  <si>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</si>
  <si>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</si>
  <si>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</si>
  <si>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</si>
  <si>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</si>
  <si>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</si>
  <si>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</si>
  <si>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</si>
  <si>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</si>
  <si>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</si>
  <si>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</si>
  <si>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</si>
  <si>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</si>
  <si>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</si>
  <si>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</si>
  <si>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</si>
  <si>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</si>
  <si>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</si>
  <si>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</si>
  <si>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</si>
  <si>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</si>
  <si>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</si>
  <si>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</si>
  <si>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</si>
  <si>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</si>
  <si>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</si>
  <si>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</si>
  <si>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</si>
  <si>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</si>
  <si>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</si>
  <si>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</si>
  <si>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</si>
  <si>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</si>
  <si>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</si>
  <si>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</si>
  <si>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</si>
  <si>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</si>
  <si>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</si>
  <si>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</si>
  <si>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</si>
  <si>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</si>
  <si>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</si>
  <si>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</si>
  <si>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</si>
  <si>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</si>
  <si>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</si>
  <si>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</si>
  <si>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</si>
  <si>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</si>
  <si>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</si>
  <si>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</si>
  <si>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</si>
  <si>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</si>
  <si>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</si>
  <si>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</si>
  <si>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</si>
  <si>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</si>
  <si>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</si>
  <si>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</si>
  <si>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</si>
  <si>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</si>
  <si>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</si>
  <si>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</si>
  <si>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</si>
  <si>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</si>
  <si>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</si>
  <si>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</si>
  <si>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</si>
  <si>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</si>
  <si>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</si>
  <si>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</si>
  <si>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</si>
  <si>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</si>
  <si>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</si>
  <si>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</si>
  <si>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</si>
  <si>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</si>
  <si>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</si>
  <si>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</si>
  <si>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</si>
  <si>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</si>
  <si>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</si>
  <si>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</si>
  <si>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</si>
  <si>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</si>
  <si>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</si>
  <si>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</si>
  <si>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</si>
  <si>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</si>
  <si>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</si>
  <si>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</si>
  <si>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</si>
  <si>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</si>
  <si>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</si>
  <si>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</si>
  <si>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</si>
  <si>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</si>
  <si>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</si>
  <si>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</si>
  <si>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</si>
  <si>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</si>
  <si>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</si>
  <si>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</si>
  <si>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</si>
  <si>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</si>
  <si>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</si>
  <si>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</si>
  <si>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</si>
  <si>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</si>
  <si>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</si>
  <si>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</si>
  <si>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</si>
  <si>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</si>
  <si>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</si>
  <si>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</si>
  <si>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</si>
  <si>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</si>
  <si>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</si>
  <si>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</si>
  <si>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</si>
  <si>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</si>
  <si>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</si>
  <si>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</si>
  <si>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</si>
  <si>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</si>
  <si>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</si>
  <si>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</si>
  <si>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</si>
  <si>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</si>
  <si>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</si>
  <si>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</si>
  <si>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</si>
  <si>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</si>
  <si>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</si>
  <si>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</si>
  <si>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</si>
  <si>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</si>
  <si>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</si>
  <si>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</si>
  <si>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</si>
  <si>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</si>
  <si>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</si>
  <si>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</si>
  <si>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</si>
  <si>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</si>
  <si>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</si>
  <si>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</si>
  <si>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</si>
  <si>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</si>
  <si>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</si>
  <si>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</si>
  <si>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</si>
  <si>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</si>
  <si>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</si>
  <si>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</si>
  <si>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</si>
  <si>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</si>
  <si>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</si>
  <si>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</si>
  <si>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</si>
  <si>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</si>
  <si>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</si>
  <si>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</si>
  <si>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</si>
  <si>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</si>
  <si>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</si>
  <si>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</si>
  <si>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</si>
  <si>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</si>
  <si>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</si>
  <si>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</si>
  <si>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</si>
  <si>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</si>
  <si>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</si>
  <si>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</si>
  <si>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</si>
  <si>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</si>
  <si>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</si>
  <si>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</si>
  <si>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</si>
  <si>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</si>
  <si>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</si>
  <si>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</si>
  <si>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</si>
  <si>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</si>
  <si>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</si>
  <si>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</si>
  <si>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</si>
  <si>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</si>
  <si>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</si>
  <si>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</si>
  <si>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</si>
  <si>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</si>
  <si>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</si>
  <si>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</si>
  <si>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</si>
  <si>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</si>
  <si>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</si>
  <si>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</si>
  <si>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</si>
  <si>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</si>
  <si>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</si>
  <si>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</si>
  <si>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</si>
  <si>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</si>
  <si>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</si>
  <si>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</si>
  <si>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</si>
  <si>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</si>
  <si>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</si>
  <si>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</si>
  <si>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</si>
  <si>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</si>
  <si>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</si>
  <si>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</si>
  <si>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</si>
  <si>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</si>
  <si>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</si>
  <si>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</si>
  <si>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</si>
  <si>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</si>
  <si>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</si>
  <si>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</si>
  <si>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</si>
  <si>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</si>
  <si>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</si>
  <si>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</si>
  <si>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</si>
  <si>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</si>
  <si>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</si>
  <si>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</si>
  <si>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</si>
  <si>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</si>
  <si>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</si>
  <si>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</si>
  <si>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</si>
  <si>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</si>
  <si>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</si>
  <si>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</si>
  <si>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</si>
  <si>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</si>
  <si>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</si>
  <si>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</si>
  <si>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</si>
  <si>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</si>
  <si>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</si>
  <si>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</si>
  <si>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</si>
  <si>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</si>
  <si>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</si>
  <si>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</si>
  <si>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</si>
  <si>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</si>
  <si>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</si>
  <si>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</si>
  <si>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</si>
  <si>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</si>
  <si>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</si>
  <si>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</si>
  <si>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</si>
  <si>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</si>
  <si>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</si>
  <si>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</si>
  <si>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</si>
  <si>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</si>
  <si>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</si>
  <si>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</si>
  <si>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</si>
  <si>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</si>
  <si>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</si>
  <si>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</si>
  <si>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</si>
  <si>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</si>
  <si>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</si>
  <si>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</si>
  <si>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</si>
  <si>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</si>
  <si>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</si>
  <si>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</si>
  <si>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</si>
  <si>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</si>
  <si>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</si>
  <si>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</si>
  <si>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</si>
  <si>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</si>
  <si>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</si>
  <si>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</si>
  <si>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</si>
  <si>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</si>
  <si>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</si>
  <si>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</si>
  <si>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</si>
  <si>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</si>
  <si>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</si>
  <si>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</si>
  <si>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</si>
  <si>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</si>
  <si>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</si>
  <si>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</si>
  <si>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</si>
  <si>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</si>
  <si>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</si>
  <si>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</si>
  <si>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</si>
  <si>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</si>
  <si>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</si>
  <si>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</si>
  <si>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</si>
  <si>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</si>
  <si>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</si>
  <si>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</si>
  <si>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</si>
  <si>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</si>
  <si>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</si>
  <si>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</si>
  <si>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</si>
  <si>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</si>
  <si>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</si>
  <si>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</si>
  <si>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</si>
  <si>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</si>
  <si>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</si>
  <si>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</si>
  <si>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</si>
  <si>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</si>
  <si>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</si>
  <si>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</si>
  <si>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</si>
  <si>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</si>
  <si>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</si>
  <si>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</si>
  <si>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</si>
  <si>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</si>
  <si>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</si>
  <si>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</si>
  <si>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</si>
  <si>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</si>
  <si>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</si>
  <si>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</si>
  <si>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</si>
  <si>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</si>
  <si>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</si>
  <si>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</si>
  <si>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</si>
  <si>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</si>
  <si>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</si>
  <si>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</si>
  <si>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</si>
  <si>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</si>
  <si>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</si>
  <si>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</si>
  <si>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</si>
  <si>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</si>
  <si>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</si>
  <si>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</si>
  <si>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</si>
  <si>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</si>
  <si>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</si>
  <si>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</si>
  <si>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</si>
  <si>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</si>
  <si>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</si>
  <si>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</si>
  <si>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</si>
  <si>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</si>
  <si>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</si>
  <si>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</si>
  <si>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</si>
  <si>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</si>
  <si>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</si>
  <si>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</si>
  <si>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</si>
  <si>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</si>
  <si>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</si>
  <si>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</si>
  <si>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</si>
  <si>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</si>
  <si>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</si>
  <si>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</si>
  <si>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</si>
  <si>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</si>
  <si>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</si>
  <si>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</si>
  <si>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</si>
  <si>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</si>
  <si>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</si>
  <si>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</si>
  <si>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</si>
  <si>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</si>
  <si>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</si>
  <si>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</si>
  <si>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</si>
  <si>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</si>
  <si>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</si>
  <si>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</si>
  <si>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</si>
  <si>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</si>
  <si>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</si>
  <si>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</si>
  <si>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</si>
  <si>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</si>
  <si>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</si>
  <si>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</si>
  <si>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</si>
  <si>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</si>
  <si>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</si>
  <si>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</si>
  <si>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</si>
  <si>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</si>
  <si>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</si>
  <si>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</si>
  <si>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</si>
  <si>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</si>
  <si>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</si>
  <si>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</si>
  <si>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</si>
  <si>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</si>
  <si>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</si>
  <si>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</si>
  <si>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</si>
  <si>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</si>
  <si>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</si>
  <si>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</si>
  <si>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</si>
  <si>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</si>
  <si>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</si>
  <si>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</si>
  <si>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</si>
  <si>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</si>
  <si>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</si>
  <si>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</si>
  <si>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</si>
  <si>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</si>
  <si>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</si>
  <si>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</si>
  <si>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</si>
  <si>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</si>
  <si>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</si>
  <si>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</si>
  <si>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</si>
  <si>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</si>
  <si>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</si>
  <si>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</si>
  <si>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</si>
  <si>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</si>
  <si>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</si>
  <si>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</si>
  <si>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</si>
  <si>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</si>
  <si>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</si>
  <si>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</si>
  <si>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</si>
  <si>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</si>
  <si>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</si>
  <si>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</si>
  <si>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</si>
  <si>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</si>
  <si>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</si>
  <si>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</si>
  <si>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</si>
  <si>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</si>
  <si>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</si>
  <si>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</si>
  <si>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</si>
  <si>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</si>
  <si>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</si>
  <si>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</si>
  <si>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</si>
  <si>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</si>
  <si>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</si>
  <si>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</si>
  <si>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</si>
  <si>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</si>
  <si>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</si>
  <si>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</si>
  <si>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</si>
  <si>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</si>
  <si>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</si>
  <si>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</si>
  <si>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</si>
  <si>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</si>
  <si>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</si>
  <si>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</si>
  <si>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</si>
  <si>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</si>
  <si>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</si>
  <si>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</si>
  <si>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</si>
  <si>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</si>
  <si>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</si>
  <si>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</si>
  <si>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</si>
  <si>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</si>
  <si>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</si>
  <si>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</si>
  <si>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</si>
  <si>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</si>
  <si>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</si>
  <si>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</si>
  <si>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</si>
  <si>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</si>
  <si>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</si>
  <si>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</si>
  <si>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</si>
  <si>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</si>
  <si>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</si>
  <si>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</si>
  <si>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</si>
  <si>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</si>
  <si>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</si>
  <si>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</si>
  <si>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</si>
  <si>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</si>
  <si>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</si>
  <si>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</si>
  <si>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</si>
  <si>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</si>
  <si>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</si>
  <si>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</si>
  <si>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</si>
  <si>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</si>
  <si>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</si>
  <si>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</si>
  <si>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</si>
  <si>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</si>
  <si>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</si>
  <si>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</si>
  <si>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</si>
  <si>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</si>
  <si>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</si>
  <si>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</si>
  <si>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</si>
  <si>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</si>
  <si>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</si>
  <si>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</si>
  <si>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</si>
  <si>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</si>
  <si>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</si>
  <si>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</si>
  <si>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</si>
  <si>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</si>
  <si>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</si>
  <si>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</si>
  <si>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</si>
  <si>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</si>
  <si>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</si>
  <si>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</si>
  <si>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</si>
  <si>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</si>
  <si>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</si>
  <si>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</si>
  <si>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</si>
  <si>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</si>
  <si>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</si>
  <si>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</si>
  <si>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</si>
  <si>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</si>
  <si>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</si>
  <si>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</si>
  <si>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</si>
  <si>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</si>
  <si>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</si>
  <si>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</si>
  <si>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</si>
  <si>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</si>
  <si>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</si>
  <si>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</si>
  <si>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</si>
  <si>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</si>
  <si>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</si>
  <si>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</si>
  <si>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</si>
  <si>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</si>
  <si>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</si>
  <si>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</si>
  <si>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</si>
  <si>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</si>
  <si>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</si>
  <si>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</si>
  <si>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</si>
  <si>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</si>
  <si>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</si>
  <si>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</si>
  <si>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Mitchell F. Davenport</t>
  </si>
  <si>
    <t>3280 Dauphin Street, Suite C-104</t>
  </si>
  <si>
    <t>Mobile</t>
  </si>
  <si>
    <t>mdavenport@clementdev.com</t>
  </si>
  <si>
    <t>Hall Group, LLC</t>
  </si>
  <si>
    <t>Gary Hall</t>
  </si>
  <si>
    <t>2967 Ross Clark Circle</t>
  </si>
  <si>
    <t>Dothan</t>
  </si>
  <si>
    <t>ghall@hallhousing.net</t>
  </si>
  <si>
    <t>Clement &amp; Company, LLC</t>
  </si>
  <si>
    <t>3280 Dauphin Street  Suite C-104</t>
  </si>
  <si>
    <t>Vice President</t>
  </si>
  <si>
    <t>Pointe Wiregrass, Inc.</t>
  </si>
  <si>
    <t>President</t>
  </si>
  <si>
    <t>Hall Housing Investments, Inc.</t>
  </si>
  <si>
    <t>Coleman Talley, LLP</t>
  </si>
  <si>
    <t>Clay Powell</t>
  </si>
  <si>
    <t>910 N. Patterson St</t>
  </si>
  <si>
    <t>Partner</t>
  </si>
  <si>
    <t>clay.powell@colementalley.com</t>
  </si>
  <si>
    <t>Jackson Thornton</t>
  </si>
  <si>
    <t>John Robin Short</t>
  </si>
  <si>
    <t>304 Jamestown Blvd</t>
  </si>
  <si>
    <t>robin.short@jacksonthornton.com</t>
  </si>
  <si>
    <t>McKean &amp; Associates, Architects, LLC</t>
  </si>
  <si>
    <t>Rory McKean</t>
  </si>
  <si>
    <t>2815 Zelda Road</t>
  </si>
  <si>
    <t>Managing Member</t>
  </si>
  <si>
    <t>rmckean@mckeanarch.com</t>
  </si>
  <si>
    <t>No</t>
  </si>
  <si>
    <t>Yes</t>
  </si>
  <si>
    <t>For Profit</t>
  </si>
  <si>
    <t>DCA Utility Allowance- Southern Region</t>
  </si>
  <si>
    <t>Electric Heat Pump</t>
  </si>
  <si>
    <t>The Groves Place</t>
  </si>
  <si>
    <t>Rainwater Drive</t>
  </si>
  <si>
    <t>Yes- w/Master Plan</t>
  </si>
  <si>
    <t>Tift County</t>
  </si>
  <si>
    <t>Grady Thompson</t>
  </si>
  <si>
    <t>Chairman</t>
  </si>
  <si>
    <t>P.O. Box 826</t>
  </si>
  <si>
    <t>HFOP</t>
  </si>
  <si>
    <t>Tallokas Pointe Apartments</t>
  </si>
  <si>
    <t>Mitchell Davenport</t>
  </si>
  <si>
    <t>The Groves Place, LP</t>
  </si>
  <si>
    <t>Managing Member of GP</t>
  </si>
  <si>
    <t>AL-2</t>
  </si>
  <si>
    <t>The Groves Place GP, LLC</t>
  </si>
  <si>
    <t>PA12-31</t>
  </si>
  <si>
    <t>Amortizing</t>
  </si>
  <si>
    <t>State Boost</t>
  </si>
  <si>
    <t>Physical Needs Assessment</t>
  </si>
  <si>
    <t>3+ Story</t>
  </si>
  <si>
    <t>Agree</t>
  </si>
  <si>
    <t>Woods Research</t>
  </si>
  <si>
    <t>Andy Sheppard</t>
  </si>
  <si>
    <t>Geotechnical and Environmental Consultants</t>
  </si>
  <si>
    <t>Contract/Option</t>
  </si>
  <si>
    <t>Georgia Power</t>
  </si>
  <si>
    <t>Tifton-Tift County Utilities Department</t>
  </si>
  <si>
    <t>Gazebo</t>
  </si>
  <si>
    <t>On-site laundry</t>
  </si>
  <si>
    <t>Covered Pavilion with picnic /barbeque facilities</t>
  </si>
  <si>
    <t>Qualified without Conditions</t>
  </si>
  <si>
    <t>Non-minority</t>
  </si>
  <si>
    <t>The Groves Place will not use HUD funds</t>
  </si>
  <si>
    <t>Single Family Residence</t>
  </si>
  <si>
    <t>Earth Craft House Multifamily</t>
  </si>
  <si>
    <t>Stable Communities &lt; 10%</t>
  </si>
  <si>
    <t>Pass</t>
  </si>
  <si>
    <t>There have been no DCA tax credit projects funded in the Tifton/Tift County market area in years 2009-2011.</t>
  </si>
  <si>
    <t xml:space="preserve">The Groves Place is a 56 unit apartment community designed for seniors age 55 and over. The property will consist of 14- one bedroom units and 42-two bedroom units. Ten units, or 18%, will serve residents at the 50% income level.  The project will incorporate several DCA initiatives to include stable communities, Earthcraft green building, adaptive reuse and phased projects. 
The site is located in census tract  9903 which is listed as upper income and has a poverty rate less than 10%.  This area is a growth corridor for Tift County and provides easy access to goods, services and recreation.  A new Fire Station is opening just .3 miles from the site to accomodate this new growth.  The TiftArea YMCA is adjacent to the site and offers numerous programs that woulld benefit the resident base and the Univeristy of Georgia - Tifton campus is due East of the site along Rainwater Road. The campus offers numerous resources and a library with a "resident card" program for area residents to take advantage of it's vast colletion of books.  Affinity Clinic, an emergency care clinic is located within two miles and the regional hospital is within three miles making emergency services and physicians offices readily avialable with easy access.  
The Groves Place will incorporate an adaptive reuse of an old house that will be converted into a community center for the residents.  The brick house, once renovated, will add charm and character to the property and serve as a great meeting area for residents.  In conjuntcion with the reuse of an existing building the project will meet Earthcraft Multifamily standards for green building.  While energy efficiency has a long term benefit for the residents, sustainability is an important component.  Pre-fabricated wall panels will be used during contruction to minimize construction waste and a recycling program will be implemented to minimize the impact on landfills.  
The Groves Place is a second phase of The Groves apartment community.  The Groves was developed in 2004 and the property for this phase was purchased in anticipation of a second phase.  While this does not meet the requirement for points, it does meet the spirit and intent of the initiative.  </t>
  </si>
  <si>
    <t>&lt; 65</t>
  </si>
  <si>
    <t>There are no contibuting factors associated with the site.</t>
  </si>
  <si>
    <t>None</t>
  </si>
  <si>
    <t>Real Estate taxes were calculated using an assumed tax value of $45,000 per unit X 56 units X 40% X .027709 (local mill rate)  Insurance was calculated using the construction contract amount of $4,724,160 X .0038 (average rate across portfolio)</t>
  </si>
  <si>
    <t>Hall Group, LLC/ Clement &amp; Company, LLC</t>
  </si>
  <si>
    <t>Water and Sewer will be individually metered.</t>
  </si>
  <si>
    <t>Identity of Interest Statement: Gary Hall serves as Sole Shareholder of Hall Housing Investments, Inc. the property manager and member of the General Parter, Sole Shareholder of Pointe Wiregrass, Inc. the General Contractor and Sole Member of Hall Group, LLC a co-developer.  Mitchell Davenport serves as Sole Member of Clement &amp; Company, LLC a co-developer and Sole Member of Clement GP Holdings, LLC a member of the GP</t>
  </si>
  <si>
    <t>NONE</t>
  </si>
  <si>
    <t>9604, 9601, 9607, 9606</t>
  </si>
  <si>
    <t>Ray Engineering</t>
  </si>
  <si>
    <t>The Groves Place received a Resolution of Support from the Tift County Commission. The resolution and letter are included behind TAB 13</t>
  </si>
  <si>
    <t>19.65%</t>
  </si>
  <si>
    <t>5 to 6 months</t>
  </si>
  <si>
    <t>The PNA was prepared for an Adaptive Reuse to convert a single family residence into a multi-purpose building. There is no residential rehab. Per Q&amp;A #6 it is located behind TAB 21</t>
  </si>
  <si>
    <t>Not applicable</t>
  </si>
  <si>
    <t>A Single Family Residence will be adapted and reused as a community building. No one has occupied the house in over 5 years. The PNA is located behind TAB 21</t>
  </si>
  <si>
    <t>The Rural points have been designated to Tallokas Pointe Apartments.</t>
  </si>
  <si>
    <t>Gardner Capital, Inc.</t>
  </si>
  <si>
    <t>Mark E. Gardner</t>
  </si>
  <si>
    <t>1414 E. Primrose St. Suite 100</t>
  </si>
  <si>
    <t>Regions Bank</t>
  </si>
  <si>
    <t>Sarah McKenzie</t>
  </si>
  <si>
    <t>300 Tallan Building, 2 Union Square</t>
  </si>
  <si>
    <t>Groves Place received a Qualified w/o Conditions Experience Determination at pre-application.</t>
  </si>
  <si>
    <t>Construction Hard Costs were derived by analyzing a combination of previously completed projects and pricing received on projects currently under construction. Please see information provided behind TAB 8.
Construction Interest was calculated using the following: (Const. Loan Amt X 60%) X (Interest Rate/12) X Construction Period in Months  ((5,781,992 X 60%) X (5.00%/12)) X 24 months =346,920
Water Tap Fees were calculated at $820 per tap for 56 units plus 1 tap for the clubhouse and 2 larger taps for Fire Protection.
Sewer Tap Fees were calculated at $425 per unit plus the clubhouse
Regions Bank is proposing to use a Bridge Loan during construction.  The fee percentage and interest rate for the First Mortgage Loan and Bridge Loan are identical.  The combined amounts are included in the construction loan fee and construction interest.</t>
  </si>
  <si>
    <t>Two basic ongoing services will be provided for the elderly residents at The Groves Place.</t>
  </si>
  <si>
    <t>Because there is an identity of interest b/w the seller and the project on one of the parcels an appraisal was provided to determine the Fair Market Value of the land.</t>
  </si>
  <si>
    <t>No impervious surfaces will be placed within 100' of the wetland area.</t>
  </si>
  <si>
    <t>There are 3 sellers Gary Hall, Tiftarea YMCA &amp; the Julie M. Hunt Marital Trust. The Purchase Contracts have been assigned to The Groves Place, LP</t>
  </si>
  <si>
    <t xml:space="preserve">The site is accessed from Rainwater Road. The site has 379 feet of frontage on Rainwater Road. </t>
  </si>
  <si>
    <t>Water and Sewer availability are documented in one (1) letter from the Tifton-Tift County Util Dept in TAB 12. Gas is avialable but will not be used.</t>
  </si>
  <si>
    <t>The Groves Place Plans to do an Adaptive Reuse to convert a single-family residence into a multi-purpose building for resident use in addition to the Community Building attached to the resdiential buildng.</t>
  </si>
  <si>
    <t>The Qualification Determination is included in TAB 3.  A complete performance workbook is included to add some missing vacancy information and to correct the Organizational Chart.</t>
  </si>
  <si>
    <t>There will be no relocation or displacement of tenants. There is a statement as such behind TAB 21</t>
  </si>
  <si>
    <t>The Groves Place has 10 units at the 50% level which exceeds 15%.</t>
  </si>
  <si>
    <t>There are no undesirable site characteristics within the distances outlined in the QAP.</t>
  </si>
  <si>
    <t>N/A  There is no regularly scheduled transportation in Tift County. The Tift Lift is an on-call service available to residents.</t>
  </si>
  <si>
    <t>The development will meet Earthcraft Multifamily building certification. A score sheet reflecting over 100 points is included in TAB 24</t>
  </si>
  <si>
    <t>FFIEC information documenting less than 10% poverty is located in TAB 25</t>
  </si>
  <si>
    <t>The first phase of The Groves was developed over 3 years ago. However, The Groves Place meets the spirit of the DCA phasing allowance.</t>
  </si>
  <si>
    <t>The market study by Woods Research indicates a strong occupancy and a rapid lease up.</t>
  </si>
  <si>
    <t>Owner agrees to forego the cancellation option for at least 5 years after the close of the Compliance Period.</t>
  </si>
  <si>
    <t>Owner agrees to accept rental assistance as stated in A. Integrated Supportive Housing, above.</t>
  </si>
  <si>
    <t>The Groves Place received a Qualified w/o Conditions determination at pre-application.</t>
  </si>
  <si>
    <t>The Groves Place incorporates several DCA initiatives such as Adaptive Reuse, Green Building and Stable Neighborhoods.</t>
  </si>
  <si>
    <t>2012-029</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</si>
</sst>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quotePrefix="1"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2012-029, The Groves Place, Tift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4006</v>
      </c>
      <c r="I8" s="1235"/>
    </row>
    <row r="9" spans="1:9" s="40" customFormat="1" ht="12.6" customHeight="1" thickBot="1">
      <c r="A9" s="101"/>
      <c r="B9" s="789"/>
      <c r="C9" s="390"/>
      <c r="D9" s="390"/>
      <c r="E9" s="391" t="s">
        <v>3942</v>
      </c>
      <c r="F9" s="391"/>
      <c r="G9" s="1234" t="s">
        <v>4006</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4006</v>
      </c>
    </row>
    <row r="12" spans="1:9" s="40" customFormat="1" ht="12.6" customHeight="1">
      <c r="A12" s="386"/>
      <c r="B12" s="1237"/>
      <c r="C12" s="1237"/>
      <c r="D12" s="1237"/>
      <c r="E12" s="1236" t="s">
        <v>3943</v>
      </c>
      <c r="F12" s="395"/>
      <c r="G12" s="1234" t="s">
        <v>4006</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4006</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4006</v>
      </c>
    </row>
    <row r="17" spans="1:7" s="40" customFormat="1" ht="12" customHeight="1">
      <c r="A17" s="101"/>
      <c r="B17" s="239"/>
      <c r="C17" s="789"/>
      <c r="D17" s="391"/>
      <c r="E17" s="391" t="s">
        <v>3930</v>
      </c>
      <c r="F17" s="391"/>
      <c r="G17" s="1234" t="s">
        <v>4006</v>
      </c>
    </row>
    <row r="18" spans="1:7" s="40" customFormat="1" ht="12" customHeight="1">
      <c r="A18" s="101"/>
      <c r="B18" s="239"/>
      <c r="C18" s="789"/>
      <c r="D18" s="391"/>
      <c r="E18" s="391" t="s">
        <v>3969</v>
      </c>
      <c r="F18" s="391"/>
      <c r="G18" s="1234" t="s">
        <v>4006</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4006</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65" t="s">
        <v>3697</v>
      </c>
      <c r="F38" s="866"/>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65" t="s">
        <v>3698</v>
      </c>
      <c r="F47" s="866"/>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4006</v>
      </c>
    </row>
    <row r="50" spans="1:7" s="40" customFormat="1" ht="13.5">
      <c r="A50" s="386"/>
      <c r="B50" s="406"/>
      <c r="C50" s="1245" t="s">
        <v>3931</v>
      </c>
      <c r="D50" s="391"/>
      <c r="E50" s="865" t="s">
        <v>3968</v>
      </c>
      <c r="F50" s="866"/>
      <c r="G50" s="1234" t="s">
        <v>4006</v>
      </c>
    </row>
    <row r="51" spans="1:7" s="40" customFormat="1" ht="12" customHeight="1">
      <c r="A51" s="101"/>
      <c r="B51" s="239"/>
      <c r="C51" s="789"/>
      <c r="D51" s="391"/>
      <c r="E51" s="391" t="s">
        <v>3260</v>
      </c>
      <c r="F51" s="391"/>
      <c r="G51" s="1234" t="s">
        <v>4006</v>
      </c>
    </row>
    <row r="52" spans="1:7" s="40" customFormat="1" ht="12" customHeight="1">
      <c r="A52" s="101"/>
      <c r="B52" s="239"/>
      <c r="C52" s="789"/>
      <c r="D52" s="391"/>
      <c r="E52" s="391" t="s">
        <v>3918</v>
      </c>
      <c r="F52" s="391"/>
      <c r="G52" s="1234" t="s">
        <v>2104</v>
      </c>
    </row>
    <row r="53" spans="1:7" s="40" customFormat="1" ht="12" customHeight="1">
      <c r="A53" s="101"/>
      <c r="B53" s="239"/>
      <c r="C53" s="391"/>
      <c r="D53" s="391"/>
      <c r="E53" s="395" t="s">
        <v>3201</v>
      </c>
      <c r="F53" s="395"/>
      <c r="G53" s="1234" t="s">
        <v>4006</v>
      </c>
    </row>
    <row r="54" spans="1:7" s="40" customFormat="1" ht="12" customHeight="1">
      <c r="A54" s="101"/>
      <c r="B54" s="239"/>
      <c r="C54" s="391"/>
      <c r="D54" s="391"/>
      <c r="E54" s="865" t="s">
        <v>3920</v>
      </c>
      <c r="F54" s="866"/>
      <c r="G54" s="1234" t="s">
        <v>4006</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4006</v>
      </c>
    </row>
    <row r="57" spans="1:7" s="40" customFormat="1" ht="12" customHeight="1">
      <c r="A57" s="101"/>
      <c r="B57" s="395"/>
      <c r="C57" s="868"/>
      <c r="D57" s="868"/>
      <c r="E57" s="395" t="s">
        <v>3289</v>
      </c>
      <c r="F57" s="395"/>
      <c r="G57" s="1234" t="s">
        <v>4006</v>
      </c>
    </row>
    <row r="58" spans="1:7" s="1246" customFormat="1" ht="12" customHeight="1">
      <c r="A58" s="101"/>
      <c r="B58" s="395"/>
      <c r="C58" s="395"/>
      <c r="D58" s="414"/>
      <c r="E58" s="395" t="s">
        <v>3309</v>
      </c>
      <c r="F58" s="395"/>
      <c r="G58" s="1234" t="s">
        <v>4006</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65" t="s">
        <v>3690</v>
      </c>
      <c r="F61" s="866"/>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65" t="s">
        <v>3693</v>
      </c>
      <c r="F65" s="866"/>
      <c r="G65" s="1234" t="s">
        <v>2104</v>
      </c>
    </row>
    <row r="66" spans="1:7" s="40" customFormat="1" ht="12" customHeight="1">
      <c r="A66" s="101"/>
      <c r="D66" s="391"/>
      <c r="E66" s="867" t="s">
        <v>3694</v>
      </c>
      <c r="F66" s="866"/>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4006</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4006</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4006</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4006</v>
      </c>
    </row>
    <row r="109" spans="1:7" s="40" customFormat="1" ht="12" customHeight="1">
      <c r="A109" s="101"/>
      <c r="B109" s="239"/>
      <c r="C109" s="789"/>
      <c r="D109" s="391"/>
      <c r="E109" s="397" t="s">
        <v>3917</v>
      </c>
      <c r="F109" s="397"/>
      <c r="G109" s="1234" t="s">
        <v>4006</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4006</v>
      </c>
    </row>
    <row r="113" spans="1:7" s="40" customFormat="1" ht="12" customHeight="1">
      <c r="A113" s="101"/>
      <c r="B113" s="395"/>
      <c r="C113" s="239"/>
      <c r="D113" s="395"/>
      <c r="E113" s="395" t="s">
        <v>680</v>
      </c>
      <c r="F113" s="401"/>
      <c r="G113" s="1234" t="s">
        <v>4006</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4006</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4006</v>
      </c>
    </row>
    <row r="122" spans="1:7" s="40" customFormat="1" ht="12" customHeight="1">
      <c r="A122" s="104"/>
      <c r="B122" s="390"/>
      <c r="C122" s="239"/>
      <c r="D122" s="395"/>
      <c r="E122" s="865" t="s">
        <v>3686</v>
      </c>
      <c r="F122" s="866"/>
      <c r="G122" s="1234" t="s">
        <v>4006</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4006</v>
      </c>
    </row>
    <row r="128" spans="1:7" s="40" customFormat="1" ht="12" customHeight="1">
      <c r="A128" s="101"/>
      <c r="B128" s="390"/>
      <c r="C128" s="239"/>
      <c r="D128" s="391"/>
      <c r="E128" s="391" t="s">
        <v>1537</v>
      </c>
      <c r="F128" s="391"/>
      <c r="G128" s="1234" t="s">
        <v>4006</v>
      </c>
    </row>
    <row r="129" spans="1:7" s="40" customFormat="1" ht="12" customHeight="1">
      <c r="A129" s="101"/>
      <c r="B129" s="391"/>
      <c r="C129" s="239"/>
      <c r="D129" s="391"/>
      <c r="E129" s="395" t="s">
        <v>1538</v>
      </c>
      <c r="F129" s="401"/>
      <c r="G129" s="1234" t="s">
        <v>4006</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4006</v>
      </c>
    </row>
    <row r="133" spans="1:7" s="40" customFormat="1" ht="12" customHeight="1">
      <c r="A133" s="101"/>
      <c r="B133" s="884"/>
      <c r="C133" s="885"/>
      <c r="D133" s="885"/>
      <c r="E133" s="395" t="s">
        <v>1785</v>
      </c>
      <c r="F133" s="395"/>
      <c r="G133" s="1234" t="s">
        <v>4006</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67" t="s">
        <v>3935</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4006</v>
      </c>
    </row>
    <row r="140" spans="1:7" s="40" customFormat="1" ht="12" customHeight="1">
      <c r="A140" s="386"/>
      <c r="B140" s="587" t="s">
        <v>3178</v>
      </c>
      <c r="C140" s="404"/>
      <c r="D140" s="391"/>
      <c r="E140" s="392" t="s">
        <v>2373</v>
      </c>
      <c r="F140" s="391"/>
      <c r="G140" s="1234" t="s">
        <v>4006</v>
      </c>
    </row>
    <row r="141" spans="1:7" s="40" customFormat="1" ht="12" customHeight="1">
      <c r="A141" s="101"/>
      <c r="B141" s="239"/>
      <c r="C141" s="391"/>
      <c r="D141" s="391"/>
      <c r="E141" s="391" t="s">
        <v>3092</v>
      </c>
      <c r="F141" s="391"/>
      <c r="G141" s="1234" t="s">
        <v>4006</v>
      </c>
    </row>
    <row r="142" spans="1:7" s="40" customFormat="1" ht="12" customHeight="1">
      <c r="A142" s="101"/>
      <c r="B142" s="391"/>
      <c r="C142" s="391"/>
      <c r="D142" s="391"/>
      <c r="E142" s="391" t="s">
        <v>3608</v>
      </c>
      <c r="F142" s="391"/>
      <c r="G142" s="1234" t="s">
        <v>4006</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4006</v>
      </c>
    </row>
    <row r="170" spans="1:7" s="40" customFormat="1" ht="12" customHeight="1">
      <c r="A170" s="101"/>
      <c r="B170" s="239"/>
      <c r="C170" s="789"/>
      <c r="D170" s="1236"/>
      <c r="E170" s="867" t="s">
        <v>807</v>
      </c>
      <c r="F170" s="866"/>
      <c r="G170" s="1234" t="s">
        <v>4006</v>
      </c>
    </row>
    <row r="171" spans="1:7" s="40" customFormat="1" ht="12" customHeight="1">
      <c r="A171" s="101"/>
      <c r="B171" s="400"/>
      <c r="C171" s="1236"/>
      <c r="D171" s="1236"/>
      <c r="E171" s="397" t="s">
        <v>36</v>
      </c>
      <c r="F171" s="391"/>
      <c r="G171" s="1234" t="s">
        <v>4006</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3700</v>
      </c>
      <c r="F173" s="882"/>
      <c r="G173" s="1234" t="s">
        <v>4006</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3910</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4006</v>
      </c>
    </row>
    <row r="179" spans="1:7" s="40" customFormat="1" ht="12" customHeight="1">
      <c r="A179" s="101"/>
      <c r="B179" s="1237"/>
      <c r="C179" s="239"/>
      <c r="E179" s="823" t="s">
        <v>3661</v>
      </c>
      <c r="F179" s="824"/>
      <c r="G179" s="1234" t="s">
        <v>4006</v>
      </c>
    </row>
    <row r="180" spans="1:7" s="40" customFormat="1" ht="12" customHeight="1">
      <c r="A180" s="101"/>
      <c r="B180" s="406"/>
      <c r="C180" s="239"/>
      <c r="D180" s="1237"/>
      <c r="E180" s="867" t="s">
        <v>591</v>
      </c>
      <c r="F180" s="866"/>
      <c r="G180" s="1234" t="s">
        <v>4006</v>
      </c>
    </row>
    <row r="181" spans="1:7" s="40" customFormat="1" ht="12" customHeight="1">
      <c r="A181" s="101"/>
      <c r="B181" s="406"/>
      <c r="C181" s="239"/>
      <c r="D181" s="1237"/>
      <c r="E181" s="867" t="s">
        <v>592</v>
      </c>
      <c r="F181" s="866"/>
      <c r="G181" s="1234" t="s">
        <v>4006</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3675</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67" t="s">
        <v>3913</v>
      </c>
      <c r="F191" s="1167"/>
      <c r="G191" s="1234" t="s">
        <v>2104</v>
      </c>
    </row>
    <row r="192" spans="1:7" s="40" customFormat="1" ht="12" customHeight="1">
      <c r="A192" s="388"/>
      <c r="B192" s="1258"/>
      <c r="C192" s="1237"/>
      <c r="D192" s="1237"/>
      <c r="E192" s="867" t="s">
        <v>3677</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4006</v>
      </c>
    </row>
    <row r="195" spans="1:7" s="40" customFormat="1" ht="26.25" customHeight="1">
      <c r="A195" s="101"/>
      <c r="B195" s="1237"/>
      <c r="C195" s="239"/>
      <c r="D195" s="1237"/>
      <c r="E195" s="1260" t="s">
        <v>3911</v>
      </c>
      <c r="F195" s="1261"/>
      <c r="G195" s="1234" t="s">
        <v>4006</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4006</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4"/>
      <c r="G227" s="1234" t="s">
        <v>2104</v>
      </c>
    </row>
    <row r="228" spans="1:7" s="40" customFormat="1" ht="26.25" customHeight="1">
      <c r="A228" s="388"/>
      <c r="B228" s="239"/>
      <c r="C228" s="239"/>
      <c r="D228" s="1237"/>
      <c r="E228" s="867" t="s">
        <v>3683</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67"/>
      <c r="E231" s="1273"/>
      <c r="F231" s="1273"/>
      <c r="G231" s="1274" t="s">
        <v>2104</v>
      </c>
    </row>
    <row r="232" spans="1:7" s="40" customFormat="1" ht="12.6" customHeight="1">
      <c r="A232" s="101"/>
      <c r="C232" s="1272"/>
      <c r="D232" s="1167"/>
      <c r="E232" s="1273"/>
      <c r="F232" s="1273"/>
      <c r="G232" s="1274" t="s">
        <v>2104</v>
      </c>
    </row>
    <row r="233" spans="1:7" s="40" customFormat="1" ht="12.6" customHeight="1">
      <c r="A233" s="101"/>
      <c r="C233" s="1272"/>
      <c r="D233" s="1167"/>
      <c r="E233" s="1273"/>
      <c r="F233" s="1273"/>
      <c r="G233" s="1274" t="s">
        <v>2104</v>
      </c>
    </row>
    <row r="234" spans="1:7" s="40" customFormat="1" ht="12.6" customHeight="1">
      <c r="A234" s="101"/>
      <c r="C234" s="1272"/>
      <c r="D234" s="1167"/>
      <c r="E234" s="1273"/>
      <c r="F234" s="1273"/>
      <c r="G234" s="1274" t="s">
        <v>2104</v>
      </c>
    </row>
    <row r="235" spans="1:7" s="40" customFormat="1" ht="12.6" customHeight="1">
      <c r="A235" s="101"/>
      <c r="C235" s="1166"/>
      <c r="D235" s="1167"/>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4006</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4006</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991"/>
      <c r="G241" s="1234" t="s">
        <v>4006</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The Groves Place</v>
      </c>
    </row>
    <row r="3" spans="1:6" ht="16.5">
      <c r="A3" s="1281" t="str">
        <f>CONCATENATE('Part I-Project Information'!F24,", ", 'Part I-Project Information'!J25," County")</f>
        <v>Tifton, Tift County</v>
      </c>
    </row>
    <row r="4" spans="1:6" ht="12" customHeight="1"/>
    <row r="5" spans="1:6" ht="111" customHeight="1">
      <c r="A5" s="1282" t="s">
        <v>4047</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- 2012-029 The Groves Place, Tifton, Tift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4"/>
      <c r="B4" s="452"/>
      <c r="C4" s="452"/>
      <c r="D4" s="453"/>
      <c r="E4" s="400" t="s">
        <v>615</v>
      </c>
      <c r="H4" s="836"/>
      <c r="I4" s="836"/>
      <c r="J4" s="836"/>
      <c r="O4" s="1284" t="s">
        <v>4093</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898">
        <f>'Part IV-Uses of Funds'!J165</f>
        <v>612068.94999999995</v>
      </c>
      <c r="K6" s="899"/>
      <c r="O6" s="896" t="s">
        <v>3866</v>
      </c>
      <c r="P6" s="896"/>
    </row>
    <row r="7" spans="1:16" s="2" customFormat="1" ht="13.15" customHeight="1">
      <c r="A7" s="5"/>
      <c r="C7" s="5"/>
      <c r="D7" s="31"/>
      <c r="E7" s="549"/>
      <c r="F7" s="449" t="s">
        <v>1850</v>
      </c>
      <c r="J7" s="900">
        <f>'Part III A-Sources of Funds'!J5</f>
        <v>0</v>
      </c>
      <c r="K7" s="901"/>
      <c r="M7" s="449"/>
      <c r="N7" s="449"/>
      <c r="O7" s="1286" t="s">
        <v>4024</v>
      </c>
      <c r="P7" s="1287"/>
    </row>
    <row r="8" spans="1:16" s="449" customFormat="1" ht="7.15" customHeight="1">
      <c r="A8" s="452"/>
      <c r="C8" s="452"/>
      <c r="D8" s="416"/>
      <c r="E8" s="454"/>
      <c r="F8" s="454"/>
      <c r="I8" s="456"/>
      <c r="N8" s="457"/>
    </row>
    <row r="9" spans="1:16" s="449" customFormat="1" ht="13.15" customHeight="1">
      <c r="A9" s="456" t="s">
        <v>1136</v>
      </c>
      <c r="C9" s="452" t="s">
        <v>2925</v>
      </c>
      <c r="F9" s="1288" t="s">
        <v>3975</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3976</v>
      </c>
      <c r="G13" s="1293"/>
      <c r="H13" s="1293"/>
      <c r="I13" s="1293"/>
      <c r="J13" s="1293"/>
      <c r="K13" s="1293"/>
      <c r="L13" s="1294"/>
      <c r="M13" s="827" t="s">
        <v>2859</v>
      </c>
      <c r="N13" s="1292" t="s">
        <v>3479</v>
      </c>
      <c r="O13" s="1293"/>
      <c r="P13" s="1294"/>
    </row>
    <row r="14" spans="1:16" s="449" customFormat="1" ht="13.15" customHeight="1">
      <c r="C14" s="455" t="s">
        <v>2860</v>
      </c>
      <c r="F14" s="1292" t="s">
        <v>3977</v>
      </c>
      <c r="G14" s="1293"/>
      <c r="H14" s="1293"/>
      <c r="I14" s="1293"/>
      <c r="J14" s="1293"/>
      <c r="K14" s="1293"/>
      <c r="L14" s="1294"/>
      <c r="M14" s="827" t="s">
        <v>2573</v>
      </c>
      <c r="O14" s="1295">
        <v>2514041225</v>
      </c>
      <c r="P14" s="1296"/>
    </row>
    <row r="15" spans="1:16" s="449" customFormat="1" ht="13.15" customHeight="1">
      <c r="C15" s="455" t="s">
        <v>876</v>
      </c>
      <c r="F15" s="1297" t="s">
        <v>3978</v>
      </c>
      <c r="G15" s="1298"/>
      <c r="H15" s="1299"/>
      <c r="M15" s="827" t="s">
        <v>2658</v>
      </c>
      <c r="O15" s="1300">
        <v>2515454200</v>
      </c>
      <c r="P15" s="1301"/>
    </row>
    <row r="16" spans="1:16" s="449" customFormat="1" ht="13.15" customHeight="1">
      <c r="C16" s="455" t="s">
        <v>2655</v>
      </c>
      <c r="F16" s="1302" t="s">
        <v>1327</v>
      </c>
      <c r="I16" s="836" t="s">
        <v>3138</v>
      </c>
      <c r="J16" s="1303">
        <v>366064036</v>
      </c>
      <c r="K16" s="1304"/>
      <c r="M16" s="827" t="s">
        <v>2858</v>
      </c>
      <c r="O16" s="1300">
        <v>2514041225</v>
      </c>
      <c r="P16" s="1301"/>
    </row>
    <row r="17" spans="1:16" s="449" customFormat="1" ht="13.15" customHeight="1">
      <c r="B17" s="833"/>
      <c r="C17" s="455" t="s">
        <v>2572</v>
      </c>
      <c r="F17" s="1300"/>
      <c r="G17" s="1305"/>
      <c r="H17" s="1301"/>
      <c r="I17" s="828" t="s">
        <v>2571</v>
      </c>
      <c r="J17" s="1306"/>
      <c r="K17" s="836" t="s">
        <v>2863</v>
      </c>
      <c r="L17" s="1292" t="s">
        <v>3979</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4010</v>
      </c>
      <c r="G22" s="1308"/>
      <c r="H22" s="1308"/>
      <c r="I22" s="1308"/>
      <c r="J22" s="1308"/>
      <c r="K22" s="1308"/>
      <c r="L22" s="1309"/>
      <c r="M22" s="827" t="s">
        <v>3087</v>
      </c>
      <c r="O22" s="1292" t="s">
        <v>4012</v>
      </c>
      <c r="P22" s="1294"/>
    </row>
    <row r="23" spans="1:16" s="449" customFormat="1" ht="13.15" customHeight="1">
      <c r="A23" s="462"/>
      <c r="B23" s="452"/>
      <c r="C23" s="449" t="s">
        <v>875</v>
      </c>
      <c r="D23" s="463"/>
      <c r="F23" s="1292" t="s">
        <v>4011</v>
      </c>
      <c r="G23" s="1293"/>
      <c r="H23" s="1293"/>
      <c r="I23" s="1293"/>
      <c r="J23" s="1293"/>
      <c r="K23" s="1293"/>
      <c r="L23" s="1294"/>
      <c r="M23" s="827" t="s">
        <v>2938</v>
      </c>
      <c r="O23" s="1292" t="s">
        <v>4005</v>
      </c>
      <c r="P23" s="1294"/>
    </row>
    <row r="24" spans="1:16" s="449" customFormat="1" ht="13.15" customHeight="1">
      <c r="A24" s="844"/>
      <c r="B24" s="452"/>
      <c r="C24" s="449" t="s">
        <v>876</v>
      </c>
      <c r="F24" s="1292" t="s">
        <v>3257</v>
      </c>
      <c r="G24" s="1293"/>
      <c r="H24" s="1294"/>
      <c r="I24" s="836" t="s">
        <v>418</v>
      </c>
      <c r="J24" s="1303">
        <v>317935701</v>
      </c>
      <c r="K24" s="1304"/>
      <c r="L24" s="540" t="str">
        <f>IF(AND(NOT(F22=""),NOT(F24="Select from list"),J24=""),"Enter Zip!","")</f>
        <v/>
      </c>
      <c r="M24" s="827" t="s">
        <v>3197</v>
      </c>
      <c r="O24" s="1292">
        <v>6.13</v>
      </c>
      <c r="P24" s="1294"/>
    </row>
    <row r="25" spans="1:16" s="449" customFormat="1" ht="13.15" customHeight="1">
      <c r="A25" s="844"/>
      <c r="B25" s="452"/>
      <c r="C25" s="887" t="s">
        <v>2937</v>
      </c>
      <c r="D25" s="887"/>
      <c r="F25" s="1310" t="s">
        <v>4005</v>
      </c>
      <c r="I25" s="494" t="s">
        <v>877</v>
      </c>
      <c r="J25" s="1311" t="str">
        <f>IF($F$24="","",VLOOKUP($F$24,$N$181:$O$784,2,FALSE))</f>
        <v>Tift</v>
      </c>
      <c r="K25" s="1312"/>
      <c r="M25" s="465" t="s">
        <v>3212</v>
      </c>
      <c r="O25" s="1292">
        <v>9903</v>
      </c>
      <c r="P25" s="1313"/>
    </row>
    <row r="26" spans="1:16" s="449" customFormat="1" ht="13.15" customHeight="1">
      <c r="A26" s="844"/>
      <c r="B26" s="452"/>
      <c r="C26" s="449" t="s">
        <v>2162</v>
      </c>
      <c r="F26" s="1314" t="s">
        <v>4006</v>
      </c>
      <c r="H26" s="457" t="s">
        <v>3656</v>
      </c>
      <c r="I26" s="682" t="str">
        <f>VLOOKUP($J$25,$C$181:$F$340,4)</f>
        <v>Non-MSA</v>
      </c>
      <c r="J26" s="1315" t="str">
        <f>IF($F$24="","",VLOOKUP($J$25,$C$181:$H$340,3,FALSE))</f>
        <v>Tift Co.</v>
      </c>
      <c r="K26" s="1316"/>
      <c r="L26" s="1317"/>
      <c r="M26" s="827" t="s">
        <v>625</v>
      </c>
      <c r="N26" s="1318" t="s">
        <v>4005</v>
      </c>
      <c r="O26" s="457" t="s">
        <v>626</v>
      </c>
      <c r="P26" s="1318" t="s">
        <v>4005</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8</v>
      </c>
      <c r="G29" s="1320"/>
      <c r="H29" s="1319">
        <v>13</v>
      </c>
      <c r="I29" s="1320"/>
      <c r="J29" s="1319">
        <v>153</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4013</v>
      </c>
      <c r="G32" s="1322"/>
      <c r="H32" s="1322"/>
      <c r="I32" s="1322"/>
      <c r="J32" s="1322"/>
      <c r="K32" s="1323"/>
      <c r="L32" s="466"/>
      <c r="M32" s="466"/>
      <c r="N32" s="466"/>
    </row>
    <row r="33" spans="1:19" s="449" customFormat="1" ht="13.15" customHeight="1">
      <c r="A33" s="844"/>
      <c r="B33" s="844"/>
      <c r="C33" s="449" t="s">
        <v>897</v>
      </c>
      <c r="F33" s="1324" t="s">
        <v>4014</v>
      </c>
      <c r="G33" s="1325"/>
      <c r="H33" s="1325"/>
      <c r="I33" s="1325"/>
      <c r="J33" s="1326"/>
      <c r="K33" s="467" t="s">
        <v>2859</v>
      </c>
      <c r="L33" s="1321" t="s">
        <v>4015</v>
      </c>
      <c r="M33" s="1322"/>
      <c r="N33" s="1323"/>
    </row>
    <row r="34" spans="1:19" s="449" customFormat="1" ht="13.15" customHeight="1">
      <c r="A34" s="844"/>
      <c r="B34" s="844"/>
      <c r="C34" s="449" t="s">
        <v>2860</v>
      </c>
      <c r="F34" s="1321" t="s">
        <v>4016</v>
      </c>
      <c r="G34" s="1322"/>
      <c r="H34" s="1322"/>
      <c r="I34" s="1322"/>
      <c r="J34" s="1323"/>
      <c r="K34" s="468" t="s">
        <v>876</v>
      </c>
      <c r="L34" s="1292" t="s">
        <v>3257</v>
      </c>
      <c r="M34" s="1293"/>
      <c r="N34" s="1294"/>
    </row>
    <row r="35" spans="1:19" s="449" customFormat="1" ht="13.15" customHeight="1">
      <c r="A35" s="844"/>
      <c r="B35" s="844"/>
      <c r="C35" s="827" t="s">
        <v>3138</v>
      </c>
      <c r="F35" s="1327">
        <v>317930826</v>
      </c>
      <c r="G35" s="1328"/>
      <c r="H35" s="828" t="s">
        <v>2861</v>
      </c>
      <c r="I35" s="1329">
        <v>2293260179</v>
      </c>
      <c r="J35" s="1330"/>
      <c r="K35" s="1331"/>
      <c r="L35" s="828" t="s">
        <v>2658</v>
      </c>
      <c r="M35" s="1329"/>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3214</v>
      </c>
      <c r="F39" s="1306" t="s">
        <v>4005</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906" t="s">
        <v>1840</v>
      </c>
      <c r="M41" s="906"/>
      <c r="N41" s="906"/>
      <c r="O41" s="906"/>
      <c r="P41" s="907"/>
      <c r="Q41" s="836"/>
    </row>
    <row r="42" spans="1:19" ht="13.15" customHeight="1">
      <c r="B42" s="844"/>
      <c r="C42" s="449" t="s">
        <v>3213</v>
      </c>
      <c r="D42" s="449"/>
      <c r="E42" s="449"/>
      <c r="F42" s="473">
        <f>'Part VI-Revenues &amp; Expenses'!$M$74</f>
        <v>56</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903" t="s">
        <v>1993</v>
      </c>
      <c r="J48" s="462" t="s">
        <v>3004</v>
      </c>
      <c r="K48" s="475" t="s">
        <v>3220</v>
      </c>
      <c r="M48" s="833"/>
      <c r="N48" s="833"/>
      <c r="O48" s="833"/>
      <c r="P48" s="836"/>
      <c r="Q48" s="836"/>
      <c r="R48" s="836"/>
      <c r="S48" s="833"/>
    </row>
    <row r="49" spans="1:16" s="449" customFormat="1" ht="13.15" customHeight="1">
      <c r="A49" s="844"/>
      <c r="B49" s="829"/>
      <c r="C49" s="459" t="s">
        <v>3191</v>
      </c>
      <c r="D49" s="833"/>
      <c r="E49" s="833"/>
      <c r="H49" s="476">
        <f>SUM(H50:H51)</f>
        <v>56</v>
      </c>
      <c r="I49" s="904"/>
      <c r="J49" s="844"/>
      <c r="K49" s="459" t="s">
        <v>3221</v>
      </c>
      <c r="M49" s="833"/>
      <c r="N49" s="833"/>
      <c r="O49" s="833"/>
      <c r="P49" s="476">
        <f>'Part VI-Revenues &amp; Expenses'!$M$96</f>
        <v>52430</v>
      </c>
    </row>
    <row r="50" spans="1:16" s="449" customFormat="1" ht="13.15" customHeight="1">
      <c r="A50" s="844"/>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46</v>
      </c>
      <c r="I51" s="476">
        <f>'Part VI-Revenues &amp; Expenses'!$M$64</f>
        <v>0</v>
      </c>
      <c r="K51" s="459" t="s">
        <v>3222</v>
      </c>
      <c r="M51" s="833"/>
      <c r="N51" s="833"/>
      <c r="O51" s="833"/>
      <c r="P51" s="476">
        <f>+P49+P50</f>
        <v>52430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3389</v>
      </c>
      <c r="D53" s="833"/>
      <c r="E53" s="833"/>
      <c r="H53" s="476">
        <f>+H49+H52</f>
        <v>56</v>
      </c>
      <c r="J53" s="844"/>
      <c r="K53" s="459" t="s">
        <v>1995</v>
      </c>
      <c r="M53" s="833"/>
      <c r="N53" s="833"/>
      <c r="O53" s="833"/>
      <c r="P53" s="476">
        <f>+P51+P52</f>
        <v>52430</v>
      </c>
    </row>
    <row r="54" spans="1:16" s="449" customFormat="1" ht="13.15" customHeight="1">
      <c r="A54" s="844"/>
      <c r="C54" s="459" t="s">
        <v>3390</v>
      </c>
      <c r="D54" s="833"/>
      <c r="E54" s="833"/>
      <c r="H54" s="476">
        <f>'Part VI-Revenues &amp; Expenses'!$M$61</f>
        <v>0</v>
      </c>
      <c r="J54" s="844"/>
    </row>
    <row r="55" spans="1:16" s="449" customFormat="1" ht="13.15" customHeight="1">
      <c r="A55" s="844"/>
      <c r="C55" s="459" t="s">
        <v>2649</v>
      </c>
      <c r="D55" s="833"/>
      <c r="E55" s="833"/>
      <c r="H55" s="476">
        <f>+H53+H54</f>
        <v>56</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2876</v>
      </c>
      <c r="G57" s="833"/>
      <c r="H57" s="1333">
        <v>2</v>
      </c>
      <c r="K57" s="459" t="s">
        <v>1641</v>
      </c>
      <c r="O57" s="833"/>
      <c r="P57" s="1333">
        <v>3677</v>
      </c>
    </row>
    <row r="58" spans="1:16" s="449" customFormat="1" ht="13.15" customHeight="1">
      <c r="A58" s="844"/>
      <c r="B58" s="844"/>
      <c r="D58" s="829" t="s">
        <v>2877</v>
      </c>
      <c r="H58" s="1333">
        <v>1</v>
      </c>
      <c r="I58" s="833"/>
      <c r="K58" s="459" t="s">
        <v>305</v>
      </c>
      <c r="O58" s="833"/>
      <c r="P58" s="476">
        <f>+P53+P57</f>
        <v>56107</v>
      </c>
    </row>
    <row r="59" spans="1:16" s="449" customFormat="1" ht="13.15" customHeight="1">
      <c r="A59" s="844"/>
      <c r="B59" s="844"/>
      <c r="D59" s="829" t="s">
        <v>2878</v>
      </c>
      <c r="H59" s="476">
        <f>+H57+H58</f>
        <v>3</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118</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3964</v>
      </c>
      <c r="D65" s="830"/>
      <c r="E65" s="830"/>
      <c r="F65" s="833"/>
      <c r="G65" s="836"/>
      <c r="H65" s="1334" t="s">
        <v>4017</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1333">
        <v>3</v>
      </c>
      <c r="K67" s="887" t="s">
        <v>755</v>
      </c>
      <c r="L67" s="887"/>
      <c r="P67" s="480">
        <f>IF('Part VI-Revenues &amp; Expenses'!$M$62=0,0,$H67/'Part VI-Revenues &amp; Expenses'!$M$62)</f>
        <v>5.3571428571428568E-2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1333">
        <v>2</v>
      </c>
      <c r="K69" s="887" t="s">
        <v>755</v>
      </c>
      <c r="L69" s="887"/>
      <c r="P69" s="480">
        <f>IF('Part VI-Revenues &amp; Expenses'!$M$62=0,0,$H69/'Part VI-Revenues &amp; Expenses'!$M$62)</f>
        <v>3.5714285714285712E-2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3349</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1306" t="s">
        <v>4005</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4005</v>
      </c>
      <c r="F81" s="477" t="s">
        <v>3639</v>
      </c>
      <c r="H81" s="1306" t="s">
        <v>4006</v>
      </c>
      <c r="I81" s="827" t="s">
        <v>3638</v>
      </c>
      <c r="K81" s="1306" t="s">
        <v>4005</v>
      </c>
      <c r="L81" s="449" t="s">
        <v>339</v>
      </c>
    </row>
    <row r="82" spans="1:16" s="449" customFormat="1" ht="13.15" customHeight="1">
      <c r="A82" s="844"/>
      <c r="B82" s="844"/>
      <c r="D82" s="470"/>
      <c r="E82" s="1306" t="s">
        <v>4005</v>
      </c>
      <c r="F82" s="827" t="s">
        <v>611</v>
      </c>
      <c r="H82" s="1306" t="s">
        <v>4005</v>
      </c>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2655</v>
      </c>
      <c r="I88" s="1306"/>
      <c r="J88" s="483" t="s">
        <v>3138</v>
      </c>
      <c r="K88" s="1303"/>
      <c r="L88" s="1342"/>
      <c r="M88" s="416"/>
      <c r="N88" s="416"/>
      <c r="O88" s="416"/>
      <c r="P88" s="416"/>
    </row>
    <row r="89" spans="1:16" s="449" customFormat="1" ht="13.15" customHeight="1">
      <c r="C89" s="449" t="s">
        <v>3089</v>
      </c>
      <c r="E89" s="1292"/>
      <c r="F89" s="1341"/>
      <c r="G89" s="1342"/>
      <c r="H89" s="836" t="s">
        <v>2859</v>
      </c>
      <c r="I89" s="1292"/>
      <c r="J89" s="1341"/>
      <c r="K89" s="1342"/>
      <c r="L89" s="846" t="s">
        <v>2863</v>
      </c>
      <c r="M89" s="1292"/>
      <c r="N89" s="1341"/>
      <c r="O89" s="1341"/>
      <c r="P89" s="1342"/>
    </row>
    <row r="90" spans="1:16" s="449" customFormat="1" ht="13.15" customHeight="1">
      <c r="C90" s="455" t="s">
        <v>3088</v>
      </c>
      <c r="E90" s="1300"/>
      <c r="F90" s="1305"/>
      <c r="G90" s="1301"/>
      <c r="H90" s="836" t="s">
        <v>2658</v>
      </c>
      <c r="I90" s="1329"/>
      <c r="J90" s="1342"/>
      <c r="K90" s="483" t="s">
        <v>2659</v>
      </c>
      <c r="L90" s="1329"/>
      <c r="M90" s="1342"/>
      <c r="N90" s="483" t="s">
        <v>2858</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1343">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1344">
        <v>1045181</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345" t="s">
        <v>3981</v>
      </c>
      <c r="D102" s="1346"/>
      <c r="E102" s="1346"/>
      <c r="F102" s="1346" t="s">
        <v>4018</v>
      </c>
      <c r="G102" s="1346"/>
      <c r="H102" s="1346"/>
      <c r="I102" s="1347"/>
      <c r="J102" s="1345">
        <v>8</v>
      </c>
      <c r="K102" s="1346"/>
      <c r="L102" s="1346"/>
      <c r="M102" s="1346"/>
      <c r="N102" s="1346"/>
      <c r="O102" s="1346"/>
      <c r="P102" s="1347"/>
    </row>
    <row r="103" spans="1:16" s="449" customFormat="1" ht="13.15" customHeight="1">
      <c r="A103" s="844"/>
      <c r="B103" s="844"/>
      <c r="C103" s="1348" t="s">
        <v>4019</v>
      </c>
      <c r="D103" s="1349"/>
      <c r="E103" s="1349"/>
      <c r="F103" s="1349" t="s">
        <v>4018</v>
      </c>
      <c r="G103" s="1349"/>
      <c r="H103" s="1349"/>
      <c r="I103" s="1350"/>
      <c r="J103" s="1348">
        <v>9</v>
      </c>
      <c r="K103" s="1349"/>
      <c r="L103" s="1349"/>
      <c r="M103" s="1349"/>
      <c r="N103" s="1349"/>
      <c r="O103" s="1349"/>
      <c r="P103" s="1350"/>
    </row>
    <row r="104" spans="1:16" s="449" customFormat="1" ht="13.15" customHeight="1">
      <c r="A104" s="844"/>
      <c r="B104" s="844"/>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4"/>
      <c r="B105" s="844"/>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4"/>
      <c r="B106" s="844"/>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345" t="s">
        <v>3981</v>
      </c>
      <c r="D113" s="1346"/>
      <c r="E113" s="1346"/>
      <c r="F113" s="1346" t="s">
        <v>4018</v>
      </c>
      <c r="G113" s="1346"/>
      <c r="H113" s="1346"/>
      <c r="I113" s="1347"/>
      <c r="J113" s="1345">
        <v>8</v>
      </c>
      <c r="K113" s="1346"/>
      <c r="L113" s="1346"/>
      <c r="M113" s="1346"/>
      <c r="N113" s="1346"/>
      <c r="O113" s="1346"/>
      <c r="P113" s="1347"/>
    </row>
    <row r="114" spans="1:16" s="449" customFormat="1" ht="13.15" customHeight="1">
      <c r="A114" s="844"/>
      <c r="B114" s="844"/>
      <c r="C114" s="1348" t="s">
        <v>3981</v>
      </c>
      <c r="D114" s="1349"/>
      <c r="E114" s="1349"/>
      <c r="F114" s="1349" t="s">
        <v>4010</v>
      </c>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1306" t="s">
        <v>4005</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1306"/>
      <c r="M123" s="836"/>
      <c r="N123" s="833"/>
      <c r="O123" s="833"/>
      <c r="P123" s="460"/>
    </row>
    <row r="124" spans="1:16" s="449" customFormat="1" ht="13.15" customHeight="1">
      <c r="A124" s="844"/>
      <c r="B124" s="844"/>
      <c r="C124" s="829" t="s">
        <v>3404</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3405</v>
      </c>
      <c r="D126" s="829"/>
      <c r="E126" s="829"/>
      <c r="F126" s="836"/>
      <c r="H126" s="1354"/>
      <c r="K126" s="416" t="s">
        <v>3157</v>
      </c>
      <c r="O126" s="1292" t="s">
        <v>671</v>
      </c>
      <c r="P126" s="1294"/>
    </row>
    <row r="127" spans="1:16" s="449" customFormat="1" ht="13.15" customHeight="1">
      <c r="A127" s="844"/>
      <c r="B127" s="844"/>
      <c r="C127" s="829" t="s">
        <v>3403</v>
      </c>
      <c r="F127" s="836"/>
      <c r="H127" s="1343"/>
      <c r="K127" s="416" t="s">
        <v>3158</v>
      </c>
      <c r="O127" s="1292" t="s">
        <v>671</v>
      </c>
      <c r="P127" s="1294"/>
    </row>
    <row r="128" spans="1:16" s="449" customFormat="1" ht="13.15" customHeight="1">
      <c r="A128" s="844"/>
      <c r="B128" s="844"/>
      <c r="C128" s="829" t="s">
        <v>3060</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3497</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c r="K133" s="829" t="s">
        <v>2136</v>
      </c>
      <c r="L133" s="829"/>
      <c r="M133" s="836"/>
      <c r="N133" s="836"/>
      <c r="O133" s="1343"/>
      <c r="P133" s="460"/>
    </row>
    <row r="134" spans="1:16" s="449" customFormat="1" ht="13.15" customHeight="1">
      <c r="A134" s="844"/>
      <c r="B134" s="844"/>
      <c r="C134" s="829" t="s">
        <v>999</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4005</v>
      </c>
      <c r="N139" s="833"/>
      <c r="O139" s="833"/>
      <c r="P139" s="460"/>
    </row>
    <row r="140" spans="1:16" s="449" customFormat="1" ht="12.6" customHeight="1">
      <c r="A140" s="844"/>
      <c r="B140" s="844"/>
      <c r="C140" s="449" t="s">
        <v>872</v>
      </c>
      <c r="K140" s="1333"/>
      <c r="L140" s="455" t="s">
        <v>2651</v>
      </c>
      <c r="P140" s="487">
        <f>IF('Part VI-Revenues &amp; Expenses'!$M$60=0,0,$K140/'Part VI-Revenues &amp; Expenses'!$M$60)</f>
        <v>0</v>
      </c>
    </row>
    <row r="141" spans="1:16" s="449" customFormat="1" ht="12.6" customHeight="1">
      <c r="A141" s="844"/>
      <c r="B141" s="844"/>
      <c r="C141" s="449" t="s">
        <v>3061</v>
      </c>
      <c r="K141" s="1333"/>
      <c r="L141" s="455" t="s">
        <v>2651</v>
      </c>
      <c r="P141" s="487">
        <f>IF('Part VI-Revenues &amp; Expenses'!$M$60=0,0,$K141/'Part VI-Revenues &amp; Expenses'!$M$60)</f>
        <v>0</v>
      </c>
    </row>
    <row r="142" spans="1:16" s="449" customFormat="1" ht="12.6" customHeight="1">
      <c r="A142" s="844"/>
      <c r="B142" s="844"/>
      <c r="C142" s="449" t="s">
        <v>2652</v>
      </c>
      <c r="E142" s="1292"/>
      <c r="F142" s="1293"/>
      <c r="G142" s="1293"/>
      <c r="H142" s="1293"/>
      <c r="I142" s="1293"/>
      <c r="J142" s="1293"/>
      <c r="K142" s="1294"/>
      <c r="L142" s="488" t="s">
        <v>2653</v>
      </c>
      <c r="M142" s="1292"/>
      <c r="N142" s="1293"/>
      <c r="O142" s="1293"/>
      <c r="P142" s="1294"/>
    </row>
    <row r="143" spans="1:16" s="449" customFormat="1" ht="12.6" customHeight="1">
      <c r="A143" s="844"/>
      <c r="B143" s="844"/>
      <c r="C143" s="455" t="s">
        <v>2654</v>
      </c>
      <c r="D143" s="463"/>
      <c r="E143" s="1292"/>
      <c r="F143" s="1293"/>
      <c r="G143" s="1293"/>
      <c r="H143" s="1293"/>
      <c r="I143" s="1293"/>
      <c r="J143" s="1293"/>
      <c r="K143" s="1355"/>
      <c r="L143" s="827" t="s">
        <v>2656</v>
      </c>
      <c r="M143" s="1307"/>
      <c r="N143" s="1308"/>
      <c r="O143" s="1308"/>
      <c r="P143" s="1309"/>
    </row>
    <row r="144" spans="1:16" s="449" customFormat="1" ht="12.6" customHeight="1">
      <c r="A144" s="844"/>
      <c r="B144" s="844"/>
      <c r="C144" s="455" t="s">
        <v>876</v>
      </c>
      <c r="E144" s="1292"/>
      <c r="F144" s="1293"/>
      <c r="G144" s="1293"/>
      <c r="H144" s="1294"/>
      <c r="I144" s="483" t="s">
        <v>3138</v>
      </c>
      <c r="J144" s="1303"/>
      <c r="K144" s="1304"/>
      <c r="L144" s="488" t="s">
        <v>2659</v>
      </c>
      <c r="M144" s="1300"/>
      <c r="N144" s="1305"/>
      <c r="O144" s="1301"/>
    </row>
    <row r="145" spans="1:16" s="449" customFormat="1" ht="12.6" customHeight="1">
      <c r="A145" s="844"/>
      <c r="B145" s="844"/>
      <c r="C145" s="455" t="s">
        <v>2657</v>
      </c>
      <c r="E145" s="1300"/>
      <c r="F145" s="1305"/>
      <c r="G145" s="1301"/>
      <c r="H145" s="489" t="s">
        <v>2658</v>
      </c>
      <c r="I145" s="1300"/>
      <c r="J145" s="1305"/>
      <c r="K145" s="1301"/>
      <c r="L145" s="490" t="s">
        <v>2858</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1343"/>
      <c r="J147" s="912" t="s">
        <v>1158</v>
      </c>
      <c r="K147" s="913"/>
      <c r="L147" s="1343"/>
      <c r="M147" s="909" t="s">
        <v>3247</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892" t="s">
        <v>2857</v>
      </c>
      <c r="D151" s="892"/>
      <c r="E151" s="892"/>
      <c r="F151" s="892"/>
      <c r="G151" s="830"/>
      <c r="H151" s="1343"/>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2647</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3" t="s">
        <v>4005</v>
      </c>
      <c r="L157" s="833" t="s">
        <v>3907</v>
      </c>
      <c r="P157" s="1343" t="s">
        <v>4005</v>
      </c>
    </row>
    <row r="158" spans="1:16" s="449" customFormat="1" ht="12.6" customHeight="1">
      <c r="A158" s="844"/>
      <c r="B158" s="844"/>
      <c r="C158" s="833" t="s">
        <v>3115</v>
      </c>
      <c r="H158" s="1343" t="s">
        <v>4005</v>
      </c>
      <c r="L158" s="833" t="s">
        <v>2222</v>
      </c>
      <c r="P158" s="1343" t="s">
        <v>4005</v>
      </c>
    </row>
    <row r="159" spans="1:16" s="449" customFormat="1" ht="12.6" customHeight="1">
      <c r="A159" s="844"/>
      <c r="C159" s="833" t="s">
        <v>1849</v>
      </c>
      <c r="D159" s="495"/>
      <c r="H159" s="1343" t="s">
        <v>4005</v>
      </c>
      <c r="L159" s="833" t="s">
        <v>2387</v>
      </c>
      <c r="P159" s="1343" t="s">
        <v>4005</v>
      </c>
    </row>
    <row r="160" spans="1:16" s="449" customFormat="1" ht="12.6" customHeight="1">
      <c r="A160" s="844"/>
      <c r="B160" s="844"/>
      <c r="C160" s="833" t="s">
        <v>2221</v>
      </c>
      <c r="D160" s="461"/>
      <c r="E160" s="833"/>
      <c r="F160" s="833"/>
      <c r="H160" s="1343" t="s">
        <v>4006</v>
      </c>
      <c r="K160" s="461"/>
      <c r="L160" s="449" t="s">
        <v>3908</v>
      </c>
      <c r="M160" s="833"/>
      <c r="P160" s="1343" t="s">
        <v>4005</v>
      </c>
    </row>
    <row r="161" spans="1:21" s="449" customFormat="1" ht="12.6" customHeight="1">
      <c r="A161" s="844"/>
      <c r="B161" s="452"/>
      <c r="C161" s="833" t="s">
        <v>2139</v>
      </c>
      <c r="D161" s="461"/>
      <c r="H161" s="1343" t="s">
        <v>4005</v>
      </c>
      <c r="L161" s="833" t="s">
        <v>3954</v>
      </c>
      <c r="M161" s="833"/>
      <c r="P161" s="1343" t="s">
        <v>4005</v>
      </c>
    </row>
    <row r="162" spans="1:21" s="449" customFormat="1" ht="12.6" customHeight="1">
      <c r="A162" s="844"/>
      <c r="B162" s="844"/>
      <c r="C162" s="833" t="s">
        <v>2668</v>
      </c>
      <c r="D162" s="461"/>
      <c r="E162" s="833"/>
      <c r="F162" s="833"/>
      <c r="H162" s="1343" t="s">
        <v>4005</v>
      </c>
      <c r="I162" s="494" t="s">
        <v>3701</v>
      </c>
      <c r="O162" s="1357"/>
      <c r="P162" s="1358"/>
    </row>
    <row r="163" spans="1:21" s="449" customFormat="1" ht="12.6" customHeight="1">
      <c r="A163" s="844"/>
      <c r="B163" s="844"/>
      <c r="C163" s="833" t="s">
        <v>3956</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3213</v>
      </c>
      <c r="D168" s="829"/>
      <c r="E168" s="829"/>
      <c r="F168" s="836"/>
      <c r="G168" s="836"/>
      <c r="H168" s="1339">
        <v>41730</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t="s">
        <v>4071</v>
      </c>
      <c r="B171" s="1361"/>
      <c r="C171" s="1361"/>
      <c r="D171" s="1361"/>
      <c r="E171" s="1361"/>
      <c r="F171" s="1361"/>
      <c r="G171" s="1361"/>
      <c r="H171" s="1361"/>
      <c r="I171" s="1361"/>
      <c r="J171" s="1362"/>
      <c r="K171" s="1363"/>
      <c r="L171" s="1364"/>
      <c r="M171" s="1364"/>
      <c r="N171" s="1364"/>
      <c r="O171" s="1364"/>
      <c r="P171" s="1365"/>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2695</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2012-029 The Groves Place, Tifton, Tift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4020</v>
      </c>
      <c r="I5" s="1341"/>
      <c r="J5" s="1341"/>
      <c r="K5" s="1341"/>
      <c r="L5" s="1341"/>
      <c r="M5" s="1341"/>
      <c r="N5" s="1342"/>
      <c r="O5" s="827" t="s">
        <v>2869</v>
      </c>
      <c r="P5" s="827"/>
      <c r="Q5" s="1292" t="s">
        <v>3981</v>
      </c>
      <c r="R5" s="1341"/>
      <c r="S5" s="1342"/>
    </row>
    <row r="6" spans="1:19" s="449" customFormat="1" ht="12.6" customHeight="1">
      <c r="D6" s="498"/>
      <c r="E6" s="455" t="s">
        <v>1527</v>
      </c>
      <c r="F6" s="463"/>
      <c r="H6" s="1292" t="s">
        <v>3982</v>
      </c>
      <c r="I6" s="1341"/>
      <c r="J6" s="1341"/>
      <c r="K6" s="1341"/>
      <c r="L6" s="1341"/>
      <c r="M6" s="1341"/>
      <c r="N6" s="1342"/>
      <c r="O6" s="827" t="s">
        <v>2601</v>
      </c>
      <c r="Q6" s="1292" t="s">
        <v>4021</v>
      </c>
      <c r="R6" s="1341"/>
      <c r="S6" s="1342"/>
    </row>
    <row r="7" spans="1:19" s="449" customFormat="1" ht="12.6" customHeight="1">
      <c r="D7" s="498"/>
      <c r="E7" s="455" t="s">
        <v>876</v>
      </c>
      <c r="H7" s="1292" t="s">
        <v>3983</v>
      </c>
      <c r="I7" s="1341"/>
      <c r="J7" s="1342"/>
      <c r="K7" s="1370" t="s">
        <v>1159</v>
      </c>
      <c r="L7" s="1292"/>
      <c r="M7" s="1341"/>
      <c r="N7" s="1342"/>
      <c r="O7" s="827" t="s">
        <v>2659</v>
      </c>
      <c r="Q7" s="1300"/>
      <c r="R7" s="1305"/>
      <c r="S7" s="1301"/>
    </row>
    <row r="8" spans="1:19" s="449" customFormat="1" ht="12.6" customHeight="1">
      <c r="D8" s="498"/>
      <c r="E8" s="455" t="s">
        <v>2655</v>
      </c>
      <c r="H8" s="1306" t="s">
        <v>1327</v>
      </c>
      <c r="I8" s="836" t="s">
        <v>1843</v>
      </c>
      <c r="J8" s="1303">
        <v>363011119</v>
      </c>
      <c r="K8" s="1342"/>
      <c r="L8" s="397" t="s">
        <v>1846</v>
      </c>
      <c r="N8" s="1343" t="s">
        <v>4022</v>
      </c>
      <c r="O8" s="827" t="s">
        <v>2858</v>
      </c>
      <c r="Q8" s="1300">
        <v>3347019024</v>
      </c>
      <c r="R8" s="1305"/>
      <c r="S8" s="1301"/>
    </row>
    <row r="9" spans="1:19" s="449" customFormat="1" ht="12.6" customHeight="1">
      <c r="D9" s="498"/>
      <c r="E9" s="455" t="s">
        <v>2864</v>
      </c>
      <c r="H9" s="1300">
        <v>3347942678</v>
      </c>
      <c r="I9" s="1301"/>
      <c r="J9" s="1371"/>
      <c r="K9" s="836" t="s">
        <v>2658</v>
      </c>
      <c r="L9" s="1329">
        <v>3348360407</v>
      </c>
      <c r="M9" s="1342"/>
      <c r="N9" s="457" t="s">
        <v>2863</v>
      </c>
      <c r="O9" s="1307" t="s">
        <v>3984</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3005</v>
      </c>
      <c r="E16" s="449" t="s">
        <v>2727</v>
      </c>
      <c r="H16" s="1292" t="s">
        <v>4023</v>
      </c>
      <c r="I16" s="1341"/>
      <c r="J16" s="1341"/>
      <c r="K16" s="1341"/>
      <c r="L16" s="1341"/>
      <c r="M16" s="1341"/>
      <c r="N16" s="1342"/>
      <c r="O16" s="827" t="s">
        <v>2869</v>
      </c>
      <c r="P16" s="827"/>
      <c r="Q16" s="1292" t="s">
        <v>3981</v>
      </c>
      <c r="R16" s="1341"/>
      <c r="S16" s="1342"/>
    </row>
    <row r="17" spans="4:19" s="449" customFormat="1" ht="12.6" customHeight="1">
      <c r="D17" s="498"/>
      <c r="E17" s="455" t="s">
        <v>1527</v>
      </c>
      <c r="F17" s="463"/>
      <c r="H17" s="1292" t="s">
        <v>3982</v>
      </c>
      <c r="I17" s="1341"/>
      <c r="J17" s="1341"/>
      <c r="K17" s="1341"/>
      <c r="L17" s="1341"/>
      <c r="M17" s="1341"/>
      <c r="N17" s="1342"/>
      <c r="O17" s="827" t="s">
        <v>2601</v>
      </c>
      <c r="Q17" s="1292" t="s">
        <v>3989</v>
      </c>
      <c r="R17" s="1341"/>
      <c r="S17" s="1342"/>
    </row>
    <row r="18" spans="4:19" s="449" customFormat="1" ht="12.6" customHeight="1">
      <c r="D18" s="498"/>
      <c r="E18" s="455" t="s">
        <v>876</v>
      </c>
      <c r="H18" s="1292" t="s">
        <v>3983</v>
      </c>
      <c r="I18" s="1341"/>
      <c r="J18" s="1342"/>
      <c r="O18" s="827" t="s">
        <v>2659</v>
      </c>
      <c r="Q18" s="1300"/>
      <c r="R18" s="1305"/>
      <c r="S18" s="1301"/>
    </row>
    <row r="19" spans="4:19" s="449" customFormat="1" ht="12.6" customHeight="1">
      <c r="D19" s="452"/>
      <c r="E19" s="455" t="s">
        <v>2655</v>
      </c>
      <c r="H19" s="1306" t="s">
        <v>1327</v>
      </c>
      <c r="I19" s="836" t="s">
        <v>1843</v>
      </c>
      <c r="J19" s="1303">
        <v>363011119</v>
      </c>
      <c r="K19" s="1342"/>
      <c r="L19" s="397" t="s">
        <v>1846</v>
      </c>
      <c r="N19" s="1343" t="s">
        <v>4022</v>
      </c>
      <c r="O19" s="827" t="s">
        <v>2858</v>
      </c>
      <c r="Q19" s="1300">
        <v>3347019024</v>
      </c>
      <c r="R19" s="1305"/>
      <c r="S19" s="1301"/>
    </row>
    <row r="20" spans="4:19" s="449" customFormat="1" ht="12.6" customHeight="1">
      <c r="D20" s="498"/>
      <c r="E20" s="455" t="s">
        <v>2864</v>
      </c>
      <c r="H20" s="1300">
        <v>3347942678</v>
      </c>
      <c r="I20" s="1301"/>
      <c r="J20" s="1371"/>
      <c r="K20" s="836" t="s">
        <v>2658</v>
      </c>
      <c r="L20" s="1329">
        <v>3348360407</v>
      </c>
      <c r="M20" s="1342"/>
      <c r="N20" s="457" t="s">
        <v>2863</v>
      </c>
      <c r="O20" s="1307" t="s">
        <v>3984</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3006</v>
      </c>
      <c r="E22" s="449" t="s">
        <v>2728</v>
      </c>
      <c r="F22" s="833"/>
      <c r="H22" s="1292"/>
      <c r="I22" s="1341"/>
      <c r="J22" s="1341"/>
      <c r="K22" s="1341"/>
      <c r="L22" s="1341"/>
      <c r="M22" s="1341"/>
      <c r="N22" s="1342"/>
      <c r="O22" s="827" t="s">
        <v>2869</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2659</v>
      </c>
      <c r="Q24" s="1300"/>
      <c r="R24" s="1305"/>
      <c r="S24" s="1301"/>
    </row>
    <row r="25" spans="4:19" s="449" customFormat="1" ht="12.6" customHeight="1">
      <c r="E25" s="455" t="s">
        <v>2655</v>
      </c>
      <c r="H25" s="1306"/>
      <c r="I25" s="483" t="s">
        <v>3138</v>
      </c>
      <c r="J25" s="1303"/>
      <c r="K25" s="1342"/>
      <c r="O25" s="827" t="s">
        <v>2858</v>
      </c>
      <c r="Q25" s="1300"/>
      <c r="R25" s="1305"/>
      <c r="S25" s="1301"/>
    </row>
    <row r="26" spans="4:19" s="449" customFormat="1" ht="12.6" customHeight="1">
      <c r="D26" s="498"/>
      <c r="E26" s="455" t="s">
        <v>2864</v>
      </c>
      <c r="H26" s="1300"/>
      <c r="I26" s="1301"/>
      <c r="J26" s="1371"/>
      <c r="K26" s="836" t="s">
        <v>2658</v>
      </c>
      <c r="L26" s="1329"/>
      <c r="M26" s="1342"/>
      <c r="N26" s="457" t="s">
        <v>2863</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2728</v>
      </c>
      <c r="F28" s="833"/>
      <c r="H28" s="1292"/>
      <c r="I28" s="1341"/>
      <c r="J28" s="1341"/>
      <c r="K28" s="1341"/>
      <c r="L28" s="1341"/>
      <c r="M28" s="1341"/>
      <c r="N28" s="1342"/>
      <c r="O28" s="827" t="s">
        <v>2869</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2659</v>
      </c>
      <c r="Q30" s="1300"/>
      <c r="R30" s="1305"/>
      <c r="S30" s="1301"/>
    </row>
    <row r="31" spans="4:19" s="449" customFormat="1" ht="12.6" customHeight="1">
      <c r="E31" s="455" t="s">
        <v>2655</v>
      </c>
      <c r="H31" s="1306"/>
      <c r="I31" s="483" t="s">
        <v>3138</v>
      </c>
      <c r="J31" s="1303"/>
      <c r="K31" s="1342"/>
      <c r="O31" s="827" t="s">
        <v>2858</v>
      </c>
      <c r="Q31" s="1300"/>
      <c r="R31" s="1305"/>
      <c r="S31" s="1301"/>
    </row>
    <row r="32" spans="4:19" s="449" customFormat="1" ht="12.6" customHeight="1">
      <c r="D32" s="498"/>
      <c r="E32" s="455" t="s">
        <v>2864</v>
      </c>
      <c r="H32" s="1300"/>
      <c r="I32" s="1301"/>
      <c r="J32" s="1371"/>
      <c r="K32" s="836"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3005</v>
      </c>
      <c r="E36" s="449" t="s">
        <v>1146</v>
      </c>
      <c r="H36" s="1292" t="s">
        <v>4068</v>
      </c>
      <c r="I36" s="1341"/>
      <c r="J36" s="1341"/>
      <c r="K36" s="1341"/>
      <c r="L36" s="1341"/>
      <c r="M36" s="1341"/>
      <c r="N36" s="1342"/>
      <c r="O36" s="827" t="s">
        <v>2869</v>
      </c>
      <c r="P36" s="827"/>
      <c r="Q36" s="1292" t="s">
        <v>4069</v>
      </c>
      <c r="R36" s="1341"/>
      <c r="S36" s="1342"/>
    </row>
    <row r="37" spans="3:19" s="449" customFormat="1" ht="12.6" customHeight="1">
      <c r="D37" s="498"/>
      <c r="E37" s="455" t="s">
        <v>1527</v>
      </c>
      <c r="F37" s="463"/>
      <c r="H37" s="1292" t="s">
        <v>4070</v>
      </c>
      <c r="I37" s="1341"/>
      <c r="J37" s="1341"/>
      <c r="K37" s="1341"/>
      <c r="L37" s="1341"/>
      <c r="M37" s="1341"/>
      <c r="N37" s="1342"/>
      <c r="O37" s="827" t="s">
        <v>2601</v>
      </c>
      <c r="Q37" s="1292" t="s">
        <v>3987</v>
      </c>
      <c r="R37" s="1341"/>
      <c r="S37" s="1342"/>
    </row>
    <row r="38" spans="3:19" s="449" customFormat="1" ht="12.6" customHeight="1">
      <c r="D38" s="498"/>
      <c r="E38" s="455" t="s">
        <v>876</v>
      </c>
      <c r="H38" s="1292" t="s">
        <v>2122</v>
      </c>
      <c r="I38" s="1341"/>
      <c r="J38" s="1342"/>
      <c r="O38" s="827" t="s">
        <v>2659</v>
      </c>
      <c r="Q38" s="1300">
        <v>4237501607</v>
      </c>
      <c r="R38" s="1305"/>
      <c r="S38" s="1301"/>
    </row>
    <row r="39" spans="3:19" s="449" customFormat="1" ht="12.6" customHeight="1">
      <c r="E39" s="455" t="s">
        <v>2655</v>
      </c>
      <c r="H39" s="1306" t="s">
        <v>1926</v>
      </c>
      <c r="I39" s="483" t="s">
        <v>3138</v>
      </c>
      <c r="J39" s="1303">
        <v>374022539</v>
      </c>
      <c r="K39" s="1342"/>
      <c r="O39" s="827" t="s">
        <v>2858</v>
      </c>
      <c r="Q39" s="1300"/>
      <c r="R39" s="1305"/>
      <c r="S39" s="1301"/>
    </row>
    <row r="40" spans="3:19" s="449" customFormat="1" ht="12.6" customHeight="1">
      <c r="D40" s="498"/>
      <c r="E40" s="455" t="s">
        <v>2864</v>
      </c>
      <c r="H40" s="1300"/>
      <c r="I40" s="1301"/>
      <c r="J40" s="1371"/>
      <c r="K40" s="836" t="s">
        <v>2658</v>
      </c>
      <c r="L40" s="1329">
        <v>4237521552</v>
      </c>
      <c r="M40" s="1342"/>
      <c r="N40" s="457" t="s">
        <v>2863</v>
      </c>
      <c r="O40" s="1307"/>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3006</v>
      </c>
      <c r="E42" s="449" t="s">
        <v>1147</v>
      </c>
      <c r="F42" s="452"/>
      <c r="H42" s="1292" t="s">
        <v>4065</v>
      </c>
      <c r="I42" s="1341"/>
      <c r="J42" s="1341"/>
      <c r="K42" s="1341"/>
      <c r="L42" s="1341"/>
      <c r="M42" s="1341"/>
      <c r="N42" s="1342"/>
      <c r="O42" s="827" t="s">
        <v>2869</v>
      </c>
      <c r="P42" s="827"/>
      <c r="Q42" s="1292" t="s">
        <v>4066</v>
      </c>
      <c r="R42" s="1341"/>
      <c r="S42" s="1342"/>
    </row>
    <row r="43" spans="3:19" s="449" customFormat="1" ht="12.6" customHeight="1">
      <c r="D43" s="498"/>
      <c r="E43" s="455" t="s">
        <v>1527</v>
      </c>
      <c r="F43" s="463"/>
      <c r="H43" s="1292" t="s">
        <v>4067</v>
      </c>
      <c r="I43" s="1341"/>
      <c r="J43" s="1341"/>
      <c r="K43" s="1341"/>
      <c r="L43" s="1341"/>
      <c r="M43" s="1341"/>
      <c r="N43" s="1342"/>
      <c r="O43" s="827" t="s">
        <v>2601</v>
      </c>
      <c r="Q43" s="1292" t="s">
        <v>3989</v>
      </c>
      <c r="R43" s="1341"/>
      <c r="S43" s="1342"/>
    </row>
    <row r="44" spans="3:19" s="449" customFormat="1" ht="12.6" customHeight="1">
      <c r="D44" s="498"/>
      <c r="E44" s="455" t="s">
        <v>876</v>
      </c>
      <c r="H44" s="1292" t="s">
        <v>3530</v>
      </c>
      <c r="I44" s="1341"/>
      <c r="J44" s="1342"/>
      <c r="O44" s="827" t="s">
        <v>2659</v>
      </c>
      <c r="Q44" s="1300"/>
      <c r="R44" s="1305"/>
      <c r="S44" s="1301"/>
    </row>
    <row r="45" spans="3:19" s="449" customFormat="1" ht="12.6" customHeight="1">
      <c r="D45" s="452"/>
      <c r="E45" s="455" t="s">
        <v>2655</v>
      </c>
      <c r="H45" s="1306" t="s">
        <v>1909</v>
      </c>
      <c r="I45" s="483" t="s">
        <v>3138</v>
      </c>
      <c r="J45" s="1303">
        <v>658044283</v>
      </c>
      <c r="K45" s="1342"/>
      <c r="O45" s="827" t="s">
        <v>2858</v>
      </c>
      <c r="Q45" s="1300"/>
      <c r="R45" s="1305"/>
      <c r="S45" s="1301"/>
    </row>
    <row r="46" spans="3:19" s="449" customFormat="1" ht="12.6" customHeight="1">
      <c r="D46" s="498"/>
      <c r="E46" s="455" t="s">
        <v>2864</v>
      </c>
      <c r="H46" s="1300">
        <v>4174471800</v>
      </c>
      <c r="I46" s="1301"/>
      <c r="J46" s="1371"/>
      <c r="K46" s="836" t="s">
        <v>2658</v>
      </c>
      <c r="L46" s="1329">
        <v>4178647894</v>
      </c>
      <c r="M46" s="1342"/>
      <c r="N46" s="457" t="s">
        <v>2863</v>
      </c>
      <c r="O46" s="1307"/>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c r="I50" s="1341"/>
      <c r="J50" s="1341"/>
      <c r="K50" s="1341"/>
      <c r="L50" s="1341"/>
      <c r="M50" s="1341"/>
      <c r="N50" s="1342"/>
      <c r="O50" s="827" t="s">
        <v>2869</v>
      </c>
      <c r="P50" s="827"/>
      <c r="Q50" s="1292"/>
      <c r="R50" s="1341"/>
      <c r="S50" s="1342"/>
    </row>
    <row r="51" spans="1:19" s="449" customFormat="1" ht="12.6" customHeight="1">
      <c r="D51" s="498"/>
      <c r="E51" s="455" t="s">
        <v>1527</v>
      </c>
      <c r="F51" s="463"/>
      <c r="H51" s="1292"/>
      <c r="I51" s="1341"/>
      <c r="J51" s="1341"/>
      <c r="K51" s="1341"/>
      <c r="L51" s="1341"/>
      <c r="M51" s="1341"/>
      <c r="N51" s="1342"/>
      <c r="O51" s="827" t="s">
        <v>2601</v>
      </c>
      <c r="Q51" s="1292"/>
      <c r="R51" s="1341"/>
      <c r="S51" s="1342"/>
    </row>
    <row r="52" spans="1:19" s="449" customFormat="1" ht="12.6" customHeight="1">
      <c r="D52" s="498"/>
      <c r="E52" s="455" t="s">
        <v>876</v>
      </c>
      <c r="H52" s="1292"/>
      <c r="I52" s="1341"/>
      <c r="J52" s="1342"/>
      <c r="O52" s="827" t="s">
        <v>2659</v>
      </c>
      <c r="Q52" s="1300"/>
      <c r="R52" s="1305"/>
      <c r="S52" s="1301"/>
    </row>
    <row r="53" spans="1:19" s="449" customFormat="1" ht="12.6" customHeight="1">
      <c r="E53" s="455" t="s">
        <v>2655</v>
      </c>
      <c r="H53" s="1306"/>
      <c r="I53" s="483" t="s">
        <v>3138</v>
      </c>
      <c r="J53" s="1303"/>
      <c r="K53" s="1342"/>
      <c r="O53" s="827" t="s">
        <v>2858</v>
      </c>
      <c r="Q53" s="1300"/>
      <c r="R53" s="1305"/>
      <c r="S53" s="1301"/>
    </row>
    <row r="54" spans="1:19" s="449" customFormat="1" ht="12.6" customHeight="1">
      <c r="D54" s="498"/>
      <c r="E54" s="455" t="s">
        <v>2864</v>
      </c>
      <c r="H54" s="1300"/>
      <c r="I54" s="1301"/>
      <c r="J54" s="1371"/>
      <c r="K54" s="836"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2862</v>
      </c>
      <c r="C58" s="452" t="s">
        <v>349</v>
      </c>
      <c r="H58" s="1292" t="s">
        <v>3980</v>
      </c>
      <c r="I58" s="1341"/>
      <c r="J58" s="1341"/>
      <c r="K58" s="1341"/>
      <c r="L58" s="1341"/>
      <c r="M58" s="1341"/>
      <c r="N58" s="1342"/>
      <c r="O58" s="827" t="s">
        <v>2869</v>
      </c>
      <c r="P58" s="827"/>
      <c r="Q58" s="1292" t="s">
        <v>3981</v>
      </c>
      <c r="R58" s="1341"/>
      <c r="S58" s="1342"/>
    </row>
    <row r="59" spans="1:19" s="449" customFormat="1" ht="13.15" customHeight="1">
      <c r="D59" s="498"/>
      <c r="E59" s="455" t="s">
        <v>1527</v>
      </c>
      <c r="F59" s="463"/>
      <c r="H59" s="1292" t="s">
        <v>3982</v>
      </c>
      <c r="I59" s="1341"/>
      <c r="J59" s="1341"/>
      <c r="K59" s="1341"/>
      <c r="L59" s="1341"/>
      <c r="M59" s="1341"/>
      <c r="N59" s="1342"/>
      <c r="O59" s="827" t="s">
        <v>2601</v>
      </c>
      <c r="Q59" s="1292" t="s">
        <v>3479</v>
      </c>
      <c r="R59" s="1341"/>
      <c r="S59" s="1342"/>
    </row>
    <row r="60" spans="1:19" s="449" customFormat="1" ht="13.15" customHeight="1">
      <c r="D60" s="498"/>
      <c r="E60" s="455" t="s">
        <v>876</v>
      </c>
      <c r="H60" s="1292" t="s">
        <v>3983</v>
      </c>
      <c r="I60" s="1341"/>
      <c r="J60" s="1342"/>
      <c r="O60" s="827" t="s">
        <v>2659</v>
      </c>
      <c r="Q60" s="1300"/>
      <c r="R60" s="1305"/>
      <c r="S60" s="1301"/>
    </row>
    <row r="61" spans="1:19" s="449" customFormat="1" ht="13.15" customHeight="1">
      <c r="E61" s="455" t="s">
        <v>2655</v>
      </c>
      <c r="H61" s="1306" t="s">
        <v>1327</v>
      </c>
      <c r="I61" s="483" t="s">
        <v>3138</v>
      </c>
      <c r="J61" s="1303">
        <v>363011119</v>
      </c>
      <c r="K61" s="1342"/>
      <c r="O61" s="827" t="s">
        <v>2858</v>
      </c>
      <c r="Q61" s="1300">
        <v>3347019024</v>
      </c>
      <c r="R61" s="1305"/>
      <c r="S61" s="1301"/>
    </row>
    <row r="62" spans="1:19" s="449" customFormat="1" ht="13.15" customHeight="1">
      <c r="D62" s="498"/>
      <c r="E62" s="455" t="s">
        <v>2864</v>
      </c>
      <c r="H62" s="1300">
        <v>3347942678</v>
      </c>
      <c r="I62" s="1301"/>
      <c r="J62" s="1371"/>
      <c r="K62" s="836" t="s">
        <v>2658</v>
      </c>
      <c r="L62" s="1329">
        <v>3348360407</v>
      </c>
      <c r="M62" s="1342"/>
      <c r="N62" s="457" t="s">
        <v>2863</v>
      </c>
      <c r="O62" s="1307" t="s">
        <v>3984</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2865</v>
      </c>
      <c r="C64" s="452" t="s">
        <v>350</v>
      </c>
      <c r="H64" s="1292" t="s">
        <v>3985</v>
      </c>
      <c r="I64" s="1341"/>
      <c r="J64" s="1341"/>
      <c r="K64" s="1341"/>
      <c r="L64" s="1341"/>
      <c r="M64" s="1341"/>
      <c r="N64" s="1342"/>
      <c r="O64" s="827" t="s">
        <v>2869</v>
      </c>
      <c r="P64" s="827"/>
      <c r="Q64" s="1292" t="s">
        <v>3976</v>
      </c>
      <c r="R64" s="1341"/>
      <c r="S64" s="1342"/>
    </row>
    <row r="65" spans="2:19" s="449" customFormat="1" ht="13.15" customHeight="1">
      <c r="D65" s="498"/>
      <c r="E65" s="455" t="s">
        <v>1527</v>
      </c>
      <c r="F65" s="463"/>
      <c r="H65" s="1292" t="s">
        <v>3986</v>
      </c>
      <c r="I65" s="1341"/>
      <c r="J65" s="1341"/>
      <c r="K65" s="1341"/>
      <c r="L65" s="1341"/>
      <c r="M65" s="1341"/>
      <c r="N65" s="1342"/>
      <c r="O65" s="827" t="s">
        <v>2601</v>
      </c>
      <c r="Q65" s="1292" t="s">
        <v>3479</v>
      </c>
      <c r="R65" s="1341"/>
      <c r="S65" s="1342"/>
    </row>
    <row r="66" spans="2:19" s="449" customFormat="1" ht="13.15" customHeight="1">
      <c r="D66" s="498"/>
      <c r="E66" s="455" t="s">
        <v>876</v>
      </c>
      <c r="H66" s="1292" t="s">
        <v>3978</v>
      </c>
      <c r="I66" s="1341"/>
      <c r="J66" s="1342"/>
      <c r="O66" s="827" t="s">
        <v>2659</v>
      </c>
      <c r="Q66" s="1300">
        <v>2514041225</v>
      </c>
      <c r="R66" s="1305"/>
      <c r="S66" s="1301"/>
    </row>
    <row r="67" spans="2:19" s="449" customFormat="1" ht="13.15" customHeight="1">
      <c r="E67" s="455" t="s">
        <v>2655</v>
      </c>
      <c r="H67" s="1306" t="s">
        <v>1327</v>
      </c>
      <c r="I67" s="483" t="s">
        <v>3138</v>
      </c>
      <c r="J67" s="1303">
        <v>366064036</v>
      </c>
      <c r="K67" s="1342"/>
      <c r="O67" s="827" t="s">
        <v>2858</v>
      </c>
      <c r="Q67" s="1300">
        <v>2514041225</v>
      </c>
      <c r="R67" s="1305"/>
      <c r="S67" s="1301"/>
    </row>
    <row r="68" spans="2:19" s="449" customFormat="1" ht="13.15" customHeight="1">
      <c r="D68" s="498"/>
      <c r="E68" s="455" t="s">
        <v>2864</v>
      </c>
      <c r="H68" s="1300"/>
      <c r="I68" s="1301"/>
      <c r="J68" s="1371"/>
      <c r="K68" s="836" t="s">
        <v>2658</v>
      </c>
      <c r="L68" s="1329">
        <v>2515454200</v>
      </c>
      <c r="M68" s="1342"/>
      <c r="N68" s="457" t="s">
        <v>2863</v>
      </c>
      <c r="O68" s="1307" t="s">
        <v>3979</v>
      </c>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2869</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2659</v>
      </c>
      <c r="Q72" s="1300"/>
      <c r="R72" s="1305"/>
      <c r="S72" s="1301"/>
    </row>
    <row r="73" spans="2:19" s="449" customFormat="1" ht="13.15" customHeight="1">
      <c r="E73" s="455" t="s">
        <v>2655</v>
      </c>
      <c r="H73" s="1306"/>
      <c r="I73" s="483" t="s">
        <v>3138</v>
      </c>
      <c r="J73" s="1303"/>
      <c r="K73" s="1342"/>
      <c r="O73" s="827" t="s">
        <v>2858</v>
      </c>
      <c r="Q73" s="1300"/>
      <c r="R73" s="1305"/>
      <c r="S73" s="1301"/>
    </row>
    <row r="74" spans="2:19" s="449" customFormat="1" ht="13.15" customHeight="1">
      <c r="D74" s="498"/>
      <c r="E74" s="455" t="s">
        <v>2864</v>
      </c>
      <c r="H74" s="1300"/>
      <c r="I74" s="1301"/>
      <c r="J74" s="1371"/>
      <c r="K74" s="836" t="s">
        <v>2658</v>
      </c>
      <c r="L74" s="1329"/>
      <c r="M74" s="1342"/>
      <c r="N74" s="457" t="s">
        <v>2863</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3004</v>
      </c>
      <c r="C76" s="452" t="s">
        <v>351</v>
      </c>
      <c r="H76" s="1292"/>
      <c r="I76" s="1341"/>
      <c r="J76" s="1341"/>
      <c r="K76" s="1341"/>
      <c r="L76" s="1341"/>
      <c r="M76" s="1341"/>
      <c r="N76" s="1342"/>
      <c r="O76" s="827" t="s">
        <v>2869</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2659</v>
      </c>
      <c r="Q78" s="1300"/>
      <c r="R78" s="1305"/>
      <c r="S78" s="1301"/>
    </row>
    <row r="79" spans="2:19" s="449" customFormat="1" ht="13.15" customHeight="1">
      <c r="E79" s="455" t="s">
        <v>2655</v>
      </c>
      <c r="H79" s="1306"/>
      <c r="I79" s="483" t="s">
        <v>3138</v>
      </c>
      <c r="J79" s="1303"/>
      <c r="K79" s="1342"/>
      <c r="O79" s="827" t="s">
        <v>2858</v>
      </c>
      <c r="Q79" s="1300"/>
      <c r="R79" s="1305"/>
      <c r="S79" s="1301"/>
    </row>
    <row r="80" spans="2:19" s="449" customFormat="1" ht="13.15" customHeight="1">
      <c r="D80" s="498"/>
      <c r="E80" s="455" t="s">
        <v>2864</v>
      </c>
      <c r="H80" s="1300"/>
      <c r="I80" s="1301"/>
      <c r="J80" s="1371"/>
      <c r="K80" s="836"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2862</v>
      </c>
      <c r="C84" s="452" t="s">
        <v>353</v>
      </c>
      <c r="H84" s="1292"/>
      <c r="I84" s="1341"/>
      <c r="J84" s="1341"/>
      <c r="K84" s="1341"/>
      <c r="L84" s="1341"/>
      <c r="M84" s="1341"/>
      <c r="N84" s="1342"/>
      <c r="O84" s="827" t="s">
        <v>2869</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2659</v>
      </c>
      <c r="Q86" s="1300"/>
      <c r="R86" s="1305"/>
      <c r="S86" s="1301"/>
    </row>
    <row r="87" spans="1:19" s="449" customFormat="1" ht="13.15" customHeight="1">
      <c r="E87" s="455" t="s">
        <v>2655</v>
      </c>
      <c r="H87" s="1306"/>
      <c r="I87" s="483" t="s">
        <v>3138</v>
      </c>
      <c r="J87" s="1303"/>
      <c r="K87" s="1342"/>
      <c r="O87" s="827" t="s">
        <v>2858</v>
      </c>
      <c r="Q87" s="1300"/>
      <c r="R87" s="1305"/>
      <c r="S87" s="1301"/>
    </row>
    <row r="88" spans="1:19" s="449" customFormat="1" ht="13.15" customHeight="1">
      <c r="D88" s="498"/>
      <c r="E88" s="455" t="s">
        <v>2864</v>
      </c>
      <c r="H88" s="1300"/>
      <c r="I88" s="1301"/>
      <c r="J88" s="1371"/>
      <c r="K88" s="836" t="s">
        <v>2658</v>
      </c>
      <c r="L88" s="1329"/>
      <c r="M88" s="1342"/>
      <c r="N88" s="457" t="s">
        <v>2863</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2865</v>
      </c>
      <c r="C90" s="452" t="s">
        <v>354</v>
      </c>
      <c r="H90" s="1292" t="s">
        <v>3988</v>
      </c>
      <c r="I90" s="1341"/>
      <c r="J90" s="1341"/>
      <c r="K90" s="1341"/>
      <c r="L90" s="1341"/>
      <c r="M90" s="1341"/>
      <c r="N90" s="1342"/>
      <c r="O90" s="827" t="s">
        <v>2869</v>
      </c>
      <c r="P90" s="827"/>
      <c r="Q90" s="1292" t="s">
        <v>3981</v>
      </c>
      <c r="R90" s="1341"/>
      <c r="S90" s="1342"/>
    </row>
    <row r="91" spans="1:19" s="449" customFormat="1" ht="13.15" customHeight="1">
      <c r="D91" s="498"/>
      <c r="E91" s="455" t="s">
        <v>1527</v>
      </c>
      <c r="F91" s="463"/>
      <c r="H91" s="1292" t="s">
        <v>3982</v>
      </c>
      <c r="I91" s="1341"/>
      <c r="J91" s="1341"/>
      <c r="K91" s="1341"/>
      <c r="L91" s="1341"/>
      <c r="M91" s="1341"/>
      <c r="N91" s="1342"/>
      <c r="O91" s="827" t="s">
        <v>2601</v>
      </c>
      <c r="Q91" s="1292" t="s">
        <v>3989</v>
      </c>
      <c r="R91" s="1341"/>
      <c r="S91" s="1342"/>
    </row>
    <row r="92" spans="1:19" s="449" customFormat="1" ht="13.15" customHeight="1">
      <c r="D92" s="498"/>
      <c r="E92" s="455" t="s">
        <v>876</v>
      </c>
      <c r="H92" s="1292" t="s">
        <v>3983</v>
      </c>
      <c r="I92" s="1341"/>
      <c r="J92" s="1342"/>
      <c r="O92" s="827" t="s">
        <v>2659</v>
      </c>
      <c r="Q92" s="1300"/>
      <c r="R92" s="1305"/>
      <c r="S92" s="1301"/>
    </row>
    <row r="93" spans="1:19" s="449" customFormat="1" ht="13.15" customHeight="1">
      <c r="E93" s="455" t="s">
        <v>2655</v>
      </c>
      <c r="H93" s="1306" t="s">
        <v>1327</v>
      </c>
      <c r="I93" s="483" t="s">
        <v>3138</v>
      </c>
      <c r="J93" s="1303">
        <v>363011119</v>
      </c>
      <c r="K93" s="1342"/>
      <c r="O93" s="827" t="s">
        <v>2858</v>
      </c>
      <c r="Q93" s="1300">
        <v>3347019024</v>
      </c>
      <c r="R93" s="1305"/>
      <c r="S93" s="1301"/>
    </row>
    <row r="94" spans="1:19" s="449" customFormat="1" ht="13.15" customHeight="1">
      <c r="D94" s="498"/>
      <c r="E94" s="455" t="s">
        <v>2864</v>
      </c>
      <c r="H94" s="1300">
        <v>3347942678</v>
      </c>
      <c r="I94" s="1301"/>
      <c r="J94" s="1371"/>
      <c r="K94" s="836" t="s">
        <v>2658</v>
      </c>
      <c r="L94" s="1329">
        <v>3348360407</v>
      </c>
      <c r="M94" s="1342"/>
      <c r="N94" s="457" t="s">
        <v>2863</v>
      </c>
      <c r="O94" s="1307" t="s">
        <v>3984</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3990</v>
      </c>
      <c r="I96" s="1341"/>
      <c r="J96" s="1341"/>
      <c r="K96" s="1341"/>
      <c r="L96" s="1341"/>
      <c r="M96" s="1341"/>
      <c r="N96" s="1342"/>
      <c r="O96" s="827" t="s">
        <v>2869</v>
      </c>
      <c r="P96" s="827"/>
      <c r="Q96" s="1292" t="s">
        <v>3981</v>
      </c>
      <c r="R96" s="1341"/>
      <c r="S96" s="1342"/>
    </row>
    <row r="97" spans="2:19" s="449" customFormat="1" ht="13.15" customHeight="1">
      <c r="D97" s="498"/>
      <c r="E97" s="455" t="s">
        <v>1527</v>
      </c>
      <c r="F97" s="463"/>
      <c r="H97" s="1292" t="s">
        <v>3982</v>
      </c>
      <c r="I97" s="1341"/>
      <c r="J97" s="1341"/>
      <c r="K97" s="1341"/>
      <c r="L97" s="1341"/>
      <c r="M97" s="1341"/>
      <c r="N97" s="1342"/>
      <c r="O97" s="827" t="s">
        <v>2601</v>
      </c>
      <c r="Q97" s="1292" t="s">
        <v>3989</v>
      </c>
      <c r="R97" s="1341"/>
      <c r="S97" s="1342"/>
    </row>
    <row r="98" spans="2:19" s="449" customFormat="1" ht="13.15" customHeight="1">
      <c r="D98" s="498"/>
      <c r="E98" s="455" t="s">
        <v>876</v>
      </c>
      <c r="H98" s="1292" t="s">
        <v>3983</v>
      </c>
      <c r="I98" s="1341"/>
      <c r="J98" s="1342"/>
      <c r="O98" s="827" t="s">
        <v>2659</v>
      </c>
      <c r="Q98" s="1300"/>
      <c r="R98" s="1305"/>
      <c r="S98" s="1301"/>
    </row>
    <row r="99" spans="2:19" s="449" customFormat="1" ht="13.15" customHeight="1">
      <c r="D99" s="498"/>
      <c r="E99" s="455" t="s">
        <v>2655</v>
      </c>
      <c r="H99" s="1306" t="s">
        <v>1327</v>
      </c>
      <c r="I99" s="483" t="s">
        <v>3138</v>
      </c>
      <c r="J99" s="1303">
        <v>363011119</v>
      </c>
      <c r="K99" s="1342"/>
      <c r="O99" s="827" t="s">
        <v>2858</v>
      </c>
      <c r="Q99" s="1300">
        <v>3347019024</v>
      </c>
      <c r="R99" s="1305"/>
      <c r="S99" s="1301"/>
    </row>
    <row r="100" spans="2:19" s="449" customFormat="1" ht="13.15" customHeight="1">
      <c r="D100" s="498"/>
      <c r="E100" s="455" t="s">
        <v>2864</v>
      </c>
      <c r="H100" s="1300">
        <v>3347942678</v>
      </c>
      <c r="I100" s="1301"/>
      <c r="J100" s="1371"/>
      <c r="K100" s="836" t="s">
        <v>2658</v>
      </c>
      <c r="L100" s="1329">
        <v>3348360407</v>
      </c>
      <c r="M100" s="1342"/>
      <c r="N100" s="457" t="s">
        <v>2863</v>
      </c>
      <c r="O100" s="1307" t="s">
        <v>3984</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3004</v>
      </c>
      <c r="C102" s="452" t="s">
        <v>356</v>
      </c>
      <c r="H102" s="1292" t="s">
        <v>3991</v>
      </c>
      <c r="I102" s="1341"/>
      <c r="J102" s="1341"/>
      <c r="K102" s="1341"/>
      <c r="L102" s="1341"/>
      <c r="M102" s="1341"/>
      <c r="N102" s="1342"/>
      <c r="O102" s="827" t="s">
        <v>2869</v>
      </c>
      <c r="P102" s="827"/>
      <c r="Q102" s="1292" t="s">
        <v>3992</v>
      </c>
      <c r="R102" s="1341"/>
      <c r="S102" s="1342"/>
    </row>
    <row r="103" spans="2:19" s="449" customFormat="1" ht="13.15" customHeight="1">
      <c r="D103" s="498"/>
      <c r="E103" s="455" t="s">
        <v>1527</v>
      </c>
      <c r="F103" s="463"/>
      <c r="H103" s="1292" t="s">
        <v>3993</v>
      </c>
      <c r="I103" s="1341"/>
      <c r="J103" s="1341"/>
      <c r="K103" s="1341"/>
      <c r="L103" s="1341"/>
      <c r="M103" s="1341"/>
      <c r="N103" s="1342"/>
      <c r="O103" s="827" t="s">
        <v>2601</v>
      </c>
      <c r="Q103" s="1292" t="s">
        <v>3994</v>
      </c>
      <c r="R103" s="1341"/>
      <c r="S103" s="1342"/>
    </row>
    <row r="104" spans="2:19" s="449" customFormat="1" ht="13.15" customHeight="1">
      <c r="D104" s="498"/>
      <c r="E104" s="455" t="s">
        <v>876</v>
      </c>
      <c r="H104" s="1292" t="s">
        <v>2543</v>
      </c>
      <c r="I104" s="1341"/>
      <c r="J104" s="1342"/>
      <c r="O104" s="827" t="s">
        <v>2659</v>
      </c>
      <c r="Q104" s="1300">
        <v>2296718255</v>
      </c>
      <c r="R104" s="1305"/>
      <c r="S104" s="1301"/>
    </row>
    <row r="105" spans="2:19" s="449" customFormat="1" ht="13.15" customHeight="1">
      <c r="D105" s="498"/>
      <c r="E105" s="455" t="s">
        <v>2655</v>
      </c>
      <c r="H105" s="1306" t="s">
        <v>1337</v>
      </c>
      <c r="I105" s="483" t="s">
        <v>3138</v>
      </c>
      <c r="J105" s="1303">
        <v>316014531</v>
      </c>
      <c r="K105" s="1342"/>
      <c r="O105" s="827" t="s">
        <v>2858</v>
      </c>
      <c r="Q105" s="1300"/>
      <c r="R105" s="1305"/>
      <c r="S105" s="1301"/>
    </row>
    <row r="106" spans="2:19" ht="13.15" customHeight="1">
      <c r="E106" s="455" t="s">
        <v>2864</v>
      </c>
      <c r="F106" s="449"/>
      <c r="G106" s="449"/>
      <c r="H106" s="1300">
        <v>2296718255</v>
      </c>
      <c r="I106" s="1301"/>
      <c r="J106" s="1371"/>
      <c r="K106" s="836" t="s">
        <v>2658</v>
      </c>
      <c r="L106" s="1329">
        <v>2293330885</v>
      </c>
      <c r="M106" s="1342"/>
      <c r="N106" s="457" t="s">
        <v>2863</v>
      </c>
      <c r="O106" s="1307" t="s">
        <v>3995</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3996</v>
      </c>
      <c r="I109" s="1341"/>
      <c r="J109" s="1341"/>
      <c r="K109" s="1341"/>
      <c r="L109" s="1341"/>
      <c r="M109" s="1341"/>
      <c r="N109" s="1342"/>
      <c r="O109" s="827" t="s">
        <v>2869</v>
      </c>
      <c r="P109" s="827"/>
      <c r="Q109" s="1292" t="s">
        <v>3997</v>
      </c>
      <c r="R109" s="1341"/>
      <c r="S109" s="1342"/>
    </row>
    <row r="110" spans="2:19" s="449" customFormat="1" ht="13.15" customHeight="1">
      <c r="D110" s="498"/>
      <c r="E110" s="455" t="s">
        <v>1527</v>
      </c>
      <c r="F110" s="463"/>
      <c r="H110" s="1292" t="s">
        <v>3998</v>
      </c>
      <c r="I110" s="1341"/>
      <c r="J110" s="1341"/>
      <c r="K110" s="1341"/>
      <c r="L110" s="1341"/>
      <c r="M110" s="1341"/>
      <c r="N110" s="1342"/>
      <c r="O110" s="827" t="s">
        <v>2601</v>
      </c>
      <c r="Q110" s="1292" t="s">
        <v>3479</v>
      </c>
      <c r="R110" s="1341"/>
      <c r="S110" s="1342"/>
    </row>
    <row r="111" spans="2:19" s="449" customFormat="1" ht="13.15" customHeight="1">
      <c r="D111" s="498"/>
      <c r="E111" s="455" t="s">
        <v>876</v>
      </c>
      <c r="H111" s="1292" t="s">
        <v>3983</v>
      </c>
      <c r="I111" s="1341"/>
      <c r="J111" s="1342"/>
      <c r="O111" s="827" t="s">
        <v>2659</v>
      </c>
      <c r="Q111" s="1300"/>
      <c r="R111" s="1305"/>
      <c r="S111" s="1301"/>
    </row>
    <row r="112" spans="2:19" s="449" customFormat="1" ht="13.15" customHeight="1">
      <c r="D112" s="498"/>
      <c r="E112" s="455" t="s">
        <v>2655</v>
      </c>
      <c r="H112" s="1306" t="s">
        <v>1327</v>
      </c>
      <c r="I112" s="483" t="s">
        <v>3138</v>
      </c>
      <c r="J112" s="1303">
        <v>363016412</v>
      </c>
      <c r="K112" s="1342"/>
      <c r="O112" s="827" t="s">
        <v>2858</v>
      </c>
      <c r="Q112" s="1300"/>
      <c r="R112" s="1305"/>
      <c r="S112" s="1301"/>
    </row>
    <row r="113" spans="1:19" ht="13.15" customHeight="1">
      <c r="E113" s="455" t="s">
        <v>2864</v>
      </c>
      <c r="F113" s="449"/>
      <c r="G113" s="449"/>
      <c r="H113" s="1300">
        <v>3347937001</v>
      </c>
      <c r="I113" s="1301"/>
      <c r="J113" s="1371"/>
      <c r="K113" s="836" t="s">
        <v>2658</v>
      </c>
      <c r="L113" s="1329"/>
      <c r="M113" s="1342"/>
      <c r="N113" s="457" t="s">
        <v>2863</v>
      </c>
      <c r="O113" s="1307" t="s">
        <v>3999</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4000</v>
      </c>
      <c r="I115" s="1341"/>
      <c r="J115" s="1341"/>
      <c r="K115" s="1341"/>
      <c r="L115" s="1341"/>
      <c r="M115" s="1341"/>
      <c r="N115" s="1342"/>
      <c r="O115" s="827" t="s">
        <v>2869</v>
      </c>
      <c r="P115" s="827"/>
      <c r="Q115" s="1292" t="s">
        <v>4001</v>
      </c>
      <c r="R115" s="1341"/>
      <c r="S115" s="1342"/>
    </row>
    <row r="116" spans="1:19" s="449" customFormat="1" ht="13.15" customHeight="1">
      <c r="D116" s="498"/>
      <c r="E116" s="455" t="s">
        <v>1527</v>
      </c>
      <c r="F116" s="463"/>
      <c r="H116" s="1292" t="s">
        <v>4002</v>
      </c>
      <c r="I116" s="1341"/>
      <c r="J116" s="1341"/>
      <c r="K116" s="1341"/>
      <c r="L116" s="1341"/>
      <c r="M116" s="1341"/>
      <c r="N116" s="1342"/>
      <c r="O116" s="827" t="s">
        <v>2601</v>
      </c>
      <c r="Q116" s="1292" t="s">
        <v>4003</v>
      </c>
      <c r="R116" s="1341"/>
      <c r="S116" s="1342"/>
    </row>
    <row r="117" spans="1:19" s="449" customFormat="1" ht="13.15" customHeight="1">
      <c r="D117" s="498"/>
      <c r="E117" s="455" t="s">
        <v>876</v>
      </c>
      <c r="H117" s="1292" t="s">
        <v>222</v>
      </c>
      <c r="I117" s="1341"/>
      <c r="J117" s="1342"/>
      <c r="O117" s="827" t="s">
        <v>2659</v>
      </c>
      <c r="Q117" s="1300"/>
      <c r="R117" s="1305"/>
      <c r="S117" s="1301"/>
    </row>
    <row r="118" spans="1:19" s="449" customFormat="1" ht="13.15" customHeight="1">
      <c r="D118" s="503"/>
      <c r="E118" s="455" t="s">
        <v>2655</v>
      </c>
      <c r="H118" s="1306" t="s">
        <v>1327</v>
      </c>
      <c r="I118" s="483" t="s">
        <v>3138</v>
      </c>
      <c r="J118" s="1303">
        <v>361062727</v>
      </c>
      <c r="K118" s="1342"/>
      <c r="O118" s="827" t="s">
        <v>2858</v>
      </c>
      <c r="Q118" s="1300"/>
      <c r="R118" s="1305"/>
      <c r="S118" s="1301"/>
    </row>
    <row r="119" spans="1:19" s="449" customFormat="1" ht="13.15" customHeight="1">
      <c r="D119" s="503"/>
      <c r="E119" s="455" t="s">
        <v>2864</v>
      </c>
      <c r="H119" s="1300">
        <v>3342724044</v>
      </c>
      <c r="I119" s="1301"/>
      <c r="J119" s="1371"/>
      <c r="K119" s="836" t="s">
        <v>2658</v>
      </c>
      <c r="L119" s="1329">
        <v>3342440347</v>
      </c>
      <c r="M119" s="1342"/>
      <c r="N119" s="457" t="s">
        <v>2863</v>
      </c>
      <c r="O119" s="1307" t="s">
        <v>4004</v>
      </c>
      <c r="P119" s="1308"/>
      <c r="Q119" s="1308"/>
      <c r="R119" s="1308"/>
      <c r="S119" s="1309"/>
    </row>
    <row r="120" spans="1:19" ht="13.15" customHeight="1"/>
    <row r="121" spans="1:19" s="449" customFormat="1" ht="13.15" customHeight="1">
      <c r="A121" s="452" t="s">
        <v>2648</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3300</v>
      </c>
      <c r="B128" s="835"/>
      <c r="C128" s="835"/>
      <c r="D128" s="841"/>
      <c r="E128" s="1385" t="s">
        <v>4005</v>
      </c>
      <c r="F128" s="1385" t="s">
        <v>4005</v>
      </c>
      <c r="G128" s="1386" t="s">
        <v>4005</v>
      </c>
      <c r="H128" s="1387"/>
      <c r="I128" s="1388"/>
      <c r="J128" s="1386" t="s">
        <v>4006</v>
      </c>
      <c r="K128" s="1388"/>
      <c r="L128" s="1386" t="s">
        <v>4005</v>
      </c>
      <c r="M128" s="1388"/>
      <c r="N128" s="1386" t="s">
        <v>4005</v>
      </c>
      <c r="O128" s="1388"/>
      <c r="P128" s="1389" t="s">
        <v>4007</v>
      </c>
      <c r="Q128" s="1390"/>
      <c r="R128" s="1391">
        <v>1E-4</v>
      </c>
      <c r="S128" s="1392"/>
    </row>
    <row r="129" spans="1:19" s="449" customFormat="1" ht="13.9" customHeight="1">
      <c r="A129" s="832" t="s">
        <v>3290</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9"/>
      <c r="E131" s="1393" t="s">
        <v>4005</v>
      </c>
      <c r="F131" s="1393" t="s">
        <v>4005</v>
      </c>
      <c r="G131" s="1394" t="s">
        <v>4005</v>
      </c>
      <c r="H131" s="1395"/>
      <c r="I131" s="1396"/>
      <c r="J131" s="1394" t="s">
        <v>4005</v>
      </c>
      <c r="K131" s="1396"/>
      <c r="L131" s="1394" t="s">
        <v>4005</v>
      </c>
      <c r="M131" s="1396"/>
      <c r="N131" s="1394" t="s">
        <v>4005</v>
      </c>
      <c r="O131" s="1396"/>
      <c r="P131" s="1397" t="s">
        <v>4007</v>
      </c>
      <c r="Q131" s="1398"/>
      <c r="R131" s="1399">
        <v>0.99980000000000002</v>
      </c>
      <c r="S131" s="1400"/>
    </row>
    <row r="132" spans="1:19" s="449" customFormat="1" ht="13.9" customHeight="1">
      <c r="A132" s="832" t="s">
        <v>3293</v>
      </c>
      <c r="B132" s="833"/>
      <c r="C132" s="833"/>
      <c r="D132" s="839"/>
      <c r="E132" s="1393" t="s">
        <v>4005</v>
      </c>
      <c r="F132" s="1393" t="s">
        <v>4005</v>
      </c>
      <c r="G132" s="1394" t="s">
        <v>4005</v>
      </c>
      <c r="H132" s="1395"/>
      <c r="I132" s="1396"/>
      <c r="J132" s="1394" t="s">
        <v>4005</v>
      </c>
      <c r="K132" s="1396"/>
      <c r="L132" s="1394" t="s">
        <v>4005</v>
      </c>
      <c r="M132" s="1396"/>
      <c r="N132" s="1394" t="s">
        <v>4005</v>
      </c>
      <c r="O132" s="1396"/>
      <c r="P132" s="1397" t="s">
        <v>4007</v>
      </c>
      <c r="Q132" s="1398"/>
      <c r="R132" s="1399">
        <v>1E-4</v>
      </c>
      <c r="S132" s="1400"/>
    </row>
    <row r="133" spans="1:19" s="449" customFormat="1" ht="13.9" customHeight="1">
      <c r="A133" s="832" t="s">
        <v>3294</v>
      </c>
      <c r="B133" s="833"/>
      <c r="C133" s="833"/>
      <c r="D133" s="839"/>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9"/>
      <c r="E134" s="1393" t="s">
        <v>4005</v>
      </c>
      <c r="F134" s="1393" t="s">
        <v>4005</v>
      </c>
      <c r="G134" s="1394" t="s">
        <v>4005</v>
      </c>
      <c r="H134" s="1395"/>
      <c r="I134" s="1396"/>
      <c r="J134" s="1394" t="s">
        <v>4006</v>
      </c>
      <c r="K134" s="1396"/>
      <c r="L134" s="1394" t="s">
        <v>4005</v>
      </c>
      <c r="M134" s="1396"/>
      <c r="N134" s="1394" t="s">
        <v>4005</v>
      </c>
      <c r="O134" s="1396"/>
      <c r="P134" s="1397" t="s">
        <v>4007</v>
      </c>
      <c r="Q134" s="1398"/>
      <c r="R134" s="1399"/>
      <c r="S134" s="1400"/>
    </row>
    <row r="135" spans="1:19" s="449" customFormat="1" ht="13.9" customHeight="1">
      <c r="A135" s="832" t="s">
        <v>3295</v>
      </c>
      <c r="B135" s="833"/>
      <c r="C135" s="833"/>
      <c r="D135" s="839"/>
      <c r="E135" s="1393" t="s">
        <v>4005</v>
      </c>
      <c r="F135" s="1393" t="s">
        <v>4005</v>
      </c>
      <c r="G135" s="1394" t="s">
        <v>4005</v>
      </c>
      <c r="H135" s="1395"/>
      <c r="I135" s="1396"/>
      <c r="J135" s="1394" t="s">
        <v>4006</v>
      </c>
      <c r="K135" s="1396"/>
      <c r="L135" s="1394" t="s">
        <v>4005</v>
      </c>
      <c r="M135" s="1396"/>
      <c r="N135" s="1394" t="s">
        <v>4005</v>
      </c>
      <c r="O135" s="1396"/>
      <c r="P135" s="1397" t="s">
        <v>4007</v>
      </c>
      <c r="Q135" s="1398"/>
      <c r="R135" s="1399"/>
      <c r="S135" s="1400"/>
    </row>
    <row r="136" spans="1:19" s="449" customFormat="1" ht="13.9" customHeight="1">
      <c r="A136" s="832" t="s">
        <v>3296</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4005</v>
      </c>
      <c r="F139" s="1393" t="s">
        <v>4005</v>
      </c>
      <c r="G139" s="1394" t="s">
        <v>4005</v>
      </c>
      <c r="H139" s="1395"/>
      <c r="I139" s="1396"/>
      <c r="J139" s="1394" t="s">
        <v>4006</v>
      </c>
      <c r="K139" s="1396"/>
      <c r="L139" s="1394" t="s">
        <v>4005</v>
      </c>
      <c r="M139" s="1396"/>
      <c r="N139" s="1394" t="s">
        <v>4005</v>
      </c>
      <c r="O139" s="1396"/>
      <c r="P139" s="1397" t="s">
        <v>4007</v>
      </c>
      <c r="Q139" s="1398"/>
      <c r="R139" s="1399"/>
      <c r="S139" s="1400"/>
    </row>
    <row r="140" spans="1:19" s="449" customFormat="1" ht="13.9" customHeight="1">
      <c r="A140" s="837" t="s">
        <v>3299</v>
      </c>
      <c r="B140" s="838"/>
      <c r="C140" s="838"/>
      <c r="D140" s="504"/>
      <c r="E140" s="1401" t="s">
        <v>4005</v>
      </c>
      <c r="F140" s="1401" t="s">
        <v>4005</v>
      </c>
      <c r="G140" s="1402" t="s">
        <v>4005</v>
      </c>
      <c r="H140" s="1403"/>
      <c r="I140" s="1404"/>
      <c r="J140" s="1402" t="s">
        <v>4006</v>
      </c>
      <c r="K140" s="1404"/>
      <c r="L140" s="1402" t="s">
        <v>4005</v>
      </c>
      <c r="M140" s="1404"/>
      <c r="N140" s="1402" t="s">
        <v>4005</v>
      </c>
      <c r="O140" s="1404"/>
      <c r="P140" s="1405" t="s">
        <v>4007</v>
      </c>
      <c r="Q140" s="1406"/>
      <c r="R140" s="1407"/>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51" customHeight="1">
      <c r="A145" s="1360" t="s">
        <v>4054</v>
      </c>
      <c r="B145" s="1361"/>
      <c r="C145" s="1361"/>
      <c r="D145" s="1361"/>
      <c r="E145" s="1361"/>
      <c r="F145" s="1361"/>
      <c r="G145" s="1361"/>
      <c r="H145" s="1361"/>
      <c r="I145" s="1361"/>
      <c r="J145" s="1361"/>
      <c r="K145" s="1361"/>
      <c r="L145" s="1361"/>
      <c r="M145" s="1362"/>
      <c r="N145" s="1363"/>
      <c r="O145" s="1364"/>
      <c r="P145" s="1364"/>
      <c r="Q145" s="1364"/>
      <c r="R145" s="1364"/>
      <c r="S145" s="1365"/>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2012-029 The Groves Place, Tifton, Tift County</v>
      </c>
      <c r="B1" s="916"/>
      <c r="C1" s="916"/>
      <c r="D1" s="916"/>
      <c r="E1" s="916"/>
      <c r="F1" s="916"/>
      <c r="G1" s="916"/>
      <c r="H1" s="916"/>
      <c r="I1" s="916"/>
      <c r="J1" s="916"/>
      <c r="K1" s="916"/>
      <c r="L1" s="916"/>
      <c r="M1" s="916"/>
      <c r="N1" s="916"/>
      <c r="O1" s="916"/>
      <c r="P1" s="916"/>
      <c r="Q1" s="917"/>
      <c r="S1" s="988" t="str">
        <f>$A$1</f>
        <v>PART THREE - SOURCES OF FUNDS  -  2012-029 The Groves Place, Tifton, Tift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3865</v>
      </c>
      <c r="T4" s="976"/>
    </row>
    <row r="5" spans="1:20" s="397" customFormat="1" ht="16.899999999999999" customHeight="1">
      <c r="A5" s="844"/>
      <c r="B5" s="1306" t="s">
        <v>4006</v>
      </c>
      <c r="C5" s="827" t="s">
        <v>3392</v>
      </c>
      <c r="D5" s="449"/>
      <c r="E5" s="1306" t="s">
        <v>4005</v>
      </c>
      <c r="F5" s="829" t="s">
        <v>2494</v>
      </c>
      <c r="G5" s="449"/>
      <c r="J5" s="1410"/>
      <c r="K5" s="1411"/>
      <c r="M5" s="1306" t="s">
        <v>4005</v>
      </c>
      <c r="N5" s="827" t="s">
        <v>786</v>
      </c>
      <c r="P5" s="1306" t="s">
        <v>4005</v>
      </c>
      <c r="Q5" s="990" t="s">
        <v>3655</v>
      </c>
      <c r="S5" s="1412"/>
      <c r="T5" s="1413"/>
    </row>
    <row r="6" spans="1:20" s="397" customFormat="1" ht="16.899999999999999" customHeight="1">
      <c r="A6" s="844"/>
      <c r="B6" s="1306" t="s">
        <v>4005</v>
      </c>
      <c r="C6" s="827" t="s">
        <v>2660</v>
      </c>
      <c r="D6" s="449"/>
      <c r="E6" s="1306" t="s">
        <v>4005</v>
      </c>
      <c r="F6" s="829" t="s">
        <v>3099</v>
      </c>
      <c r="H6" s="1306" t="s">
        <v>4005</v>
      </c>
      <c r="I6" s="833" t="s">
        <v>787</v>
      </c>
      <c r="J6" s="1306" t="s">
        <v>4005</v>
      </c>
      <c r="K6" s="833" t="s">
        <v>2140</v>
      </c>
      <c r="M6" s="1306" t="s">
        <v>4005</v>
      </c>
      <c r="N6" s="829" t="s">
        <v>785</v>
      </c>
      <c r="Q6" s="990"/>
      <c r="S6" s="1414"/>
      <c r="T6" s="1415"/>
    </row>
    <row r="7" spans="1:20" s="397" customFormat="1" ht="16.899999999999999" customHeight="1">
      <c r="A7" s="449"/>
      <c r="B7" s="1306" t="s">
        <v>4005</v>
      </c>
      <c r="C7" s="827" t="s">
        <v>2661</v>
      </c>
      <c r="E7" s="1306" t="s">
        <v>4005</v>
      </c>
      <c r="F7" s="829" t="s">
        <v>3098</v>
      </c>
      <c r="G7" s="449"/>
      <c r="H7" s="1306" t="s">
        <v>4005</v>
      </c>
      <c r="I7" s="989" t="s">
        <v>3653</v>
      </c>
      <c r="J7" s="1306" t="s">
        <v>4005</v>
      </c>
      <c r="K7" s="990" t="s">
        <v>3652</v>
      </c>
      <c r="L7" s="991"/>
      <c r="M7" s="1306" t="s">
        <v>4005</v>
      </c>
      <c r="N7" s="455" t="s">
        <v>3654</v>
      </c>
      <c r="Q7" s="992"/>
      <c r="S7" s="1414"/>
      <c r="T7" s="1415"/>
    </row>
    <row r="8" spans="1:20" s="397" customFormat="1" ht="16.899999999999999" customHeight="1">
      <c r="A8" s="844"/>
      <c r="B8" s="1306" t="s">
        <v>4005</v>
      </c>
      <c r="C8" s="833" t="s">
        <v>3640</v>
      </c>
      <c r="D8" s="449"/>
      <c r="E8" s="1306" t="s">
        <v>4005</v>
      </c>
      <c r="F8" s="477" t="s">
        <v>3641</v>
      </c>
      <c r="I8" s="989"/>
      <c r="K8" s="990"/>
      <c r="L8" s="991"/>
      <c r="M8" s="1306" t="s">
        <v>4005</v>
      </c>
      <c r="N8" s="1292" t="s">
        <v>3024</v>
      </c>
      <c r="O8" s="1293"/>
      <c r="P8" s="1293"/>
      <c r="Q8" s="1294"/>
      <c r="S8" s="1416"/>
      <c r="T8" s="141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964" t="s">
        <v>1864</v>
      </c>
      <c r="I13" s="964"/>
      <c r="J13" s="964"/>
      <c r="K13" s="964"/>
      <c r="L13" s="896" t="s">
        <v>2870</v>
      </c>
      <c r="M13" s="896"/>
      <c r="N13" s="896" t="s">
        <v>2108</v>
      </c>
      <c r="O13" s="896"/>
      <c r="P13" s="896" t="s">
        <v>2381</v>
      </c>
      <c r="Q13" s="896"/>
      <c r="S13" s="976" t="s">
        <v>3865</v>
      </c>
      <c r="T13" s="976"/>
    </row>
    <row r="14" spans="1:20" s="397" customFormat="1" ht="16.899999999999999" customHeight="1">
      <c r="A14" s="449"/>
      <c r="B14" s="959" t="s">
        <v>2195</v>
      </c>
      <c r="C14" s="960"/>
      <c r="D14" s="960"/>
      <c r="E14" s="835"/>
      <c r="F14" s="835"/>
      <c r="G14" s="835"/>
      <c r="H14" s="1292" t="s">
        <v>4068</v>
      </c>
      <c r="I14" s="1293"/>
      <c r="J14" s="1293"/>
      <c r="K14" s="1294"/>
      <c r="L14" s="1418">
        <v>5781992</v>
      </c>
      <c r="M14" s="1419"/>
      <c r="N14" s="1420">
        <v>0.05</v>
      </c>
      <c r="O14" s="1421"/>
      <c r="P14" s="1422">
        <v>24</v>
      </c>
      <c r="Q14" s="1423"/>
      <c r="S14" s="1412"/>
      <c r="T14" s="1413"/>
    </row>
    <row r="15" spans="1:20" s="397" customFormat="1" ht="16.899999999999999" customHeight="1">
      <c r="A15" s="449"/>
      <c r="B15" s="957" t="s">
        <v>2196</v>
      </c>
      <c r="C15" s="958"/>
      <c r="D15" s="958"/>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85" t="s">
        <v>2197</v>
      </c>
      <c r="C16" s="986"/>
      <c r="D16" s="986"/>
      <c r="E16" s="838"/>
      <c r="F16" s="838"/>
      <c r="G16" s="838"/>
      <c r="H16" s="1292"/>
      <c r="I16" s="1293"/>
      <c r="J16" s="1293"/>
      <c r="K16" s="1294"/>
      <c r="L16" s="1418"/>
      <c r="M16" s="1419"/>
      <c r="N16" s="1420"/>
      <c r="O16" s="1421"/>
      <c r="P16" s="1424"/>
      <c r="Q16" s="1425"/>
      <c r="S16" s="1414"/>
      <c r="T16" s="1415"/>
    </row>
    <row r="17" spans="1:20" s="397" customFormat="1" ht="16.899999999999999" customHeight="1">
      <c r="A17" s="449"/>
      <c r="B17" s="959" t="s">
        <v>3118</v>
      </c>
      <c r="C17" s="960"/>
      <c r="D17" s="960"/>
      <c r="E17" s="833"/>
      <c r="F17" s="833"/>
      <c r="G17" s="833"/>
      <c r="H17" s="1292"/>
      <c r="I17" s="1293"/>
      <c r="J17" s="1293"/>
      <c r="K17" s="1294"/>
      <c r="L17" s="1418"/>
      <c r="M17" s="1419"/>
      <c r="N17" s="970"/>
      <c r="O17" s="971"/>
      <c r="P17" s="969"/>
      <c r="Q17" s="969"/>
      <c r="S17" s="1414"/>
      <c r="T17" s="1415"/>
    </row>
    <row r="18" spans="1:20" s="397" customFormat="1" ht="16.899999999999999" customHeight="1">
      <c r="A18" s="449"/>
      <c r="B18" s="957" t="s">
        <v>1287</v>
      </c>
      <c r="C18" s="958"/>
      <c r="D18" s="958"/>
      <c r="E18" s="833"/>
      <c r="H18" s="1292"/>
      <c r="I18" s="1293"/>
      <c r="J18" s="1293"/>
      <c r="K18" s="1294"/>
      <c r="L18" s="1418"/>
      <c r="M18" s="1419"/>
      <c r="N18" s="970"/>
      <c r="O18" s="971"/>
      <c r="P18" s="969"/>
      <c r="Q18" s="969"/>
      <c r="S18" s="1414"/>
      <c r="T18" s="1415"/>
    </row>
    <row r="19" spans="1:20" s="397" customFormat="1" ht="16.899999999999999" customHeight="1">
      <c r="A19" s="449"/>
      <c r="B19" s="957" t="s">
        <v>900</v>
      </c>
      <c r="C19" s="958"/>
      <c r="D19" s="958"/>
      <c r="E19" s="833"/>
      <c r="H19" s="1292"/>
      <c r="I19" s="1293"/>
      <c r="J19" s="1293"/>
      <c r="K19" s="1294"/>
      <c r="L19" s="1418"/>
      <c r="M19" s="1419"/>
      <c r="N19" s="970"/>
      <c r="O19" s="971"/>
      <c r="P19" s="969"/>
      <c r="Q19" s="969"/>
      <c r="S19" s="1414"/>
      <c r="T19" s="1415"/>
    </row>
    <row r="20" spans="1:20" s="397" customFormat="1" ht="16.899999999999999" customHeight="1">
      <c r="A20" s="449"/>
      <c r="B20" s="957" t="s">
        <v>1288</v>
      </c>
      <c r="C20" s="958"/>
      <c r="D20" s="958"/>
      <c r="E20" s="833"/>
      <c r="H20" s="1292" t="s">
        <v>4068</v>
      </c>
      <c r="I20" s="1293"/>
      <c r="J20" s="1293"/>
      <c r="K20" s="1294"/>
      <c r="L20" s="1418">
        <v>787733</v>
      </c>
      <c r="M20" s="1419"/>
      <c r="N20" s="449"/>
      <c r="O20" s="449"/>
      <c r="P20" s="449"/>
      <c r="Q20" s="449"/>
      <c r="S20" s="1416"/>
      <c r="T20" s="1417"/>
    </row>
    <row r="21" spans="1:20" s="397" customFormat="1" ht="16.899999999999999" customHeight="1">
      <c r="A21" s="449"/>
      <c r="B21" s="957" t="s">
        <v>1289</v>
      </c>
      <c r="C21" s="958"/>
      <c r="D21" s="958"/>
      <c r="E21" s="833"/>
      <c r="H21" s="1292" t="s">
        <v>4065</v>
      </c>
      <c r="I21" s="1293"/>
      <c r="J21" s="1293"/>
      <c r="K21" s="1294"/>
      <c r="L21" s="1418">
        <v>229526</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37" t="s">
        <v>289</v>
      </c>
      <c r="C24" s="838"/>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72">
        <f>SUM(L14:L24)</f>
        <v>6799251</v>
      </c>
      <c r="M25" s="973"/>
      <c r="N25" s="472"/>
      <c r="O25" s="472"/>
      <c r="P25" s="472"/>
      <c r="Q25" s="472"/>
      <c r="S25" s="1414"/>
      <c r="T25" s="1415"/>
    </row>
    <row r="26" spans="1:20" s="397" customFormat="1" ht="16.899999999999999" customHeight="1">
      <c r="A26" s="449"/>
      <c r="B26" s="827" t="s">
        <v>1866</v>
      </c>
      <c r="C26" s="449"/>
      <c r="D26" s="449"/>
      <c r="E26" s="449"/>
      <c r="F26" s="449"/>
      <c r="G26" s="449"/>
      <c r="H26" s="449"/>
      <c r="I26" s="449"/>
      <c r="L26" s="1427">
        <v>6799251</v>
      </c>
      <c r="M26" s="1428"/>
      <c r="N26" s="967"/>
      <c r="O26" s="968"/>
      <c r="P26" s="968"/>
      <c r="Q26" s="968"/>
      <c r="S26" s="1414"/>
      <c r="T26" s="1415"/>
    </row>
    <row r="27" spans="1:20" s="397" customFormat="1" ht="16.899999999999999" customHeight="1">
      <c r="A27" s="449"/>
      <c r="B27" s="455" t="s">
        <v>3049</v>
      </c>
      <c r="C27" s="449"/>
      <c r="D27" s="449"/>
      <c r="E27" s="449"/>
      <c r="F27" s="449"/>
      <c r="G27" s="449"/>
      <c r="H27" s="449"/>
      <c r="I27" s="449"/>
      <c r="L27" s="974">
        <f>L25-L26</f>
        <v>0</v>
      </c>
      <c r="M27" s="975"/>
      <c r="N27" s="967"/>
      <c r="O27" s="968"/>
      <c r="P27" s="968"/>
      <c r="Q27" s="968"/>
      <c r="S27" s="1416"/>
      <c r="T27" s="141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2987</v>
      </c>
      <c r="K30" s="836" t="s">
        <v>1862</v>
      </c>
      <c r="L30" s="836" t="s">
        <v>1867</v>
      </c>
      <c r="M30" s="903" t="s">
        <v>39</v>
      </c>
      <c r="N30" s="903"/>
      <c r="O30" s="828"/>
      <c r="P30" s="836"/>
      <c r="Q30" s="977" t="s">
        <v>3267</v>
      </c>
      <c r="S30" s="507"/>
    </row>
    <row r="31" spans="1:20" s="397" customFormat="1" ht="13.15" customHeight="1">
      <c r="A31" s="449"/>
      <c r="B31" s="840" t="s">
        <v>2743</v>
      </c>
      <c r="C31" s="838"/>
      <c r="D31" s="838"/>
      <c r="E31" s="958" t="s">
        <v>1864</v>
      </c>
      <c r="F31" s="958"/>
      <c r="G31" s="958"/>
      <c r="H31" s="896" t="s">
        <v>676</v>
      </c>
      <c r="I31" s="896"/>
      <c r="J31" s="826" t="s">
        <v>2667</v>
      </c>
      <c r="K31" s="826" t="s">
        <v>3117</v>
      </c>
      <c r="L31" s="826" t="s">
        <v>3117</v>
      </c>
      <c r="M31" s="1429"/>
      <c r="N31" s="1429"/>
      <c r="O31" s="896" t="s">
        <v>80</v>
      </c>
      <c r="P31" s="896"/>
      <c r="Q31" s="978"/>
      <c r="S31" s="976" t="s">
        <v>3865</v>
      </c>
      <c r="T31" s="976"/>
    </row>
    <row r="32" spans="1:20" s="397" customFormat="1" ht="13.15" customHeight="1">
      <c r="A32" s="449"/>
      <c r="B32" s="959" t="s">
        <v>3663</v>
      </c>
      <c r="C32" s="960"/>
      <c r="D32" s="960"/>
      <c r="E32" s="1430" t="s">
        <v>4068</v>
      </c>
      <c r="F32" s="1431"/>
      <c r="G32" s="1432"/>
      <c r="H32" s="1433">
        <v>370298</v>
      </c>
      <c r="I32" s="1434"/>
      <c r="J32" s="1435">
        <v>6.5000000000000002E-2</v>
      </c>
      <c r="K32" s="1306">
        <v>17</v>
      </c>
      <c r="L32" s="1306">
        <v>30</v>
      </c>
      <c r="M32" s="1436">
        <v>28086</v>
      </c>
      <c r="N32" s="1437"/>
      <c r="O32" s="1286" t="s">
        <v>4025</v>
      </c>
      <c r="P32" s="1287"/>
      <c r="Q32" s="1438">
        <v>1.2</v>
      </c>
      <c r="S32" s="1412"/>
      <c r="T32" s="1413"/>
    </row>
    <row r="33" spans="1:20" s="397" customFormat="1" ht="13.15" customHeight="1">
      <c r="A33" s="449"/>
      <c r="B33" s="957" t="s">
        <v>3664</v>
      </c>
      <c r="C33" s="958"/>
      <c r="D33" s="958"/>
      <c r="E33" s="1297"/>
      <c r="F33" s="1439"/>
      <c r="G33" s="1440"/>
      <c r="H33" s="1441"/>
      <c r="I33" s="1434"/>
      <c r="J33" s="1435"/>
      <c r="K33" s="1306"/>
      <c r="L33" s="1306"/>
      <c r="M33" s="1436" t="str">
        <f t="shared" ref="M33:M36" si="0">IF(OR(H33&lt;=0,H33=""),"",IF(O33="Amortizing",-PMT(J33/12,L33*12,H33,0,0)*12,""))</f>
        <v/>
      </c>
      <c r="N33" s="1437"/>
      <c r="O33" s="1286"/>
      <c r="P33" s="1287"/>
      <c r="Q33" s="1438"/>
      <c r="S33" s="1414"/>
      <c r="T33" s="1415"/>
    </row>
    <row r="34" spans="1:20" s="397" customFormat="1" ht="13.15" customHeight="1">
      <c r="A34" s="449"/>
      <c r="B34" s="957" t="s">
        <v>3665</v>
      </c>
      <c r="C34" s="958"/>
      <c r="D34" s="958"/>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9"/>
      <c r="E36" s="1292"/>
      <c r="F36" s="1442"/>
      <c r="G36" s="1434"/>
      <c r="H36" s="1441"/>
      <c r="I36" s="1434"/>
      <c r="J36" s="790"/>
      <c r="K36" s="842"/>
      <c r="L36" s="842"/>
      <c r="M36" s="961" t="str">
        <f t="shared" si="0"/>
        <v/>
      </c>
      <c r="N36" s="961"/>
      <c r="O36" s="956"/>
      <c r="P36" s="956"/>
      <c r="Q36" s="791"/>
      <c r="S36" s="1414"/>
      <c r="T36" s="1415"/>
    </row>
    <row r="37" spans="1:20" s="397" customFormat="1" ht="13.15" customHeight="1">
      <c r="A37" s="449"/>
      <c r="B37" s="837" t="s">
        <v>272</v>
      </c>
      <c r="C37" s="838"/>
      <c r="D37" s="543">
        <f>IF(OR(H37="",H37=0,'Part IV-Uses of Funds'!$G$109="",'Part IV-Uses of Funds'!$G$109=0),"",H37/'Part IV-Uses of Funds'!$G$109)</f>
        <v>0.25861107752656537</v>
      </c>
      <c r="E37" s="1292" t="s">
        <v>4052</v>
      </c>
      <c r="F37" s="1442"/>
      <c r="G37" s="1434"/>
      <c r="H37" s="1441">
        <v>231009</v>
      </c>
      <c r="I37" s="1434"/>
      <c r="J37" s="1435">
        <v>0</v>
      </c>
      <c r="K37" s="1306">
        <v>14</v>
      </c>
      <c r="L37" s="1306">
        <v>14</v>
      </c>
      <c r="M37" s="1436">
        <v>24000</v>
      </c>
      <c r="N37" s="1437"/>
      <c r="O37" s="1286" t="s">
        <v>1687</v>
      </c>
      <c r="P37" s="1287"/>
      <c r="Q37" s="1438" t="s">
        <v>1469</v>
      </c>
      <c r="S37" s="1414"/>
      <c r="T37" s="1415"/>
    </row>
    <row r="38" spans="1:20" s="397" customFormat="1" ht="13.15" customHeight="1">
      <c r="A38" s="449"/>
      <c r="B38" s="959" t="s">
        <v>3118</v>
      </c>
      <c r="C38" s="960"/>
      <c r="D38" s="962"/>
      <c r="E38" s="1292"/>
      <c r="F38" s="1442"/>
      <c r="G38" s="1434"/>
      <c r="H38" s="1443"/>
      <c r="I38" s="1444"/>
      <c r="K38" s="544"/>
      <c r="L38" s="544"/>
      <c r="M38" s="544"/>
      <c r="N38" s="544"/>
      <c r="O38" s="544"/>
      <c r="P38" s="544"/>
      <c r="Q38" s="544"/>
      <c r="S38" s="1412"/>
      <c r="T38" s="1413"/>
    </row>
    <row r="39" spans="1:20" s="397" customFormat="1" ht="13.15" customHeight="1">
      <c r="A39" s="449"/>
      <c r="B39" s="957" t="s">
        <v>1287</v>
      </c>
      <c r="C39" s="958"/>
      <c r="D39" s="963"/>
      <c r="E39" s="1292"/>
      <c r="F39" s="1442"/>
      <c r="G39" s="1434"/>
      <c r="H39" s="1443"/>
      <c r="I39" s="1444"/>
      <c r="J39" s="981" t="s">
        <v>752</v>
      </c>
      <c r="K39" s="982"/>
      <c r="L39" s="980" t="s">
        <v>753</v>
      </c>
      <c r="M39" s="980"/>
      <c r="O39" s="625" t="s">
        <v>751</v>
      </c>
      <c r="P39" s="545"/>
      <c r="Q39" s="544"/>
      <c r="S39" s="1414"/>
      <c r="T39" s="1415"/>
    </row>
    <row r="40" spans="1:20" s="397" customFormat="1" ht="13.15" customHeight="1">
      <c r="A40" s="449"/>
      <c r="B40" s="957" t="s">
        <v>1288</v>
      </c>
      <c r="C40" s="958"/>
      <c r="D40" s="963"/>
      <c r="E40" s="1292" t="s">
        <v>4068</v>
      </c>
      <c r="F40" s="1293"/>
      <c r="G40" s="1294"/>
      <c r="H40" s="1441">
        <v>5251552</v>
      </c>
      <c r="I40" s="1445"/>
      <c r="J40" s="983">
        <f>'Part IV-Uses of Funds'!$J$165*10*'Part IV-Uses of Funds'!$N$158</f>
        <v>5251551.591</v>
      </c>
      <c r="K40" s="984"/>
      <c r="L40" s="979">
        <f>H40-J40</f>
        <v>0.40899999998509884</v>
      </c>
      <c r="M40" s="979"/>
      <c r="O40" s="626" t="s">
        <v>3590</v>
      </c>
      <c r="P40" s="545"/>
      <c r="Q40" s="544"/>
      <c r="S40" s="1414"/>
      <c r="T40" s="1415"/>
    </row>
    <row r="41" spans="1:20" s="397" customFormat="1" ht="13.15" customHeight="1">
      <c r="A41" s="449"/>
      <c r="B41" s="957" t="s">
        <v>1289</v>
      </c>
      <c r="C41" s="958"/>
      <c r="D41" s="963"/>
      <c r="E41" s="1292" t="s">
        <v>4065</v>
      </c>
      <c r="F41" s="1293"/>
      <c r="G41" s="1294"/>
      <c r="H41" s="1441">
        <v>1530172</v>
      </c>
      <c r="I41" s="1445"/>
      <c r="J41" s="983">
        <f>'Part IV-Uses of Funds'!$J$165*10*'Part IV-Uses of Funds'!$Q$158</f>
        <v>1530172.375</v>
      </c>
      <c r="K41" s="984"/>
      <c r="L41" s="979">
        <f>H41-J41</f>
        <v>-0.375</v>
      </c>
      <c r="M41" s="979"/>
      <c r="O41" s="627">
        <f>H40/H50</f>
        <v>0.71130027762310633</v>
      </c>
      <c r="P41" s="545"/>
      <c r="Q41" s="544"/>
      <c r="S41" s="1414"/>
      <c r="T41" s="1415"/>
    </row>
    <row r="42" spans="1:20" s="397" customFormat="1" ht="13.15" customHeight="1">
      <c r="A42" s="449"/>
      <c r="B42" s="957" t="s">
        <v>1984</v>
      </c>
      <c r="C42" s="958"/>
      <c r="D42" s="963"/>
      <c r="E42" s="1292"/>
      <c r="F42" s="1293"/>
      <c r="G42" s="1294"/>
      <c r="H42" s="1441"/>
      <c r="I42" s="1445"/>
      <c r="M42" s="545"/>
      <c r="O42" s="627">
        <f>H41/H50</f>
        <v>0.20725525871420558</v>
      </c>
      <c r="P42" s="545"/>
      <c r="Q42" s="544"/>
      <c r="S42" s="1416"/>
      <c r="T42" s="1417"/>
    </row>
    <row r="43" spans="1:20" s="397" customFormat="1" ht="13.15" customHeight="1">
      <c r="A43" s="449"/>
      <c r="B43" s="832" t="s">
        <v>767</v>
      </c>
      <c r="C43" s="833"/>
      <c r="D43" s="839"/>
      <c r="E43" s="1292"/>
      <c r="F43" s="1293"/>
      <c r="G43" s="1294"/>
      <c r="H43" s="1441"/>
      <c r="I43" s="1445"/>
      <c r="K43" s="449"/>
      <c r="L43" s="449"/>
      <c r="M43" s="545"/>
      <c r="O43" s="628">
        <f>SUM(O41:O42)</f>
        <v>0.91855553633731191</v>
      </c>
      <c r="P43" s="545"/>
      <c r="Q43" s="544"/>
      <c r="S43" s="1414"/>
      <c r="T43" s="1415"/>
    </row>
    <row r="44" spans="1:20" s="397" customFormat="1" ht="13.15" customHeight="1">
      <c r="A44" s="449"/>
      <c r="B44" s="832" t="s">
        <v>2741</v>
      </c>
      <c r="C44" s="833"/>
      <c r="D44" s="839"/>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9"/>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37"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7" t="s">
        <v>3119</v>
      </c>
      <c r="C49" s="449"/>
      <c r="D49" s="449"/>
      <c r="E49" s="449"/>
      <c r="F49" s="449"/>
      <c r="G49" s="449"/>
      <c r="H49" s="954">
        <f>SUM(H32:I48)</f>
        <v>7383031</v>
      </c>
      <c r="I49" s="955"/>
      <c r="J49" s="472"/>
      <c r="K49" s="449"/>
      <c r="L49" s="546"/>
      <c r="M49" s="545"/>
      <c r="N49" s="545"/>
      <c r="O49" s="545"/>
      <c r="P49" s="545"/>
      <c r="Q49" s="544"/>
      <c r="S49" s="1414"/>
      <c r="T49" s="1415"/>
    </row>
    <row r="50" spans="1:23" s="397" customFormat="1" ht="13.15" customHeight="1" thickBot="1">
      <c r="A50" s="449"/>
      <c r="B50" s="827" t="s">
        <v>3120</v>
      </c>
      <c r="C50" s="449"/>
      <c r="D50" s="449"/>
      <c r="E50" s="449"/>
      <c r="F50" s="449"/>
      <c r="G50" s="449"/>
      <c r="H50" s="952">
        <f>'Part IV-Uses of Funds'!$G$123</f>
        <v>7383031</v>
      </c>
      <c r="I50" s="953"/>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46"/>
      <c r="C55" s="1446"/>
      <c r="D55" s="1446"/>
      <c r="E55" s="1446"/>
      <c r="F55" s="1446"/>
      <c r="G55" s="1446"/>
      <c r="H55" s="1446"/>
      <c r="I55" s="1446"/>
      <c r="J55" s="1447"/>
      <c r="K55" s="1363"/>
      <c r="L55" s="1446"/>
      <c r="M55" s="1446"/>
      <c r="N55" s="1446"/>
      <c r="O55" s="1446"/>
      <c r="P55" s="1446"/>
      <c r="Q55" s="1447"/>
      <c r="S55" s="987" t="s">
        <v>3965</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2012-029 The Groves Place, Tifton, Tift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3485</v>
      </c>
      <c r="B16" s="286" t="s">
        <v>3482</v>
      </c>
      <c r="C16" s="286" t="s">
        <v>3483</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2012-029 The Groves Place, Tifton, Tift County</v>
      </c>
      <c r="B58" s="1000"/>
      <c r="C58" s="1000"/>
      <c r="D58" s="1000"/>
      <c r="E58" s="1000"/>
      <c r="F58" s="1000"/>
      <c r="G58" s="1000" t="str">
        <f>CONCATENATE('Part I-Project Information'!$O$4," ",'Part I-Project Information'!$F$22,", ",'Part I-Project Information'!$F$24,", ",'Part I-Project Information'!$J$25," County")</f>
        <v>2012-029 The Groves Place, Tifton, Tift County</v>
      </c>
      <c r="H58" s="1000"/>
      <c r="I58" s="1000"/>
      <c r="J58" s="1000"/>
      <c r="K58" s="1000"/>
      <c r="L58" s="1000"/>
    </row>
    <row r="59" spans="1:12" ht="15">
      <c r="A59" s="1001" t="s">
        <v>3476</v>
      </c>
      <c r="B59" s="1001"/>
      <c r="C59" s="1001"/>
      <c r="D59" s="1001"/>
      <c r="E59" s="1001"/>
      <c r="F59" s="1001"/>
      <c r="G59" s="1001" t="s">
        <v>3476</v>
      </c>
      <c r="H59" s="1001"/>
      <c r="I59" s="1001"/>
      <c r="J59" s="1001"/>
      <c r="K59" s="1001"/>
      <c r="L59" s="1001"/>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2012-029 The Groves Place, Tifton, Tift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2012-029 The Groves Place, Tifton, Tift County</v>
      </c>
      <c r="B50" s="1000"/>
      <c r="C50" s="1000"/>
      <c r="D50" s="1000"/>
      <c r="E50" s="1000"/>
      <c r="F50" s="1000"/>
      <c r="G50" s="297"/>
      <c r="H50" s="297"/>
    </row>
    <row r="51" spans="1:10" ht="15">
      <c r="A51" s="1001" t="s">
        <v>3476</v>
      </c>
      <c r="B51" s="1001"/>
      <c r="C51" s="1001"/>
      <c r="D51" s="1001"/>
      <c r="E51" s="1001"/>
      <c r="F51" s="1001"/>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2012-029 The Groves Place, Tifton, Tift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2012-029 The Groves Place, Tifton, Tift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4" t="str">
        <f>B7</f>
        <v>PRE-DEVELOPMENT COSTS</v>
      </c>
      <c r="V7" s="449" t="str">
        <f>B7</f>
        <v>PRE-DEVELOPMENT COSTS</v>
      </c>
    </row>
    <row r="8" spans="1:23" s="449" customFormat="1" ht="12.6" customHeight="1">
      <c r="B8" s="449" t="s">
        <v>2880</v>
      </c>
      <c r="G8" s="1418">
        <v>10000</v>
      </c>
      <c r="H8" s="1419"/>
      <c r="J8" s="1418">
        <v>10000</v>
      </c>
      <c r="K8" s="1419"/>
      <c r="L8" s="843"/>
      <c r="M8" s="1418"/>
      <c r="N8" s="1419"/>
      <c r="P8" s="1418"/>
      <c r="Q8" s="1419"/>
      <c r="S8" s="1418"/>
      <c r="T8" s="1419"/>
      <c r="V8" s="1448"/>
      <c r="W8" s="1449"/>
    </row>
    <row r="9" spans="1:23" s="449" customFormat="1" ht="12.6" customHeight="1">
      <c r="B9" s="449" t="s">
        <v>631</v>
      </c>
      <c r="G9" s="1418">
        <v>5000</v>
      </c>
      <c r="H9" s="1419"/>
      <c r="J9" s="1418">
        <v>5000</v>
      </c>
      <c r="K9" s="1419"/>
      <c r="L9" s="843"/>
      <c r="M9" s="1418"/>
      <c r="N9" s="1419"/>
      <c r="P9" s="1418"/>
      <c r="Q9" s="1419"/>
      <c r="S9" s="1418"/>
      <c r="T9" s="1419"/>
      <c r="V9" s="1450"/>
      <c r="W9" s="1451"/>
    </row>
    <row r="10" spans="1:23" s="449" customFormat="1" ht="12.6" customHeight="1">
      <c r="B10" s="449" t="s">
        <v>674</v>
      </c>
      <c r="G10" s="1418">
        <v>8250</v>
      </c>
      <c r="H10" s="1419"/>
      <c r="J10" s="1418">
        <v>8250</v>
      </c>
      <c r="K10" s="1419"/>
      <c r="L10" s="843"/>
      <c r="M10" s="1418"/>
      <c r="N10" s="1419"/>
      <c r="P10" s="1418"/>
      <c r="Q10" s="1419"/>
      <c r="S10" s="1418"/>
      <c r="T10" s="1419"/>
      <c r="V10" s="1450"/>
      <c r="W10" s="1451"/>
    </row>
    <row r="11" spans="1:23" s="449" customFormat="1" ht="12.6" customHeight="1">
      <c r="B11" s="449" t="s">
        <v>675</v>
      </c>
      <c r="G11" s="1418">
        <v>5000</v>
      </c>
      <c r="H11" s="1419"/>
      <c r="J11" s="1418">
        <v>5000</v>
      </c>
      <c r="K11" s="1419"/>
      <c r="L11" s="843"/>
      <c r="M11" s="1418"/>
      <c r="N11" s="1419"/>
      <c r="P11" s="1418"/>
      <c r="Q11" s="1419"/>
      <c r="S11" s="1418"/>
      <c r="T11" s="1419"/>
      <c r="V11" s="1450"/>
      <c r="W11" s="1451"/>
    </row>
    <row r="12" spans="1:23" s="449" customFormat="1" ht="12.6" customHeight="1">
      <c r="B12" s="449" t="s">
        <v>3507</v>
      </c>
      <c r="G12" s="1418">
        <v>13500</v>
      </c>
      <c r="H12" s="1419"/>
      <c r="J12" s="1418"/>
      <c r="K12" s="1419"/>
      <c r="L12" s="843"/>
      <c r="M12" s="1418"/>
      <c r="N12" s="1419"/>
      <c r="P12" s="1418"/>
      <c r="Q12" s="1419"/>
      <c r="S12" s="1418">
        <v>13500</v>
      </c>
      <c r="T12" s="1419"/>
      <c r="V12" s="1450"/>
      <c r="W12" s="1451"/>
    </row>
    <row r="13" spans="1:23" s="449" customFormat="1" ht="12.6" customHeight="1">
      <c r="B13" s="449" t="s">
        <v>229</v>
      </c>
      <c r="G13" s="1418">
        <v>200</v>
      </c>
      <c r="H13" s="1419"/>
      <c r="J13" s="1418">
        <v>200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4027</v>
      </c>
      <c r="D14" s="1298"/>
      <c r="E14" s="1298"/>
      <c r="F14" s="1299"/>
      <c r="G14" s="1418">
        <v>2450</v>
      </c>
      <c r="H14" s="1419"/>
      <c r="J14" s="1418">
        <v>2450</v>
      </c>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3398</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8">
        <f>SUM(G8:H16)</f>
        <v>44400</v>
      </c>
      <c r="H17" s="1019"/>
      <c r="J17" s="1018">
        <f>SUM(J8:K16)</f>
        <v>30900</v>
      </c>
      <c r="K17" s="1066"/>
      <c r="L17" s="843"/>
      <c r="M17" s="1018">
        <f>SUM(M8:N16)</f>
        <v>0</v>
      </c>
      <c r="N17" s="1019"/>
      <c r="P17" s="1018">
        <f>SUM(P8:Q16)</f>
        <v>0</v>
      </c>
      <c r="Q17" s="1019"/>
      <c r="S17" s="1018">
        <f>SUM(S8:T16)</f>
        <v>13500</v>
      </c>
      <c r="T17" s="1019"/>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v>286000</v>
      </c>
      <c r="H19" s="1419"/>
      <c r="J19" s="515"/>
      <c r="K19" s="512"/>
      <c r="L19" s="515"/>
      <c r="M19" s="515"/>
      <c r="N19" s="512"/>
      <c r="P19" s="515"/>
      <c r="Q19" s="512"/>
      <c r="S19" s="1418">
        <v>286000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8">
        <f>SUM(G19:H22)</f>
        <v>286000</v>
      </c>
      <c r="H23" s="1019"/>
      <c r="J23" s="515"/>
      <c r="K23" s="512"/>
      <c r="L23" s="515"/>
      <c r="M23" s="1018">
        <f>SUM(M21:N22)</f>
        <v>0</v>
      </c>
      <c r="N23" s="1019"/>
      <c r="P23" s="515"/>
      <c r="Q23" s="512"/>
      <c r="S23" s="1018">
        <f>SUM(S19:T22)</f>
        <v>286000</v>
      </c>
      <c r="T23" s="1019"/>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745920</v>
      </c>
      <c r="H25" s="1419"/>
      <c r="J25" s="1452">
        <v>745920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67"/>
      <c r="N26" s="1067"/>
      <c r="P26" s="1067"/>
      <c r="Q26" s="1067"/>
      <c r="S26" s="1418"/>
      <c r="T26" s="1419"/>
      <c r="V26" s="1450"/>
      <c r="W26" s="1451"/>
    </row>
    <row r="27" spans="2:23" s="449" customFormat="1" ht="12.6" customHeight="1" thickTop="1">
      <c r="F27" s="513" t="s">
        <v>230</v>
      </c>
      <c r="G27" s="1018">
        <f>SUM(G25:H26)</f>
        <v>745920</v>
      </c>
      <c r="H27" s="1019"/>
      <c r="J27" s="1018">
        <f>SUM(J25:K26)</f>
        <v>745920</v>
      </c>
      <c r="K27" s="1019"/>
      <c r="L27" s="515"/>
      <c r="M27" s="1018">
        <f>M25</f>
        <v>0</v>
      </c>
      <c r="N27" s="1019"/>
      <c r="P27" s="1018">
        <f>P25</f>
        <v>0</v>
      </c>
      <c r="Q27" s="1019"/>
      <c r="S27" s="1018">
        <f>SUM(S25:T26)</f>
        <v>0</v>
      </c>
      <c r="T27" s="1019"/>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3227362</v>
      </c>
      <c r="H29" s="1419"/>
      <c r="J29" s="1418">
        <v>3248080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170718</v>
      </c>
      <c r="H31" s="1419"/>
      <c r="I31" s="449"/>
      <c r="J31" s="1418">
        <v>150000</v>
      </c>
      <c r="K31" s="1419"/>
      <c r="L31" s="843"/>
      <c r="M31" s="1418"/>
      <c r="N31" s="1419"/>
      <c r="O31" s="449"/>
      <c r="P31" s="1418"/>
      <c r="Q31" s="1419"/>
      <c r="R31" s="449"/>
      <c r="S31" s="1418"/>
      <c r="T31" s="1419"/>
      <c r="V31" s="1450"/>
      <c r="W31" s="1451"/>
    </row>
    <row r="32" spans="2:23" s="449" customFormat="1" ht="12.6" customHeight="1" thickTop="1">
      <c r="C32" s="1072"/>
      <c r="D32" s="1072"/>
      <c r="E32" s="845"/>
      <c r="F32" s="513" t="s">
        <v>230</v>
      </c>
      <c r="G32" s="1018">
        <f>SUM(G29:H31)</f>
        <v>3398080</v>
      </c>
      <c r="H32" s="1019"/>
      <c r="J32" s="1018">
        <f>SUM(J29:K31)</f>
        <v>3398080</v>
      </c>
      <c r="K32" s="1019"/>
      <c r="L32" s="843"/>
      <c r="M32" s="1018">
        <f>SUM(M29:N31)</f>
        <v>0</v>
      </c>
      <c r="N32" s="1019"/>
      <c r="P32" s="1018">
        <f>SUM(P29:Q31)</f>
        <v>0</v>
      </c>
      <c r="Q32" s="1019"/>
      <c r="S32" s="1018">
        <f>SUM(S29:T31)</f>
        <v>0</v>
      </c>
      <c r="T32" s="1019"/>
      <c r="V32" s="1454"/>
      <c r="W32" s="1455"/>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248640</v>
      </c>
      <c r="G34" s="1418">
        <v>248640</v>
      </c>
      <c r="H34" s="1419"/>
      <c r="I34" s="472"/>
      <c r="J34" s="1418">
        <v>248640</v>
      </c>
      <c r="K34" s="1419"/>
      <c r="L34" s="843"/>
      <c r="M34" s="1418"/>
      <c r="N34" s="1419"/>
      <c r="P34" s="1418"/>
      <c r="Q34" s="1419"/>
      <c r="S34" s="1418"/>
      <c r="T34" s="1419"/>
      <c r="V34" s="1448"/>
      <c r="W34" s="1449"/>
    </row>
    <row r="35" spans="1:23" s="449" customFormat="1" ht="12.6" customHeight="1" thickBot="1">
      <c r="B35" s="449" t="s">
        <v>2923</v>
      </c>
      <c r="E35" s="604">
        <f>'DCA Underwriting Assumptions'!$R$39+'DCA Underwriting Assumptions'!$R$40</f>
        <v>0.08</v>
      </c>
      <c r="F35" s="605">
        <f>E35*($G$27+$G$32)</f>
        <v>331520</v>
      </c>
      <c r="G35" s="1418">
        <v>331520</v>
      </c>
      <c r="H35" s="1419"/>
      <c r="I35" s="472"/>
      <c r="J35" s="1418">
        <v>331520</v>
      </c>
      <c r="K35" s="1419"/>
      <c r="L35" s="843"/>
      <c r="M35" s="1418"/>
      <c r="N35" s="1419"/>
      <c r="P35" s="1418"/>
      <c r="Q35" s="1419"/>
      <c r="S35" s="1418"/>
      <c r="T35" s="1419"/>
      <c r="V35" s="1450"/>
      <c r="W35" s="1451"/>
    </row>
    <row r="36" spans="1:23" s="449" customFormat="1" ht="12.6" customHeight="1" thickTop="1">
      <c r="B36" s="449" t="s">
        <v>2924</v>
      </c>
      <c r="D36" s="520"/>
      <c r="E36" s="833"/>
      <c r="F36" s="606" t="s">
        <v>230</v>
      </c>
      <c r="G36" s="1018">
        <f>SUM(G34:H35)</f>
        <v>580160</v>
      </c>
      <c r="H36" s="1019"/>
      <c r="J36" s="1018">
        <f>SUM(J34:K35)</f>
        <v>580160</v>
      </c>
      <c r="K36" s="1019"/>
      <c r="L36" s="515"/>
      <c r="M36" s="1018">
        <f>SUM(M34:N35)</f>
        <v>0</v>
      </c>
      <c r="N36" s="1019"/>
      <c r="P36" s="1018">
        <f>SUM(P34:Q35)</f>
        <v>0</v>
      </c>
      <c r="Q36" s="1019"/>
      <c r="S36" s="1018">
        <f>SUM(S34:T35)</f>
        <v>0</v>
      </c>
      <c r="T36" s="1019"/>
      <c r="V36" s="1454"/>
      <c r="W36" s="145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84360</v>
      </c>
      <c r="E38" s="523"/>
      <c r="F38" s="524" t="s">
        <v>1974</v>
      </c>
      <c r="V38" s="1448"/>
      <c r="W38" s="1449"/>
    </row>
    <row r="39" spans="1:23" s="449" customFormat="1" ht="12.6" customHeight="1">
      <c r="B39" s="1062">
        <f>G27+G32+G36</f>
        <v>4724160</v>
      </c>
      <c r="C39" s="1063"/>
      <c r="D39" s="525">
        <f>B39/'Part VI-Revenues &amp; Expenses'!$M$100</f>
        <v>90.104138851802404</v>
      </c>
      <c r="E39" s="525"/>
      <c r="F39" s="526" t="s">
        <v>1242</v>
      </c>
      <c r="J39" s="512"/>
      <c r="K39" s="512"/>
      <c r="L39" s="527"/>
      <c r="M39" s="512"/>
      <c r="N39" s="843"/>
      <c r="P39" s="512"/>
      <c r="Q39" s="843"/>
      <c r="S39" s="512"/>
      <c r="T39" s="843"/>
      <c r="V39" s="1454"/>
      <c r="W39" s="145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0.05</v>
      </c>
      <c r="G42" s="1418">
        <v>236208</v>
      </c>
      <c r="H42" s="1419"/>
      <c r="I42" s="449"/>
      <c r="J42" s="1418"/>
      <c r="K42" s="1419"/>
      <c r="L42" s="843"/>
      <c r="M42" s="1418"/>
      <c r="N42" s="1419"/>
      <c r="O42" s="449"/>
      <c r="P42" s="1418"/>
      <c r="Q42" s="1419"/>
      <c r="R42" s="449"/>
      <c r="S42" s="1418">
        <v>236208</v>
      </c>
      <c r="T42" s="1419"/>
      <c r="V42" s="1458"/>
      <c r="W42" s="145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72275</v>
      </c>
      <c r="H48" s="1419"/>
      <c r="J48" s="1418">
        <v>72275</v>
      </c>
      <c r="K48" s="1419"/>
      <c r="L48" s="843"/>
      <c r="M48" s="1418"/>
      <c r="N48" s="1419"/>
      <c r="P48" s="1418"/>
      <c r="Q48" s="1419"/>
      <c r="S48" s="1418"/>
      <c r="T48" s="1419"/>
      <c r="V48" s="1448"/>
      <c r="W48" s="1449"/>
    </row>
    <row r="49" spans="1:23" s="449" customFormat="1" ht="12" customHeight="1">
      <c r="B49" s="449" t="s">
        <v>3272</v>
      </c>
      <c r="G49" s="1418">
        <v>346920</v>
      </c>
      <c r="H49" s="1419"/>
      <c r="J49" s="1418">
        <v>346920</v>
      </c>
      <c r="K49" s="1419"/>
      <c r="L49" s="843"/>
      <c r="M49" s="1418"/>
      <c r="N49" s="1419"/>
      <c r="P49" s="1418"/>
      <c r="Q49" s="1419"/>
      <c r="S49" s="1418"/>
      <c r="T49" s="1419"/>
      <c r="V49" s="1450"/>
      <c r="W49" s="1451"/>
    </row>
    <row r="50" spans="1:23" s="449" customFormat="1" ht="12" customHeight="1">
      <c r="B50" s="449" t="s">
        <v>3273</v>
      </c>
      <c r="G50" s="1418">
        <v>15000</v>
      </c>
      <c r="H50" s="1419"/>
      <c r="J50" s="1418">
        <v>15000</v>
      </c>
      <c r="K50" s="1419"/>
      <c r="L50" s="843"/>
      <c r="M50" s="1418"/>
      <c r="N50" s="1419"/>
      <c r="P50" s="1418"/>
      <c r="Q50" s="1419"/>
      <c r="S50" s="1418"/>
      <c r="T50" s="1419"/>
      <c r="V50" s="1450"/>
      <c r="W50" s="1451"/>
    </row>
    <row r="51" spans="1:23" s="449" customFormat="1" ht="12" customHeight="1">
      <c r="B51" s="449" t="s">
        <v>3934</v>
      </c>
      <c r="G51" s="1418">
        <v>10000</v>
      </c>
      <c r="H51" s="1419"/>
      <c r="J51" s="1418">
        <v>10000</v>
      </c>
      <c r="K51" s="1419"/>
      <c r="L51" s="843"/>
      <c r="M51" s="1418"/>
      <c r="N51" s="1419"/>
      <c r="P51" s="1418"/>
      <c r="Q51" s="1419"/>
      <c r="S51" s="1418"/>
      <c r="T51" s="1419"/>
      <c r="V51" s="1450"/>
      <c r="W51" s="1451"/>
    </row>
    <row r="52" spans="1:23" s="449" customFormat="1" ht="12" customHeight="1">
      <c r="B52" s="449" t="s">
        <v>1004</v>
      </c>
      <c r="G52" s="1418">
        <v>15000</v>
      </c>
      <c r="H52" s="1419"/>
      <c r="J52" s="1418">
        <v>15000</v>
      </c>
      <c r="K52" s="1419"/>
      <c r="L52" s="843"/>
      <c r="M52" s="1418"/>
      <c r="N52" s="1419"/>
      <c r="P52" s="1418"/>
      <c r="Q52" s="1419"/>
      <c r="S52" s="1418"/>
      <c r="T52" s="1419"/>
      <c r="V52" s="1450"/>
      <c r="W52" s="1451"/>
    </row>
    <row r="53" spans="1:23" s="449" customFormat="1" ht="12" customHeight="1">
      <c r="B53" s="449" t="s">
        <v>3274</v>
      </c>
      <c r="G53" s="1418">
        <v>21000</v>
      </c>
      <c r="H53" s="1419"/>
      <c r="J53" s="1418">
        <v>21000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8">
        <f>SUM(G48:H56)</f>
        <v>480195</v>
      </c>
      <c r="H57" s="1019"/>
      <c r="J57" s="1018">
        <f>SUM(J48:K56)</f>
        <v>480195</v>
      </c>
      <c r="K57" s="1019"/>
      <c r="L57" s="515"/>
      <c r="M57" s="1018">
        <f>SUM(M48:N56)</f>
        <v>0</v>
      </c>
      <c r="N57" s="1019"/>
      <c r="P57" s="1018">
        <f>SUM(P48:Q56)</f>
        <v>0</v>
      </c>
      <c r="Q57" s="1019"/>
      <c r="S57" s="1018">
        <f>SUM(S48:T56)</f>
        <v>0</v>
      </c>
      <c r="T57" s="1019"/>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112000</v>
      </c>
      <c r="H59" s="1419"/>
      <c r="J59" s="1418">
        <v>112000</v>
      </c>
      <c r="K59" s="1419"/>
      <c r="L59" s="843"/>
      <c r="M59" s="1418"/>
      <c r="N59" s="1419"/>
      <c r="P59" s="1418"/>
      <c r="Q59" s="1419"/>
      <c r="S59" s="1418"/>
      <c r="T59" s="1419"/>
      <c r="V59" s="1448"/>
      <c r="W59" s="1449"/>
    </row>
    <row r="60" spans="1:23" s="449" customFormat="1" ht="12" customHeight="1">
      <c r="B60" s="449" t="s">
        <v>663</v>
      </c>
      <c r="G60" s="1418">
        <v>36400</v>
      </c>
      <c r="H60" s="1419"/>
      <c r="J60" s="1418">
        <v>36400</v>
      </c>
      <c r="K60" s="1419"/>
      <c r="L60" s="843"/>
      <c r="M60" s="1418"/>
      <c r="N60" s="1419"/>
      <c r="P60" s="1418"/>
      <c r="Q60" s="1419"/>
      <c r="S60" s="1418"/>
      <c r="T60" s="1419"/>
      <c r="V60" s="1450"/>
      <c r="W60" s="1451"/>
    </row>
    <row r="61" spans="1:23" s="449" customFormat="1" ht="12" customHeight="1">
      <c r="B61" s="449" t="s">
        <v>1643</v>
      </c>
      <c r="G61" s="1418">
        <v>15000</v>
      </c>
      <c r="H61" s="1419"/>
      <c r="J61" s="1418">
        <v>15000</v>
      </c>
      <c r="K61" s="1419"/>
      <c r="L61" s="843"/>
      <c r="M61" s="1418"/>
      <c r="N61" s="1419"/>
      <c r="P61" s="1418"/>
      <c r="Q61" s="1419"/>
      <c r="S61" s="1418"/>
      <c r="T61" s="1419"/>
      <c r="V61" s="1450"/>
      <c r="W61" s="1451"/>
    </row>
    <row r="62" spans="1:23" s="449" customFormat="1" ht="12" customHeight="1">
      <c r="B62" s="449" t="s">
        <v>1644</v>
      </c>
      <c r="G62" s="1418">
        <v>4200</v>
      </c>
      <c r="H62" s="1419"/>
      <c r="J62" s="1418">
        <v>4200</v>
      </c>
      <c r="K62" s="1419"/>
      <c r="L62" s="843"/>
      <c r="M62" s="1418"/>
      <c r="N62" s="1419"/>
      <c r="P62" s="1418"/>
      <c r="Q62" s="1419"/>
      <c r="S62" s="1418"/>
      <c r="T62" s="1419"/>
      <c r="V62" s="1450"/>
      <c r="W62" s="1451"/>
    </row>
    <row r="63" spans="1:23" s="449" customFormat="1" ht="12" customHeight="1">
      <c r="B63" s="449" t="s">
        <v>1645</v>
      </c>
      <c r="G63" s="1418">
        <v>2500</v>
      </c>
      <c r="H63" s="1419"/>
      <c r="J63" s="1418">
        <v>2500</v>
      </c>
      <c r="K63" s="1419"/>
      <c r="L63" s="843"/>
      <c r="M63" s="1418"/>
      <c r="N63" s="1419"/>
      <c r="P63" s="1418"/>
      <c r="Q63" s="1419"/>
      <c r="S63" s="1418"/>
      <c r="T63" s="1419"/>
      <c r="V63" s="1450"/>
      <c r="W63" s="1451"/>
    </row>
    <row r="64" spans="1:23" s="449" customFormat="1" ht="12" customHeight="1">
      <c r="B64" s="449" t="s">
        <v>1646</v>
      </c>
      <c r="G64" s="1418"/>
      <c r="H64" s="1419"/>
      <c r="J64" s="1418"/>
      <c r="K64" s="1419"/>
      <c r="L64" s="843"/>
      <c r="M64" s="1418"/>
      <c r="N64" s="1419"/>
      <c r="P64" s="1418"/>
      <c r="Q64" s="1419"/>
      <c r="S64" s="1418"/>
      <c r="T64" s="1419"/>
      <c r="V64" s="1450"/>
      <c r="W64" s="1451"/>
    </row>
    <row r="65" spans="1:23" s="449" customFormat="1" ht="12" customHeight="1">
      <c r="B65" s="449" t="s">
        <v>664</v>
      </c>
      <c r="G65" s="1418">
        <v>45000</v>
      </c>
      <c r="H65" s="1419"/>
      <c r="J65" s="1418">
        <v>45000</v>
      </c>
      <c r="K65" s="1419"/>
      <c r="L65" s="843"/>
      <c r="M65" s="1418"/>
      <c r="N65" s="1419"/>
      <c r="P65" s="1418"/>
      <c r="Q65" s="1419"/>
      <c r="S65" s="1418"/>
      <c r="T65" s="1419"/>
      <c r="V65" s="1450"/>
      <c r="W65" s="1451"/>
    </row>
    <row r="66" spans="1:23" s="449" customFormat="1" ht="12" customHeight="1">
      <c r="B66" s="449" t="s">
        <v>665</v>
      </c>
      <c r="G66" s="1418">
        <v>40000</v>
      </c>
      <c r="H66" s="1419"/>
      <c r="J66" s="1418">
        <v>40000</v>
      </c>
      <c r="K66" s="1419"/>
      <c r="L66" s="843"/>
      <c r="M66" s="1418"/>
      <c r="N66" s="1419"/>
      <c r="P66" s="1418"/>
      <c r="Q66" s="1419"/>
      <c r="S66" s="1418"/>
      <c r="T66" s="1419"/>
      <c r="V66" s="1450"/>
      <c r="W66" s="1451"/>
    </row>
    <row r="67" spans="1:23" s="449" customFormat="1" ht="12" customHeight="1">
      <c r="B67" s="449" t="s">
        <v>2934</v>
      </c>
      <c r="G67" s="1418">
        <v>7500</v>
      </c>
      <c r="H67" s="1419"/>
      <c r="J67" s="1418">
        <v>7500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3398</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8">
        <f>SUM(G59:H68)</f>
        <v>262600</v>
      </c>
      <c r="H69" s="1019"/>
      <c r="J69" s="1018">
        <f>SUM(J59:K68)</f>
        <v>262600</v>
      </c>
      <c r="K69" s="1019"/>
      <c r="L69" s="515"/>
      <c r="M69" s="1018">
        <f>SUM(M59:N68)</f>
        <v>0</v>
      </c>
      <c r="N69" s="1019"/>
      <c r="P69" s="1018">
        <f>SUM(P59:Q68)</f>
        <v>0</v>
      </c>
      <c r="Q69" s="1019"/>
      <c r="S69" s="1018">
        <f>SUM(S59:T68)</f>
        <v>0</v>
      </c>
      <c r="T69" s="1019"/>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20000</v>
      </c>
      <c r="H71" s="1419"/>
      <c r="J71" s="1418">
        <v>20000</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4005</v>
      </c>
      <c r="G73" s="1418">
        <v>53695</v>
      </c>
      <c r="H73" s="1419"/>
      <c r="I73" s="472"/>
      <c r="J73" s="1418">
        <v>53695</v>
      </c>
      <c r="K73" s="1419"/>
      <c r="L73" s="843"/>
      <c r="M73" s="1418"/>
      <c r="N73" s="1419"/>
      <c r="P73" s="1418"/>
      <c r="Q73" s="1419"/>
      <c r="S73" s="1418"/>
      <c r="T73" s="1419"/>
      <c r="V73" s="1462"/>
      <c r="W73" s="1463"/>
    </row>
    <row r="74" spans="1:23" s="449" customFormat="1" ht="12" customHeight="1" thickBot="1">
      <c r="B74" s="449" t="s">
        <v>1828</v>
      </c>
      <c r="D74" s="529" t="s">
        <v>1975</v>
      </c>
      <c r="E74" s="1464" t="s">
        <v>4005</v>
      </c>
      <c r="G74" s="1418">
        <v>24225</v>
      </c>
      <c r="H74" s="1419"/>
      <c r="I74" s="472"/>
      <c r="J74" s="1418">
        <v>24225</v>
      </c>
      <c r="K74" s="1419"/>
      <c r="L74" s="843"/>
      <c r="M74" s="1418"/>
      <c r="N74" s="1419"/>
      <c r="P74" s="1418"/>
      <c r="Q74" s="1419"/>
      <c r="S74" s="1418"/>
      <c r="T74" s="1419"/>
      <c r="V74" s="1462"/>
      <c r="W74" s="1463"/>
    </row>
    <row r="75" spans="1:23" s="449" customFormat="1" ht="12" customHeight="1" thickTop="1">
      <c r="F75" s="513" t="s">
        <v>230</v>
      </c>
      <c r="G75" s="1018">
        <f>SUM(G71:H74)</f>
        <v>97920</v>
      </c>
      <c r="H75" s="1019"/>
      <c r="J75" s="1018">
        <f>SUM(J71:K74)</f>
        <v>97920</v>
      </c>
      <c r="K75" s="1019"/>
      <c r="L75" s="515"/>
      <c r="M75" s="1018">
        <f>SUM(M71:N74)</f>
        <v>0</v>
      </c>
      <c r="N75" s="1019"/>
      <c r="P75" s="1018">
        <f>SUM(P71:Q74)</f>
        <v>0</v>
      </c>
      <c r="Q75" s="1019"/>
      <c r="S75" s="1018">
        <f>SUM(S71:T74)</f>
        <v>0</v>
      </c>
      <c r="T75" s="1019"/>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5554</v>
      </c>
      <c r="H77" s="1419"/>
      <c r="J77" s="1026"/>
      <c r="K77" s="1026"/>
      <c r="L77" s="843"/>
      <c r="M77" s="1026"/>
      <c r="N77" s="1026"/>
      <c r="P77" s="1026"/>
      <c r="Q77" s="1026"/>
      <c r="S77" s="1418">
        <v>5554</v>
      </c>
      <c r="T77" s="1419"/>
      <c r="V77" s="1460"/>
      <c r="W77" s="1461"/>
    </row>
    <row r="78" spans="1:23" s="449" customFormat="1" ht="12" customHeight="1">
      <c r="B78" s="449" t="s">
        <v>1830</v>
      </c>
      <c r="G78" s="1418">
        <v>15000</v>
      </c>
      <c r="H78" s="1419"/>
      <c r="J78" s="1010"/>
      <c r="K78" s="1010"/>
      <c r="L78" s="843"/>
      <c r="M78" s="1010"/>
      <c r="N78" s="1010"/>
      <c r="P78" s="1010"/>
      <c r="Q78" s="1010"/>
      <c r="S78" s="1418">
        <v>15000</v>
      </c>
      <c r="T78" s="1419"/>
      <c r="V78" s="1462"/>
      <c r="W78" s="1463"/>
    </row>
    <row r="79" spans="1:23" s="449" customFormat="1" ht="12" customHeight="1">
      <c r="B79" s="449" t="s">
        <v>1831</v>
      </c>
      <c r="G79" s="1418">
        <v>22149</v>
      </c>
      <c r="H79" s="1419"/>
      <c r="J79" s="1418">
        <v>22149</v>
      </c>
      <c r="K79" s="1419"/>
      <c r="L79" s="843"/>
      <c r="M79" s="1418"/>
      <c r="N79" s="1419"/>
      <c r="P79" s="1418"/>
      <c r="Q79" s="1419"/>
      <c r="S79" s="1418"/>
      <c r="T79" s="1419"/>
      <c r="V79" s="1462"/>
      <c r="W79" s="1463"/>
    </row>
    <row r="80" spans="1:23" s="449" customFormat="1" ht="12" customHeight="1">
      <c r="B80" s="449" t="s">
        <v>1832</v>
      </c>
      <c r="G80" s="1418">
        <v>15000</v>
      </c>
      <c r="H80" s="1419"/>
      <c r="J80" s="1418">
        <v>15000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3216</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3398</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8">
        <f>SUM(G77:H83)</f>
        <v>57703</v>
      </c>
      <c r="H84" s="1019"/>
      <c r="J84" s="1018">
        <f>SUM(J79:K83)</f>
        <v>37149</v>
      </c>
      <c r="K84" s="1019"/>
      <c r="L84" s="515"/>
      <c r="M84" s="1018">
        <f>SUM(M79:N83)</f>
        <v>0</v>
      </c>
      <c r="N84" s="1019"/>
      <c r="P84" s="1018">
        <f>SUM(P79:Q83)</f>
        <v>0</v>
      </c>
      <c r="Q84" s="1019"/>
      <c r="S84" s="1018">
        <f>SUM(S77:T83)</f>
        <v>20554</v>
      </c>
      <c r="T84" s="1019"/>
      <c r="V84" s="1465"/>
      <c r="W84" s="146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1000</v>
      </c>
      <c r="H89" s="1419"/>
      <c r="J89" s="515"/>
      <c r="K89" s="515"/>
      <c r="L89" s="843"/>
      <c r="M89" s="515"/>
      <c r="N89" s="515"/>
      <c r="P89" s="515"/>
      <c r="Q89" s="515"/>
      <c r="S89" s="1418">
        <v>1000</v>
      </c>
      <c r="T89" s="1419"/>
      <c r="V89" s="1460"/>
      <c r="W89" s="1461"/>
    </row>
    <row r="90" spans="1:23" s="449" customFormat="1" ht="12.6" customHeight="1">
      <c r="B90" s="449" t="s">
        <v>1735</v>
      </c>
      <c r="G90" s="1418">
        <v>6500</v>
      </c>
      <c r="H90" s="1419"/>
      <c r="J90" s="515"/>
      <c r="K90" s="515"/>
      <c r="L90" s="530"/>
      <c r="M90" s="515"/>
      <c r="N90" s="515"/>
      <c r="P90" s="515"/>
      <c r="Q90" s="515"/>
      <c r="S90" s="1418">
        <v>6500</v>
      </c>
      <c r="T90" s="1419"/>
      <c r="V90" s="1462"/>
      <c r="W90" s="1463"/>
    </row>
    <row r="91" spans="1:23" s="449" customFormat="1" ht="12.6" customHeight="1">
      <c r="B91" s="449" t="s">
        <v>3953</v>
      </c>
      <c r="G91" s="1418">
        <v>2500</v>
      </c>
      <c r="H91" s="1419"/>
      <c r="J91" s="515"/>
      <c r="K91" s="515"/>
      <c r="L91" s="530"/>
      <c r="M91" s="515"/>
      <c r="N91" s="515"/>
      <c r="O91" s="833"/>
      <c r="P91" s="515"/>
      <c r="Q91" s="515"/>
      <c r="S91" s="1418">
        <v>2500</v>
      </c>
      <c r="T91" s="1419"/>
      <c r="V91" s="1462"/>
      <c r="W91" s="1463"/>
    </row>
    <row r="92" spans="1:23" s="449" customFormat="1" ht="12.6" customHeight="1">
      <c r="B92" s="449" t="s">
        <v>754</v>
      </c>
      <c r="E92" s="1064">
        <f>'DCA Underwriting Assumptions'!$Q$41*$J$165</f>
        <v>48965.515999999996</v>
      </c>
      <c r="F92" s="1065"/>
      <c r="G92" s="1418">
        <v>48966</v>
      </c>
      <c r="H92" s="1419"/>
      <c r="J92" s="515"/>
      <c r="K92" s="515"/>
      <c r="L92" s="843"/>
      <c r="M92" s="515"/>
      <c r="N92" s="515"/>
      <c r="O92" s="833"/>
      <c r="P92" s="515"/>
      <c r="Q92" s="515"/>
      <c r="S92" s="1418">
        <v>48966</v>
      </c>
      <c r="T92" s="1419"/>
      <c r="V92" s="1462"/>
      <c r="W92" s="146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65"/>
      <c r="G93" s="1418">
        <v>44800</v>
      </c>
      <c r="H93" s="1419"/>
      <c r="J93" s="416"/>
      <c r="K93" s="416"/>
      <c r="L93" s="416"/>
      <c r="M93" s="416"/>
      <c r="N93" s="416"/>
      <c r="O93" s="416"/>
      <c r="P93" s="416"/>
      <c r="Q93" s="416"/>
      <c r="S93" s="1418">
        <v>44800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v>3000</v>
      </c>
      <c r="H95" s="1419"/>
      <c r="J95" s="416"/>
      <c r="K95" s="416"/>
      <c r="L95" s="416"/>
      <c r="M95" s="416"/>
      <c r="N95" s="416"/>
      <c r="O95" s="416"/>
      <c r="P95" s="416"/>
      <c r="Q95" s="416"/>
      <c r="S95" s="1418">
        <v>3000</v>
      </c>
      <c r="T95" s="1419"/>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8">
        <f>SUM(G89:H97)</f>
        <v>106766</v>
      </c>
      <c r="H98" s="1019"/>
      <c r="J98" s="515"/>
      <c r="K98" s="515"/>
      <c r="L98" s="843"/>
      <c r="M98" s="515"/>
      <c r="N98" s="515"/>
      <c r="P98" s="515"/>
      <c r="Q98" s="515"/>
      <c r="S98" s="1018">
        <f>SUM(S89:T97)</f>
        <v>106766</v>
      </c>
      <c r="T98" s="1019"/>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500</v>
      </c>
      <c r="H100" s="1419"/>
      <c r="J100" s="1026"/>
      <c r="K100" s="1026"/>
      <c r="L100" s="843"/>
      <c r="M100" s="1026"/>
      <c r="N100" s="1026"/>
      <c r="O100" s="833"/>
      <c r="P100" s="1026"/>
      <c r="Q100" s="1026"/>
      <c r="S100" s="1418">
        <v>500</v>
      </c>
      <c r="T100" s="1419"/>
      <c r="V100" s="1460"/>
      <c r="W100" s="1461"/>
    </row>
    <row r="101" spans="1:23" s="449" customFormat="1" ht="12.6" customHeight="1">
      <c r="B101" s="449" t="s">
        <v>346</v>
      </c>
      <c r="G101" s="1418">
        <v>2000</v>
      </c>
      <c r="H101" s="1419"/>
      <c r="J101" s="1026"/>
      <c r="K101" s="1026"/>
      <c r="L101" s="843"/>
      <c r="M101" s="1026"/>
      <c r="N101" s="1026"/>
      <c r="O101" s="833"/>
      <c r="P101" s="1026"/>
      <c r="Q101" s="1026"/>
      <c r="S101" s="1418">
        <v>2000</v>
      </c>
      <c r="T101" s="1419"/>
      <c r="V101" s="1462"/>
      <c r="W101" s="1463"/>
    </row>
    <row r="102" spans="1:23" s="449" customFormat="1" ht="12.6" customHeight="1">
      <c r="B102" s="449" t="s">
        <v>3359</v>
      </c>
      <c r="G102" s="1418"/>
      <c r="H102" s="1419"/>
      <c r="J102" s="1026"/>
      <c r="K102" s="1026"/>
      <c r="L102" s="843"/>
      <c r="M102" s="1026"/>
      <c r="N102" s="1026"/>
      <c r="O102" s="833"/>
      <c r="P102" s="1026"/>
      <c r="Q102" s="1026"/>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26"/>
      <c r="K103" s="1026"/>
      <c r="L103" s="843"/>
      <c r="M103" s="1026"/>
      <c r="N103" s="1026"/>
      <c r="O103" s="833"/>
      <c r="P103" s="1026"/>
      <c r="Q103" s="1026"/>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8">
        <f>SUM(G100:H103)</f>
        <v>2500</v>
      </c>
      <c r="H104" s="1019"/>
      <c r="J104" s="1026"/>
      <c r="K104" s="1026"/>
      <c r="L104" s="843"/>
      <c r="M104" s="1026"/>
      <c r="N104" s="1026"/>
      <c r="O104" s="833"/>
      <c r="P104" s="1026"/>
      <c r="Q104" s="1026"/>
      <c r="S104" s="1018">
        <f>SUM(S100:T103)</f>
        <v>2500</v>
      </c>
      <c r="T104" s="1019"/>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v>
      </c>
      <c r="G106" s="1418">
        <v>446634</v>
      </c>
      <c r="H106" s="1419"/>
      <c r="J106" s="1418">
        <v>446634</v>
      </c>
      <c r="K106" s="1419"/>
      <c r="L106" s="514"/>
      <c r="M106" s="1418"/>
      <c r="N106" s="1419"/>
      <c r="P106" s="1418"/>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0.5</v>
      </c>
      <c r="G108" s="1418">
        <v>446634</v>
      </c>
      <c r="H108" s="1419"/>
      <c r="J108" s="1418">
        <v>446634</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8">
        <f>SUM(G106:H108)</f>
        <v>893268</v>
      </c>
      <c r="H109" s="1019"/>
      <c r="J109" s="1018">
        <f>SUM(J106:K108)</f>
        <v>893268</v>
      </c>
      <c r="K109" s="1019"/>
      <c r="L109" s="843"/>
      <c r="M109" s="1018">
        <f>SUM(M106:N108)</f>
        <v>0</v>
      </c>
      <c r="N109" s="1019"/>
      <c r="P109" s="1018">
        <f>SUM(P106:Q108)</f>
        <v>0</v>
      </c>
      <c r="Q109" s="1019"/>
      <c r="S109" s="1018">
        <f>SUM(S106:T108)</f>
        <v>0</v>
      </c>
      <c r="T109" s="1019"/>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30000</v>
      </c>
      <c r="H111" s="1419"/>
      <c r="J111" s="531"/>
      <c r="K111" s="531"/>
      <c r="L111" s="531"/>
      <c r="M111" s="531"/>
      <c r="N111" s="531"/>
      <c r="P111" s="531"/>
      <c r="Q111" s="531"/>
      <c r="S111" s="1418">
        <v>30000</v>
      </c>
      <c r="T111" s="1419"/>
      <c r="V111" s="1460"/>
      <c r="W111" s="1461"/>
    </row>
    <row r="112" spans="1:23" s="449" customFormat="1" ht="12.6" customHeight="1">
      <c r="B112" s="449" t="s">
        <v>2137</v>
      </c>
      <c r="G112" s="1418">
        <v>42423</v>
      </c>
      <c r="H112" s="1419"/>
      <c r="J112" s="1026"/>
      <c r="K112" s="1026"/>
      <c r="L112" s="843"/>
      <c r="M112" s="1026"/>
      <c r="N112" s="1026"/>
      <c r="O112" s="833"/>
      <c r="P112" s="1026"/>
      <c r="Q112" s="1026"/>
      <c r="R112" s="833"/>
      <c r="S112" s="1418">
        <v>42423</v>
      </c>
      <c r="T112" s="1419"/>
      <c r="V112" s="1462"/>
      <c r="W112" s="1463"/>
    </row>
    <row r="113" spans="1:23" s="449" customFormat="1" ht="12.6" customHeight="1">
      <c r="B113" s="449" t="s">
        <v>948</v>
      </c>
      <c r="F113" s="472"/>
      <c r="G113" s="1418">
        <v>98888</v>
      </c>
      <c r="H113" s="1419"/>
      <c r="J113" s="530"/>
      <c r="K113" s="530"/>
      <c r="L113" s="530"/>
      <c r="M113" s="530"/>
      <c r="N113" s="530"/>
      <c r="O113" s="833"/>
      <c r="P113" s="530"/>
      <c r="Q113" s="530"/>
      <c r="R113" s="833"/>
      <c r="S113" s="1418">
        <v>98888</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357.14285714285717</v>
      </c>
      <c r="G115" s="1418">
        <v>20000</v>
      </c>
      <c r="H115" s="1419"/>
      <c r="J115" s="1418">
        <v>20000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8">
        <f>SUM(G111:H116)</f>
        <v>191311</v>
      </c>
      <c r="H117" s="1019"/>
      <c r="J117" s="1018">
        <f>SUM(J115:K116)</f>
        <v>20000</v>
      </c>
      <c r="K117" s="1019"/>
      <c r="L117" s="843"/>
      <c r="M117" s="1018">
        <f>SUM(M115:N116)</f>
        <v>0</v>
      </c>
      <c r="N117" s="1019"/>
      <c r="P117" s="1018">
        <f>SUM(P115:Q116)</f>
        <v>0</v>
      </c>
      <c r="Q117" s="1019"/>
      <c r="S117" s="1018">
        <f>SUM(S111:T116)</f>
        <v>171311</v>
      </c>
      <c r="T117" s="1019"/>
      <c r="V117" s="1465"/>
      <c r="W117" s="1466"/>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2"/>
      <c r="W121" s="1463"/>
    </row>
    <row r="122" spans="1:23" s="449" customFormat="1" ht="3" customHeight="1" thickBot="1">
      <c r="C122" s="827"/>
      <c r="H122" s="528"/>
      <c r="I122" s="528"/>
      <c r="L122" s="833"/>
      <c r="V122" s="1462"/>
      <c r="W122" s="1463"/>
    </row>
    <row r="123" spans="1:23" s="449" customFormat="1" ht="13.9" customHeight="1" thickBot="1">
      <c r="B123" s="456" t="s">
        <v>348</v>
      </c>
      <c r="G123" s="1022">
        <f>G17+G23+G27+G32+G36+G42+G57+G69+G75+G84+G98+G104+G109+G117+G121</f>
        <v>7383031</v>
      </c>
      <c r="H123" s="1023"/>
      <c r="J123" s="1022">
        <f>J17+J23+J27+J32+J36+J42+J57+J69+J75+J84+J98+J104+J109+J117+J121</f>
        <v>6546192</v>
      </c>
      <c r="K123" s="1023"/>
      <c r="M123" s="1022">
        <f>M17+M23+M27+M32+M36+M42+M57+M69+M75+M84+M98+M104+M109+M117+M121</f>
        <v>0</v>
      </c>
      <c r="N123" s="1023"/>
      <c r="P123" s="1022">
        <f>P17+P23+P27+P32+P36+P42+P57+P69+P75+P84+P98+P104+P109+P117+P121</f>
        <v>0</v>
      </c>
      <c r="Q123" s="1023"/>
      <c r="S123" s="1022">
        <f>S17+S23+S27+S32+S36+S42+S57+S69+S75+S84+S98+S104+S109+S117+S121</f>
        <v>836839</v>
      </c>
      <c r="T123" s="1023"/>
      <c r="V123" s="1465"/>
      <c r="W123" s="1466"/>
    </row>
    <row r="124" spans="1:23" s="449" customFormat="1" ht="3" customHeight="1" thickBot="1">
      <c r="C124" s="827"/>
      <c r="H124" s="528"/>
      <c r="I124" s="528"/>
      <c r="L124" s="833"/>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8241184</v>
      </c>
      <c r="E125" s="1021"/>
      <c r="F125" s="452" t="s">
        <v>957</v>
      </c>
      <c r="G125" s="1024">
        <f>G123/'Part VI-Revenues &amp; Expenses'!$M$62</f>
        <v>131839.83928571429</v>
      </c>
      <c r="H125" s="1025"/>
      <c r="I125" s="533"/>
      <c r="J125" s="456" t="s">
        <v>958</v>
      </c>
      <c r="M125" s="1024">
        <f>G123/'Part VI-Revenues &amp; Expenses'!$M$100</f>
        <v>140.81691779515543</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65">
        <f>SUM(J131:K136)</f>
        <v>0</v>
      </c>
      <c r="K137" s="966"/>
      <c r="P137" s="965">
        <f>SUM(P131:Q136)</f>
        <v>0</v>
      </c>
      <c r="Q137" s="966"/>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55">
        <f>J123</f>
        <v>6546192</v>
      </c>
      <c r="K140" s="1056"/>
      <c r="M140" s="1058">
        <f>M123</f>
        <v>0</v>
      </c>
      <c r="N140" s="1059"/>
      <c r="P140" s="1055">
        <f>P123</f>
        <v>0</v>
      </c>
      <c r="Q140" s="1056"/>
      <c r="V140" s="1460"/>
      <c r="W140" s="1461"/>
    </row>
    <row r="141" spans="2:23" s="449" customFormat="1" ht="13.9" customHeight="1">
      <c r="B141" s="449" t="s">
        <v>3128</v>
      </c>
      <c r="J141" s="1042">
        <f>J137</f>
        <v>0</v>
      </c>
      <c r="K141" s="1049"/>
      <c r="M141" s="1043"/>
      <c r="N141" s="1043"/>
      <c r="P141" s="1042">
        <f>P137</f>
        <v>0</v>
      </c>
      <c r="Q141" s="1049"/>
      <c r="V141" s="1462"/>
      <c r="W141" s="1463"/>
    </row>
    <row r="142" spans="2:23" s="449" customFormat="1" ht="13.9" customHeight="1">
      <c r="B142" s="449" t="s">
        <v>3129</v>
      </c>
      <c r="J142" s="1042">
        <f>J140-J141</f>
        <v>6546192</v>
      </c>
      <c r="K142" s="1049"/>
      <c r="M142" s="1042">
        <f>M140</f>
        <v>0</v>
      </c>
      <c r="N142" s="1049"/>
      <c r="P142" s="1042">
        <f>P140-P141</f>
        <v>0</v>
      </c>
      <c r="Q142" s="1049"/>
      <c r="V142" s="1462"/>
      <c r="W142" s="1463"/>
    </row>
    <row r="143" spans="2:23" s="449" customFormat="1" ht="13.9" customHeight="1">
      <c r="B143" s="449" t="s">
        <v>2080</v>
      </c>
      <c r="G143" s="828" t="s">
        <v>2563</v>
      </c>
      <c r="H143" s="1286" t="s">
        <v>4026</v>
      </c>
      <c r="I143" s="1287"/>
      <c r="J143" s="1469">
        <v>1.25</v>
      </c>
      <c r="K143" s="1470"/>
      <c r="M143" s="1054"/>
      <c r="N143" s="1054"/>
      <c r="P143" s="1469"/>
      <c r="Q143" s="1470"/>
      <c r="V143" s="1462"/>
      <c r="W143" s="1463"/>
    </row>
    <row r="144" spans="2:23" s="449" customFormat="1" ht="13.9" customHeight="1">
      <c r="B144" s="449" t="s">
        <v>2942</v>
      </c>
      <c r="J144" s="1042">
        <f>J142*J143</f>
        <v>8182740</v>
      </c>
      <c r="K144" s="1049"/>
      <c r="M144" s="1042">
        <f>+M142</f>
        <v>0</v>
      </c>
      <c r="N144" s="1049"/>
      <c r="P144" s="1042">
        <f>P142*P143</f>
        <v>0</v>
      </c>
      <c r="Q144" s="1049"/>
      <c r="V144" s="1462"/>
      <c r="W144" s="1463"/>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2"/>
      <c r="W145" s="1463"/>
    </row>
    <row r="146" spans="1:23" s="449" customFormat="1" ht="13.9" customHeight="1">
      <c r="B146" s="449" t="s">
        <v>2930</v>
      </c>
      <c r="J146" s="1042">
        <f>J144*J145</f>
        <v>8182740</v>
      </c>
      <c r="K146" s="1049"/>
      <c r="M146" s="1042">
        <f>M144*M145</f>
        <v>0</v>
      </c>
      <c r="N146" s="1049"/>
      <c r="P146" s="1042">
        <f>P144*P145</f>
        <v>0</v>
      </c>
      <c r="Q146" s="1049"/>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52">
        <f>J146*J147</f>
        <v>612068.95200000005</v>
      </c>
      <c r="K148" s="1053"/>
      <c r="M148" s="1052">
        <f>M146*M147</f>
        <v>0</v>
      </c>
      <c r="N148" s="1053"/>
      <c r="P148" s="1052">
        <f>P146*P147</f>
        <v>0</v>
      </c>
      <c r="Q148" s="1053"/>
      <c r="V148" s="1462"/>
      <c r="W148" s="1463"/>
    </row>
    <row r="149" spans="1:23" s="449" customFormat="1" ht="13.9" customHeight="1" thickBot="1">
      <c r="B149" s="452" t="s">
        <v>2004</v>
      </c>
      <c r="J149" s="965">
        <f>J148+M148+P148</f>
        <v>612068.95200000005</v>
      </c>
      <c r="K149" s="1048"/>
      <c r="L149" s="1048"/>
      <c r="M149" s="1048"/>
      <c r="N149" s="1048"/>
      <c r="O149" s="1048"/>
      <c r="P149" s="1048"/>
      <c r="Q149" s="966"/>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7383031</v>
      </c>
      <c r="K152" s="1034"/>
      <c r="L152" s="1034"/>
      <c r="M152" s="1039" t="s">
        <v>3957</v>
      </c>
      <c r="N152" s="1040"/>
      <c r="O152" s="1040"/>
      <c r="P152" s="1040"/>
      <c r="Q152" s="1040"/>
      <c r="R152" s="1041"/>
      <c r="S152" s="1029"/>
      <c r="T152" s="1030"/>
      <c r="V152" s="1460"/>
      <c r="W152" s="1461"/>
    </row>
    <row r="153" spans="1:23" s="449" customFormat="1" ht="13.9" customHeight="1">
      <c r="B153" s="449" t="s">
        <v>2491</v>
      </c>
      <c r="J153" s="1471">
        <v>7383031</v>
      </c>
      <c r="K153" s="1472"/>
      <c r="L153" s="1472"/>
      <c r="M153" s="1039"/>
      <c r="N153" s="1040"/>
      <c r="O153" s="1040"/>
      <c r="P153" s="1040"/>
      <c r="Q153" s="1040"/>
      <c r="R153" s="1041"/>
      <c r="S153" s="1029"/>
      <c r="T153" s="1030"/>
      <c r="V153" s="1462"/>
      <c r="W153" s="1463"/>
    </row>
    <row r="154" spans="1:23" s="449" customFormat="1" ht="13.9" customHeight="1">
      <c r="B154" s="449" t="s">
        <v>320</v>
      </c>
      <c r="J154" s="1042">
        <f>'Part III A-Sources of Funds'!$H$49-'Part III A-Sources of Funds'!$H$37-'Part III A-Sources of Funds'!$H$40-'Part III A-Sources of Funds'!$H$41</f>
        <v>370298</v>
      </c>
      <c r="K154" s="1043"/>
      <c r="L154" s="1043"/>
      <c r="M154" s="1039"/>
      <c r="N154" s="1040"/>
      <c r="O154" s="1040"/>
      <c r="P154" s="1040"/>
      <c r="Q154" s="1040"/>
      <c r="R154" s="1041"/>
      <c r="S154" s="648"/>
      <c r="T154" s="651" t="s">
        <v>322</v>
      </c>
      <c r="V154" s="1462"/>
      <c r="W154" s="1463"/>
    </row>
    <row r="155" spans="1:23" s="449" customFormat="1" ht="13.9" customHeight="1">
      <c r="B155" s="449" t="s">
        <v>3141</v>
      </c>
      <c r="J155" s="1042">
        <f>+J153-J154</f>
        <v>7012733</v>
      </c>
      <c r="K155" s="1043"/>
      <c r="L155" s="1043"/>
      <c r="M155" s="1047" t="s">
        <v>3887</v>
      </c>
      <c r="N155" s="1473"/>
      <c r="O155" s="1473"/>
      <c r="P155" s="1473"/>
      <c r="Q155" s="1473"/>
      <c r="R155" s="1474"/>
      <c r="S155" s="649" t="s">
        <v>2493</v>
      </c>
      <c r="T155" s="1475" t="s">
        <v>4005</v>
      </c>
      <c r="V155" s="1462"/>
      <c r="W155" s="1463"/>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6" t="s">
        <v>4005</v>
      </c>
      <c r="V156" s="1462"/>
      <c r="W156" s="1463"/>
    </row>
    <row r="157" spans="1:23" s="449" customFormat="1" ht="13.9" customHeight="1">
      <c r="B157" s="449" t="s">
        <v>1854</v>
      </c>
      <c r="J157" s="1042">
        <f>J155/10</f>
        <v>701273.3</v>
      </c>
      <c r="K157" s="1043"/>
      <c r="L157" s="1049"/>
      <c r="M157" s="472"/>
      <c r="N157" s="896" t="s">
        <v>1855</v>
      </c>
      <c r="O157" s="896"/>
      <c r="Q157" s="896" t="s">
        <v>2655</v>
      </c>
      <c r="R157" s="896"/>
      <c r="V157" s="1462"/>
      <c r="W157" s="1463"/>
    </row>
    <row r="158" spans="1:23" s="449" customFormat="1" ht="13.9" customHeight="1" thickBot="1">
      <c r="B158" s="449" t="s">
        <v>2079</v>
      </c>
      <c r="J158" s="1031">
        <f>N158+Q158</f>
        <v>1.1080000000000001</v>
      </c>
      <c r="K158" s="1032"/>
      <c r="L158" s="1033"/>
      <c r="M158" s="828" t="s">
        <v>1856</v>
      </c>
      <c r="N158" s="1477">
        <v>0.85799999999999998</v>
      </c>
      <c r="O158" s="1478"/>
      <c r="P158" s="828" t="s">
        <v>868</v>
      </c>
      <c r="Q158" s="1477">
        <v>0.25</v>
      </c>
      <c r="R158" s="1478"/>
      <c r="V158" s="1462"/>
      <c r="W158" s="1463"/>
    </row>
    <row r="159" spans="1:23" s="449" customFormat="1" ht="13.9" customHeight="1" thickBot="1">
      <c r="B159" s="452" t="s">
        <v>2005</v>
      </c>
      <c r="J159" s="965">
        <f>IF(J158=0,"",J157/J158)</f>
        <v>632918.14079422376</v>
      </c>
      <c r="K159" s="1048"/>
      <c r="L159" s="966"/>
      <c r="M159" s="472"/>
      <c r="N159" s="833"/>
      <c r="O159" s="833"/>
      <c r="V159" s="1462"/>
      <c r="W159" s="1463"/>
    </row>
    <row r="160" spans="1:23" s="449" customFormat="1" ht="9" customHeight="1">
      <c r="J160" s="538"/>
      <c r="K160" s="538"/>
      <c r="L160" s="538"/>
      <c r="M160" s="472"/>
      <c r="N160" s="836"/>
      <c r="O160" s="836"/>
      <c r="V160" s="1462"/>
      <c r="W160" s="1463"/>
    </row>
    <row r="161" spans="1:23" s="449" customFormat="1" ht="16.149999999999999" customHeight="1">
      <c r="B161" s="452" t="s">
        <v>420</v>
      </c>
      <c r="J161" s="1011">
        <f>+MIN(J149,J159,'DCA Underwriting Assumptions'!$R$6)</f>
        <v>612068.95200000005</v>
      </c>
      <c r="K161" s="1012"/>
      <c r="L161" s="1013"/>
      <c r="M161" s="472"/>
      <c r="N161" s="836"/>
      <c r="O161" s="836"/>
      <c r="V161" s="1462"/>
      <c r="W161" s="1463"/>
    </row>
    <row r="162" spans="1:23" s="449" customFormat="1" ht="9.6" customHeight="1">
      <c r="J162" s="538"/>
      <c r="K162" s="538"/>
      <c r="L162" s="538"/>
      <c r="M162" s="472"/>
      <c r="N162" s="836"/>
      <c r="O162" s="836"/>
      <c r="V162" s="1462"/>
      <c r="W162" s="1463"/>
    </row>
    <row r="163" spans="1:23" s="449" customFormat="1" ht="16.149999999999999" customHeight="1">
      <c r="B163" s="452" t="s">
        <v>421</v>
      </c>
      <c r="J163" s="1479">
        <v>612068.94999999995</v>
      </c>
      <c r="K163" s="1480"/>
      <c r="L163" s="1481"/>
      <c r="M163" s="539" t="str">
        <f>IF(J161=0,"",IF(J163&gt;J161,"ALLOCATION CANNOT EXCEED MAXIMUM - REVISE REQUEST!",""))</f>
        <v/>
      </c>
      <c r="N163" s="836"/>
      <c r="O163" s="836"/>
      <c r="V163" s="1462"/>
      <c r="W163" s="1463"/>
    </row>
    <row r="164" spans="1:23" s="449" customFormat="1" ht="9.6" customHeight="1">
      <c r="J164" s="538"/>
      <c r="K164" s="538"/>
      <c r="L164" s="538"/>
      <c r="M164" s="472"/>
      <c r="N164" s="836"/>
      <c r="O164" s="836"/>
      <c r="V164" s="1462"/>
      <c r="W164" s="1463"/>
    </row>
    <row r="165" spans="1:23" s="449" customFormat="1" ht="16.149999999999999" customHeight="1">
      <c r="A165" s="685" t="s">
        <v>2648</v>
      </c>
      <c r="B165" s="685" t="s">
        <v>3670</v>
      </c>
      <c r="D165" s="472"/>
      <c r="E165" s="472"/>
      <c r="F165" s="455"/>
      <c r="J165" s="1011">
        <f>IF(J163="",0,+MIN(J161,J163))</f>
        <v>612068.94999999995</v>
      </c>
      <c r="K165" s="1012"/>
      <c r="L165" s="1013"/>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4072</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87" t="s">
        <v>3965</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2012-029 The Groves Place, Tifton, Tift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South</v>
      </c>
    </row>
    <row r="4" spans="1:20" s="9" customFormat="1"/>
    <row r="5" spans="1:20" s="9" customFormat="1">
      <c r="A5" s="16" t="s">
        <v>873</v>
      </c>
      <c r="B5" s="16" t="s">
        <v>3136</v>
      </c>
      <c r="F5" s="9" t="s">
        <v>3532</v>
      </c>
      <c r="I5" s="1487" t="s">
        <v>4008</v>
      </c>
      <c r="J5" s="1488"/>
      <c r="K5" s="1488"/>
      <c r="L5" s="1488"/>
      <c r="M5" s="1489"/>
    </row>
    <row r="6" spans="1:20" s="9" customFormat="1" ht="13.15" customHeight="1">
      <c r="A6" s="16"/>
      <c r="F6" s="9" t="s">
        <v>895</v>
      </c>
      <c r="H6" s="31"/>
      <c r="I6" s="1490">
        <v>40695</v>
      </c>
      <c r="J6" s="1491"/>
      <c r="K6" s="74" t="s">
        <v>776</v>
      </c>
      <c r="L6" s="1492" t="s">
        <v>4028</v>
      </c>
      <c r="M6" s="1489"/>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4009</v>
      </c>
      <c r="E10" s="1494"/>
      <c r="F10" s="1495" t="s">
        <v>612</v>
      </c>
      <c r="G10" s="1495"/>
      <c r="H10" s="343"/>
      <c r="I10" s="1496"/>
      <c r="J10" s="1496">
        <v>2</v>
      </c>
      <c r="K10" s="1496">
        <v>2</v>
      </c>
      <c r="L10" s="1496">
        <v>3</v>
      </c>
      <c r="M10" s="1496"/>
    </row>
    <row r="11" spans="1:20" s="9" customFormat="1">
      <c r="B11" s="344" t="s">
        <v>644</v>
      </c>
      <c r="C11" s="345"/>
      <c r="D11" s="344" t="s">
        <v>2204</v>
      </c>
      <c r="E11" s="345"/>
      <c r="F11" s="1497" t="s">
        <v>612</v>
      </c>
      <c r="G11" s="1497"/>
      <c r="H11" s="346"/>
      <c r="I11" s="1498"/>
      <c r="J11" s="1498">
        <v>38</v>
      </c>
      <c r="K11" s="1498">
        <v>48</v>
      </c>
      <c r="L11" s="1499">
        <v>59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3135</v>
      </c>
      <c r="E15" s="1502" t="s">
        <v>4005</v>
      </c>
      <c r="F15" s="1497" t="s">
        <v>612</v>
      </c>
      <c r="G15" s="1497"/>
      <c r="H15" s="346"/>
      <c r="I15" s="1498"/>
      <c r="J15" s="1498">
        <v>39</v>
      </c>
      <c r="K15" s="1498">
        <v>49</v>
      </c>
      <c r="L15" s="1499">
        <v>58</v>
      </c>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142</v>
      </c>
      <c r="K17" s="847">
        <f>SUM(K10:K16)</f>
        <v>180</v>
      </c>
      <c r="L17" s="847">
        <f>SUM(L10:L16)</f>
        <v>219</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87"/>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4009</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2204</v>
      </c>
      <c r="E26" s="1501"/>
      <c r="F26" s="1497"/>
      <c r="G26" s="1497"/>
      <c r="H26" s="346"/>
      <c r="I26" s="1498"/>
      <c r="J26" s="1498"/>
      <c r="K26" s="1498"/>
      <c r="L26" s="1499"/>
      <c r="M26" s="1499"/>
    </row>
    <row r="27" spans="1:19" s="9" customFormat="1">
      <c r="B27" s="344" t="s">
        <v>2206</v>
      </c>
      <c r="C27" s="345"/>
      <c r="D27" s="1500" t="s">
        <v>2204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4053</v>
      </c>
      <c r="C36" s="1507"/>
      <c r="D36" s="1507"/>
      <c r="E36" s="1507"/>
      <c r="F36" s="1507"/>
      <c r="G36" s="1507"/>
      <c r="H36" s="1507"/>
      <c r="I36" s="1507"/>
      <c r="J36" s="1507"/>
      <c r="K36" s="1507"/>
      <c r="L36" s="1507"/>
      <c r="M36" s="1508"/>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2012-029 The Groves Place, Tifton, Tift County</v>
      </c>
      <c r="B1" s="994"/>
      <c r="C1" s="994"/>
      <c r="D1" s="994"/>
      <c r="E1" s="994"/>
      <c r="F1" s="994"/>
      <c r="G1" s="994"/>
      <c r="H1" s="994"/>
      <c r="I1" s="994"/>
      <c r="J1" s="994"/>
      <c r="K1" s="994"/>
      <c r="L1" s="994"/>
      <c r="M1" s="994"/>
      <c r="N1" s="994"/>
      <c r="O1" s="994"/>
      <c r="P1" s="995"/>
      <c r="T1" s="1103" t="str">
        <f>A1</f>
        <v>PART SIX - PROJECTED REVENUES &amp; EXPENSES  -  2012-029 The Groves Place, Tifton, Tift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t="s">
        <v>4005</v>
      </c>
      <c r="J6" s="848" t="s">
        <v>3386</v>
      </c>
      <c r="N6" s="1100" t="str">
        <f>'Part I-Project Information'!$J$26</f>
        <v>Tift Co.</v>
      </c>
      <c r="O6" s="1100"/>
      <c r="P6" s="672">
        <f>VLOOKUP('Part I-Project Information'!$J$26,'DCA Underwriting Assumptions'!$C$84:$D$194,2)</f>
        <v>47700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3387</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3973</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3</v>
      </c>
      <c r="F10" s="1517">
        <v>850</v>
      </c>
      <c r="G10" s="1517">
        <v>440</v>
      </c>
      <c r="H10" s="1517">
        <v>437</v>
      </c>
      <c r="I10" s="1517">
        <v>142</v>
      </c>
      <c r="J10" s="1518"/>
      <c r="K10" s="224">
        <f>MAX(0,H10-I10)</f>
        <v>295</v>
      </c>
      <c r="L10" s="224">
        <f t="shared" ref="L10:L47" si="0">MAX(0,E10*K10)</f>
        <v>885</v>
      </c>
      <c r="M10" s="1519" t="s">
        <v>4005</v>
      </c>
      <c r="N10" s="1519" t="s">
        <v>4028</v>
      </c>
      <c r="O10" s="1519" t="s">
        <v>3213</v>
      </c>
      <c r="P10" s="673">
        <f>IF(H10="","",H10*12/0.3)</f>
        <v>17480</v>
      </c>
      <c r="Q10" s="674">
        <f>IF(H10="","",P10/($P$6*VLOOKUP(C10,'DCA Underwriting Assumptions'!$J$84:$K$89,2,FALSE)))</f>
        <v>0.4886093640810622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2550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3</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2</v>
      </c>
      <c r="E11" s="1523">
        <v>7</v>
      </c>
      <c r="F11" s="1523">
        <v>965</v>
      </c>
      <c r="G11" s="1523">
        <v>528</v>
      </c>
      <c r="H11" s="1523">
        <v>525</v>
      </c>
      <c r="I11" s="1523">
        <v>180</v>
      </c>
      <c r="J11" s="1524"/>
      <c r="K11" s="225">
        <f t="shared" ref="K11:K27" si="172">MAX(0,H11-I11)</f>
        <v>345</v>
      </c>
      <c r="L11" s="225">
        <f t="shared" si="0"/>
        <v>2415</v>
      </c>
      <c r="M11" s="1525" t="s">
        <v>4005</v>
      </c>
      <c r="N11" s="1525" t="s">
        <v>4028</v>
      </c>
      <c r="O11" s="1525" t="s">
        <v>3213</v>
      </c>
      <c r="P11" s="673">
        <f>IF(H11="","",H11*12/0.3)</f>
        <v>21000</v>
      </c>
      <c r="Q11" s="674">
        <f>IF(H11="","",P11/($P$6*VLOOKUP(C11,'DCA Underwriting Assumptions'!$J$84:$K$89,2,FALSE)))</f>
        <v>0.4891684136967156</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7</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6755</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7</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7</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7</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1670</v>
      </c>
      <c r="C12" s="1521">
        <v>1</v>
      </c>
      <c r="D12" s="1522">
        <v>1</v>
      </c>
      <c r="E12" s="1523">
        <v>11</v>
      </c>
      <c r="F12" s="1523">
        <v>850</v>
      </c>
      <c r="G12" s="1523">
        <v>528</v>
      </c>
      <c r="H12" s="1523">
        <v>512</v>
      </c>
      <c r="I12" s="1523">
        <v>142</v>
      </c>
      <c r="J12" s="1524"/>
      <c r="K12" s="225">
        <f t="shared" si="172"/>
        <v>370</v>
      </c>
      <c r="L12" s="225">
        <f t="shared" si="0"/>
        <v>4070</v>
      </c>
      <c r="M12" s="1525" t="s">
        <v>4005</v>
      </c>
      <c r="N12" s="1525" t="s">
        <v>4028</v>
      </c>
      <c r="O12" s="1525" t="s">
        <v>3213</v>
      </c>
      <c r="P12" s="673">
        <f>IF(H12="","",H12*12/0.3)</f>
        <v>20480</v>
      </c>
      <c r="Q12" s="674">
        <f>IF(H12="","",P12/($P$6*VLOOKUP(C12,'DCA Underwriting Assumptions'!$J$84:$K$89,2,FALSE)))</f>
        <v>0.57246680642907055</v>
      </c>
      <c r="R12" s="820"/>
      <c r="S12" s="674"/>
      <c r="T12" s="1462"/>
      <c r="U12" s="1463"/>
      <c r="V12" s="757" t="str">
        <f t="shared" si="1"/>
        <v/>
      </c>
      <c r="W12" s="757">
        <f t="shared" si="2"/>
        <v>11</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9350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11</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11</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11</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2</v>
      </c>
      <c r="D13" s="1522">
        <v>2</v>
      </c>
      <c r="E13" s="1523">
        <v>35</v>
      </c>
      <c r="F13" s="1523">
        <v>965</v>
      </c>
      <c r="G13" s="1523">
        <v>634</v>
      </c>
      <c r="H13" s="1523">
        <v>570</v>
      </c>
      <c r="I13" s="1523">
        <v>180</v>
      </c>
      <c r="J13" s="1524"/>
      <c r="K13" s="225">
        <f t="shared" si="172"/>
        <v>390</v>
      </c>
      <c r="L13" s="225">
        <f t="shared" si="0"/>
        <v>13650</v>
      </c>
      <c r="M13" s="1525" t="s">
        <v>4005</v>
      </c>
      <c r="N13" s="1525" t="s">
        <v>4028</v>
      </c>
      <c r="O13" s="1525" t="s">
        <v>3213</v>
      </c>
      <c r="P13" s="673">
        <f>IF(H13="","",H13*12/0.3)</f>
        <v>22800</v>
      </c>
      <c r="Q13" s="674">
        <f>IF(H13="","",P13/($P$6*VLOOKUP(C13,'DCA Underwriting Assumptions'!$J$84:$K$89,2,FALSE)))</f>
        <v>0.53109713487071974</v>
      </c>
      <c r="R13" s="820"/>
      <c r="S13" s="674"/>
      <c r="T13" s="1462"/>
      <c r="U13" s="1463"/>
      <c r="V13" s="757" t="str">
        <f t="shared" si="1"/>
        <v/>
      </c>
      <c r="W13" s="757" t="str">
        <f t="shared" si="2"/>
        <v/>
      </c>
      <c r="X13" s="757">
        <f t="shared" si="3"/>
        <v>35</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33775</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35</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35</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35</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2626</v>
      </c>
      <c r="C14" s="1521"/>
      <c r="D14" s="1522"/>
      <c r="E14" s="1523"/>
      <c r="F14" s="1523"/>
      <c r="G14" s="1523"/>
      <c r="H14" s="1523"/>
      <c r="I14" s="1523"/>
      <c r="J14" s="1524"/>
      <c r="K14" s="225">
        <f t="shared" si="172"/>
        <v>0</v>
      </c>
      <c r="L14" s="225">
        <f t="shared" si="0"/>
        <v>0</v>
      </c>
      <c r="M14" s="1525"/>
      <c r="N14" s="1525"/>
      <c r="O14" s="1525"/>
      <c r="P14" s="673" t="str">
        <f>IF(H14="","",H14*12/0.3)</f>
        <v/>
      </c>
      <c r="Q14" s="674" t="str">
        <f>IF(H14="","",P14/($P$6*VLOOKUP(C14,'DCA Underwriting Assumptions'!$J$84:$K$89,2,FALSE)))</f>
        <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2626</v>
      </c>
      <c r="C15" s="1521"/>
      <c r="D15" s="1522"/>
      <c r="E15" s="1523"/>
      <c r="F15" s="1523"/>
      <c r="G15" s="1523">
        <v>0</v>
      </c>
      <c r="H15" s="1523">
        <v>0</v>
      </c>
      <c r="I15" s="1523">
        <v>0</v>
      </c>
      <c r="J15" s="1524"/>
      <c r="K15" s="225">
        <f t="shared" si="172"/>
        <v>0</v>
      </c>
      <c r="L15" s="225">
        <f t="shared" si="0"/>
        <v>0</v>
      </c>
      <c r="M15" s="1525"/>
      <c r="N15" s="1525"/>
      <c r="O15" s="1525"/>
      <c r="P15" s="673">
        <f t="shared" ref="P15:P47" si="203">IF(H15="","",H15*12/0.3)</f>
        <v>0</v>
      </c>
      <c r="Q15" s="674">
        <f>IF(H15="","",P15/($P$6*VLOOKUP(C15,'DCA Underwriting Assumptions'!$J$84:$K$89,2,FALSE)))</f>
        <v>0</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2626</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2626</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56</v>
      </c>
      <c r="F48" s="172">
        <f>(E10*F10+E11*F11+E12*F12+E13*F13+E14*F14+E15*F15+E16*F16+E17*F17+E18*F18+E19*F19+E20*F20+E21*F21+E22*F22+E23*F23+E24*F24+E25*F25+E26*F26+E27*F27+E28*F28+E29*F29+E30*F30+E31*F31+E32*F32+E33*F33+E34*F34+E35*F35+E36*F36+E37*F37+E38*F38+E39*F39+E40*F40+E41*F41+E42*F42+E43*F43+E44*F44+E45*F45+E46*F46+E47*F47)</f>
        <v>52430</v>
      </c>
      <c r="G48" s="163"/>
      <c r="H48" s="164"/>
      <c r="I48" s="164"/>
      <c r="J48" s="164"/>
      <c r="K48" s="15" t="s">
        <v>1869</v>
      </c>
      <c r="L48" s="170">
        <f>SUM(L10:L47)</f>
        <v>21020</v>
      </c>
      <c r="M48" s="2"/>
      <c r="N48" s="40"/>
      <c r="O48" s="2"/>
      <c r="P48" s="676"/>
      <c r="Q48" s="676"/>
      <c r="R48" s="676"/>
      <c r="S48" s="676"/>
      <c r="T48" s="675"/>
      <c r="U48" s="677"/>
      <c r="V48" s="779">
        <f t="shared" ref="V48:CK48" si="206">SUM(V10:V47)</f>
        <v>0</v>
      </c>
      <c r="W48" s="779">
        <f t="shared" si="206"/>
        <v>11</v>
      </c>
      <c r="X48" s="779">
        <f t="shared" si="206"/>
        <v>35</v>
      </c>
      <c r="Y48" s="779">
        <f t="shared" si="206"/>
        <v>0</v>
      </c>
      <c r="Z48" s="779">
        <f t="shared" si="206"/>
        <v>0</v>
      </c>
      <c r="AA48" s="779">
        <f t="shared" si="206"/>
        <v>0</v>
      </c>
      <c r="AB48" s="779">
        <f t="shared" si="206"/>
        <v>3</v>
      </c>
      <c r="AC48" s="779">
        <f t="shared" si="206"/>
        <v>7</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9350</v>
      </c>
      <c r="CA48" s="779">
        <f t="shared" si="206"/>
        <v>33775</v>
      </c>
      <c r="CB48" s="779">
        <f t="shared" si="206"/>
        <v>0</v>
      </c>
      <c r="CC48" s="779">
        <f t="shared" si="206"/>
        <v>0</v>
      </c>
      <c r="CD48" s="779">
        <f t="shared" si="206"/>
        <v>0</v>
      </c>
      <c r="CE48" s="779">
        <f t="shared" si="206"/>
        <v>2550</v>
      </c>
      <c r="CF48" s="779">
        <f t="shared" si="206"/>
        <v>6755</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14</v>
      </c>
      <c r="DE48" s="779">
        <f t="shared" si="208"/>
        <v>42</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14</v>
      </c>
      <c r="EX48" s="779">
        <f t="shared" si="209"/>
        <v>42</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14</v>
      </c>
      <c r="GL48" s="779">
        <f t="shared" si="209"/>
        <v>42</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252240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11</v>
      </c>
      <c r="J56" s="380">
        <f>X48</f>
        <v>35</v>
      </c>
      <c r="K56" s="380">
        <f>Y48</f>
        <v>0</v>
      </c>
      <c r="L56" s="380">
        <f>Z48</f>
        <v>0</v>
      </c>
      <c r="M56" s="380">
        <f t="shared" ref="M56:M62" si="211">SUM(H56:L56)</f>
        <v>46</v>
      </c>
      <c r="N56" s="1096" t="s">
        <v>1382</v>
      </c>
      <c r="O56" s="1097"/>
      <c r="P56" s="853"/>
      <c r="Q56" s="643">
        <f t="shared" ref="Q56:Q62" si="212">ABS(M56-AF56)</f>
        <v>46</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3</v>
      </c>
      <c r="J57" s="381">
        <f>AC48</f>
        <v>7</v>
      </c>
      <c r="K57" s="381">
        <f>AD48</f>
        <v>0</v>
      </c>
      <c r="L57" s="381">
        <f>AE48</f>
        <v>0</v>
      </c>
      <c r="M57" s="381">
        <f t="shared" si="211"/>
        <v>10</v>
      </c>
      <c r="N57" s="1096"/>
      <c r="O57" s="1097"/>
      <c r="P57" s="853"/>
      <c r="Q57" s="643">
        <f t="shared" si="212"/>
        <v>10</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14</v>
      </c>
      <c r="J58" s="382">
        <f>SUM(J56:J57)</f>
        <v>42</v>
      </c>
      <c r="K58" s="382">
        <f>SUM(K56:K57)</f>
        <v>0</v>
      </c>
      <c r="L58" s="382">
        <f>SUM(L56:L57)</f>
        <v>0</v>
      </c>
      <c r="M58" s="382">
        <f t="shared" si="211"/>
        <v>56</v>
      </c>
      <c r="N58" s="385"/>
      <c r="O58" s="110"/>
      <c r="Q58" s="643">
        <f t="shared" si="212"/>
        <v>56</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14</v>
      </c>
      <c r="J60" s="382">
        <f>SUM(J58:J59)</f>
        <v>42</v>
      </c>
      <c r="K60" s="382">
        <f>SUM(K58:K59)</f>
        <v>0</v>
      </c>
      <c r="L60" s="382">
        <f>SUM(L58:L59)</f>
        <v>0</v>
      </c>
      <c r="M60" s="382">
        <f t="shared" si="211"/>
        <v>56</v>
      </c>
      <c r="N60" s="65"/>
      <c r="O60" s="110"/>
      <c r="Q60" s="643">
        <f t="shared" si="212"/>
        <v>56</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14</v>
      </c>
      <c r="J62" s="382">
        <f>SUM(J60:J61)</f>
        <v>42</v>
      </c>
      <c r="K62" s="382">
        <f>SUM(K60:K61)</f>
        <v>0</v>
      </c>
      <c r="L62" s="382">
        <f>SUM(L60:L61)</f>
        <v>0</v>
      </c>
      <c r="M62" s="382">
        <f t="shared" si="211"/>
        <v>56</v>
      </c>
      <c r="O62" s="110"/>
      <c r="Q62" s="643">
        <f t="shared" si="212"/>
        <v>56</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14</v>
      </c>
      <c r="J72" s="380">
        <f>DE48</f>
        <v>42</v>
      </c>
      <c r="K72" s="380">
        <f>DF48</f>
        <v>0</v>
      </c>
      <c r="L72" s="380">
        <f>DG48</f>
        <v>0</v>
      </c>
      <c r="M72" s="380">
        <f t="shared" ref="M72:M82" si="213">SUM(H72:L72)</f>
        <v>56</v>
      </c>
      <c r="N72" s="31"/>
      <c r="O72" s="110"/>
      <c r="Q72" s="643">
        <f t="shared" ref="Q72:Q80" si="214">ABS(M72-AF72)</f>
        <v>56</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14</v>
      </c>
      <c r="J74" s="382">
        <f>SUM(J72:J73)+DO48</f>
        <v>42</v>
      </c>
      <c r="K74" s="382">
        <f>SUM(K72:K73)+DP48</f>
        <v>0</v>
      </c>
      <c r="L74" s="382">
        <f>SUM(L72:L73)+DQ48</f>
        <v>0</v>
      </c>
      <c r="M74" s="382">
        <f t="shared" si="213"/>
        <v>56</v>
      </c>
      <c r="N74" s="62"/>
      <c r="O74" s="110"/>
      <c r="Q74" s="643">
        <f t="shared" si="214"/>
        <v>56</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14</v>
      </c>
      <c r="J84" s="380">
        <f t="shared" si="215"/>
        <v>42</v>
      </c>
      <c r="K84" s="380">
        <f t="shared" si="215"/>
        <v>0</v>
      </c>
      <c r="L84" s="380">
        <f t="shared" si="215"/>
        <v>0</v>
      </c>
      <c r="M84" s="380">
        <f>SUM(H84:L84)</f>
        <v>56</v>
      </c>
      <c r="N84" s="31"/>
      <c r="O84" s="110"/>
      <c r="Q84" s="643">
        <f>ABS(M84-AF84)</f>
        <v>56</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14</v>
      </c>
      <c r="J88" s="383">
        <f t="shared" si="220"/>
        <v>42</v>
      </c>
      <c r="K88" s="383">
        <f t="shared" si="220"/>
        <v>0</v>
      </c>
      <c r="L88" s="383">
        <f t="shared" si="220"/>
        <v>0</v>
      </c>
      <c r="M88" s="383">
        <f t="shared" si="217"/>
        <v>56</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9350</v>
      </c>
      <c r="J94" s="221">
        <f>CA48</f>
        <v>33775</v>
      </c>
      <c r="K94" s="221">
        <f>CB48</f>
        <v>0</v>
      </c>
      <c r="L94" s="221">
        <f>CC48</f>
        <v>0</v>
      </c>
      <c r="M94" s="221">
        <f t="shared" ref="M94:M100" si="221">SUM(H94:L94)</f>
        <v>43125</v>
      </c>
      <c r="O94" s="110"/>
      <c r="Q94" s="643">
        <f t="shared" ref="Q94:Q100" si="222">ABS(M94-AF94)</f>
        <v>43125</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2550</v>
      </c>
      <c r="J95" s="223">
        <f>CF48</f>
        <v>6755</v>
      </c>
      <c r="K95" s="223">
        <f>CG48</f>
        <v>0</v>
      </c>
      <c r="L95" s="223">
        <f>CH48</f>
        <v>0</v>
      </c>
      <c r="M95" s="223">
        <f t="shared" si="221"/>
        <v>9305</v>
      </c>
      <c r="N95" s="6"/>
      <c r="O95" s="110"/>
      <c r="Q95" s="643">
        <f t="shared" si="222"/>
        <v>9305</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11900</v>
      </c>
      <c r="J96" s="220">
        <f>SUM(J94:J95)</f>
        <v>40530</v>
      </c>
      <c r="K96" s="220">
        <f>SUM(K94:K95)</f>
        <v>0</v>
      </c>
      <c r="L96" s="220">
        <f>SUM(L94:L95)</f>
        <v>0</v>
      </c>
      <c r="M96" s="220">
        <f t="shared" si="221"/>
        <v>52430</v>
      </c>
      <c r="N96" s="6"/>
      <c r="O96" s="110"/>
      <c r="Q96" s="643">
        <f t="shared" si="222"/>
        <v>52430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11900</v>
      </c>
      <c r="J98" s="220">
        <f>SUM(J96:J97)</f>
        <v>40530</v>
      </c>
      <c r="K98" s="220">
        <f>SUM(K96:K97)</f>
        <v>0</v>
      </c>
      <c r="L98" s="220">
        <f>SUM(L96:L97)</f>
        <v>0</v>
      </c>
      <c r="M98" s="220">
        <f t="shared" si="221"/>
        <v>52430</v>
      </c>
      <c r="O98" s="110"/>
      <c r="Q98" s="643">
        <f t="shared" si="222"/>
        <v>52430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11900</v>
      </c>
      <c r="J100" s="220">
        <f>SUM(J98:J99)</f>
        <v>40530</v>
      </c>
      <c r="K100" s="220">
        <f>SUM(K98:K99)</f>
        <v>0</v>
      </c>
      <c r="L100" s="220">
        <f>SUM(L98:L99)</f>
        <v>0</v>
      </c>
      <c r="M100" s="220">
        <f t="shared" si="221"/>
        <v>52430</v>
      </c>
      <c r="O100" s="110"/>
      <c r="Q100" s="643">
        <f t="shared" si="222"/>
        <v>52430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f>0.02*L49</f>
        <v>5044.8</v>
      </c>
      <c r="H104" s="1536"/>
      <c r="I104" s="147" t="s">
        <v>3962</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4">
        <v>20000</v>
      </c>
      <c r="G141" s="1545"/>
      <c r="H141" s="2"/>
      <c r="I141" s="2" t="s">
        <v>1946</v>
      </c>
      <c r="J141" s="2"/>
      <c r="K141" s="1544"/>
      <c r="L141" s="1545"/>
      <c r="M141" s="2"/>
      <c r="N141" s="2" t="s">
        <v>1423</v>
      </c>
      <c r="O141" s="2"/>
      <c r="P141" s="1546">
        <v>27930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15000</v>
      </c>
      <c r="G142" s="1545"/>
      <c r="H142" s="2"/>
      <c r="I142" s="2" t="s">
        <v>1947</v>
      </c>
      <c r="J142" s="2"/>
      <c r="K142" s="1544"/>
      <c r="L142" s="1545"/>
      <c r="M142" s="2"/>
      <c r="N142" s="2" t="s">
        <v>182</v>
      </c>
      <c r="O142" s="2"/>
      <c r="P142" s="1546">
        <v>17951</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89">
        <f>SUM(K141:L142)</f>
        <v>0</v>
      </c>
      <c r="L143" s="1090"/>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45881</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35000</v>
      </c>
      <c r="G145" s="1090"/>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21535</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3000</v>
      </c>
      <c r="G148" s="1545"/>
      <c r="H148" s="2"/>
      <c r="I148" s="2" t="s">
        <v>2211</v>
      </c>
      <c r="J148" s="2"/>
      <c r="K148" s="1555">
        <v>3000</v>
      </c>
      <c r="L148" s="1556"/>
      <c r="M148" s="2"/>
      <c r="N148" s="595">
        <f>+P147/(M62*0.93)</f>
        <v>413.49846390168966</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2000</v>
      </c>
      <c r="G149" s="1545"/>
      <c r="H149" s="2"/>
      <c r="I149" s="2" t="s">
        <v>2934</v>
      </c>
      <c r="J149" s="2"/>
      <c r="K149" s="1557">
        <v>7000</v>
      </c>
      <c r="L149" s="1558"/>
      <c r="M149" s="2"/>
      <c r="N149" s="595">
        <f>+P147/(M62*0.93)/12</f>
        <v>34.458205325140803</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c r="G150" s="1545"/>
      <c r="H150" s="2"/>
      <c r="I150" s="2" t="s">
        <v>2212</v>
      </c>
      <c r="J150" s="2"/>
      <c r="K150" s="1557">
        <v>5000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4"/>
      <c r="G151" s="1545"/>
      <c r="H151" s="2"/>
      <c r="I151" s="1547" t="s">
        <v>57</v>
      </c>
      <c r="J151" s="1548"/>
      <c r="K151" s="1555"/>
      <c r="L151" s="1556"/>
      <c r="M151" s="2"/>
      <c r="N151" s="1083" t="s">
        <v>3465</v>
      </c>
      <c r="O151" s="1084"/>
      <c r="P151" s="108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c r="G152" s="1545"/>
      <c r="H152" s="2"/>
      <c r="I152" s="11"/>
      <c r="J152" s="13" t="s">
        <v>230</v>
      </c>
      <c r="K152" s="1087">
        <f>SUM(K148:K151)</f>
        <v>15000</v>
      </c>
      <c r="L152" s="1088"/>
      <c r="M152" s="2"/>
      <c r="N152" s="1084"/>
      <c r="O152" s="1084"/>
      <c r="P152" s="108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5000</v>
      </c>
      <c r="G154" s="1090"/>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4581</v>
      </c>
      <c r="G157" s="1560"/>
      <c r="H157" s="2"/>
      <c r="I157" s="2" t="s">
        <v>1936</v>
      </c>
      <c r="J157" s="630">
        <f>K157/12/$M$62</f>
        <v>7.4404761904761907</v>
      </c>
      <c r="K157" s="1557">
        <v>5000</v>
      </c>
      <c r="L157" s="1558"/>
      <c r="M157" s="2"/>
      <c r="N157" s="364">
        <f>+$P$157/$M$62</f>
        <v>3030.1964285714284</v>
      </c>
      <c r="O157" s="30" t="s">
        <v>1974</v>
      </c>
      <c r="P157" s="631">
        <f>F145+F154+F165+K143+K152+K162+P144+P147</f>
        <v>169691</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3894</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11200</v>
      </c>
      <c r="G159" s="1560"/>
      <c r="H159" s="2"/>
      <c r="I159" s="2" t="s">
        <v>3316</v>
      </c>
      <c r="J159" s="630">
        <f>K159/12/$M$62</f>
        <v>8.9285714285714288</v>
      </c>
      <c r="K159" s="1557">
        <v>6000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2800</v>
      </c>
      <c r="G160" s="1545"/>
      <c r="H160" s="2"/>
      <c r="I160" s="2" t="s">
        <v>1939</v>
      </c>
      <c r="J160" s="2"/>
      <c r="K160" s="1557">
        <v>6000</v>
      </c>
      <c r="L160" s="1558"/>
      <c r="M160" s="2"/>
      <c r="N160" s="11" t="s">
        <v>1796</v>
      </c>
      <c r="O160" s="11"/>
      <c r="P160" s="632">
        <f>P161*M62</f>
        <v>14000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2800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v>5000</v>
      </c>
      <c r="G162" s="1545"/>
      <c r="H162" s="2"/>
      <c r="I162" s="2"/>
      <c r="J162" s="13" t="s">
        <v>230</v>
      </c>
      <c r="K162" s="1087">
        <f>SUM(K157:K161)</f>
        <v>17000</v>
      </c>
      <c r="L162" s="1088"/>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30275</v>
      </c>
      <c r="G165" s="1086"/>
      <c r="H165" s="2"/>
      <c r="I165" s="2"/>
      <c r="J165" s="14"/>
      <c r="K165" s="2"/>
      <c r="L165" s="2"/>
      <c r="M165" s="2"/>
      <c r="N165" s="2"/>
      <c r="O165" s="2"/>
      <c r="P165" s="631">
        <f>P157+P160</f>
        <v>183691</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4051</v>
      </c>
      <c r="B168" s="1361"/>
      <c r="C168" s="1361"/>
      <c r="D168" s="1361"/>
      <c r="E168" s="1361"/>
      <c r="F168" s="1361"/>
      <c r="G168" s="1361"/>
      <c r="H168" s="1361"/>
      <c r="I168" s="1361"/>
      <c r="J168" s="1362"/>
      <c r="K168" s="1363"/>
      <c r="L168" s="1364"/>
      <c r="M168" s="1364"/>
      <c r="N168" s="1364"/>
      <c r="O168" s="1364"/>
      <c r="P168" s="1365"/>
      <c r="T168" s="987" t="s">
        <v>3965</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2012-029 The Groves Place, Tifton, Tift County</v>
      </c>
      <c r="B1" s="1108"/>
      <c r="C1" s="1108"/>
      <c r="D1" s="1108"/>
      <c r="E1" s="1108"/>
      <c r="F1" s="1108"/>
      <c r="G1" s="1108"/>
      <c r="H1" s="1108"/>
      <c r="I1" s="1108"/>
      <c r="J1" s="1108"/>
      <c r="K1" s="1109"/>
      <c r="L1" s="11"/>
      <c r="M1" s="1105" t="str">
        <f>A1</f>
        <v>PART SEVEN - OPERATING PRO FORMA  -  2012-029 The Groves Place, Tifton, Tift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2">
        <v>2250</v>
      </c>
      <c r="H5" s="128" t="s">
        <v>2784</v>
      </c>
      <c r="K5" s="133">
        <f>IF(($B$14+$B$15+$B$16+$B$17)=0,"",-B28/($B$14+$B$15+$B$16+$B$17))</f>
        <v>9.4034114674076252E-3</v>
      </c>
      <c r="M5" s="1460"/>
      <c r="N5" s="1461"/>
    </row>
    <row r="6" spans="1:15">
      <c r="A6" s="19" t="s">
        <v>3084</v>
      </c>
      <c r="B6" s="105">
        <v>0.03</v>
      </c>
      <c r="C6" s="19"/>
      <c r="D6" s="19" t="s">
        <v>1270</v>
      </c>
      <c r="F6" s="19"/>
      <c r="G6" s="1562"/>
      <c r="H6" s="128" t="s">
        <v>3346</v>
      </c>
      <c r="K6" s="133" t="e">
        <f>IF(($B$14+$B$15+$B$16+$B$17)=0,"",-#REF!/($B$14+$B$15+$B$16+$B$17))</f>
        <v>#REF!</v>
      </c>
      <c r="M6" s="1462"/>
      <c r="N6" s="1463"/>
    </row>
    <row r="7" spans="1:15">
      <c r="A7" s="19" t="s">
        <v>3086</v>
      </c>
      <c r="B7" s="105">
        <v>0.03</v>
      </c>
      <c r="C7" s="19"/>
      <c r="D7" s="107" t="s">
        <v>332</v>
      </c>
      <c r="G7" s="109"/>
      <c r="H7" s="128" t="s">
        <v>3347</v>
      </c>
      <c r="K7" s="133">
        <f>IF(($B$14+$B$15+$B$16+$B$17)=0,"",-B20/($B$14+$B$15+$B$16+$B$17))</f>
        <v>9.0001095978054765E-2</v>
      </c>
      <c r="M7" s="1462"/>
      <c r="N7" s="1463"/>
    </row>
    <row r="8" spans="1:15" ht="13.15" customHeight="1">
      <c r="A8" s="19" t="s">
        <v>3085</v>
      </c>
      <c r="B8" s="1563">
        <v>7.0000000000000007E-2</v>
      </c>
      <c r="C8" s="19"/>
      <c r="D8" s="106" t="s">
        <v>3517</v>
      </c>
      <c r="G8" s="1564" t="s">
        <v>4006</v>
      </c>
      <c r="H8" s="230" t="s">
        <v>2028</v>
      </c>
      <c r="K8" s="1565">
        <v>21535</v>
      </c>
      <c r="M8" s="1462"/>
      <c r="N8" s="1463"/>
    </row>
    <row r="9" spans="1:15">
      <c r="A9" s="19" t="s">
        <v>1992</v>
      </c>
      <c r="B9" s="105">
        <v>0.02</v>
      </c>
      <c r="D9" s="106" t="s">
        <v>2570</v>
      </c>
      <c r="G9" s="1564" t="s">
        <v>4005</v>
      </c>
      <c r="H9" s="230" t="s">
        <v>3322</v>
      </c>
      <c r="K9" s="1566"/>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3674</v>
      </c>
      <c r="N13" s="976"/>
    </row>
    <row r="14" spans="1:15" ht="13.15" customHeight="1">
      <c r="A14" s="21" t="s">
        <v>3384</v>
      </c>
      <c r="B14" s="22">
        <f>'Part VI-Revenues &amp; Expenses'!L49</f>
        <v>252240</v>
      </c>
      <c r="C14" s="22">
        <f t="shared" ref="C14:K14" si="1">$B$14*(1+$B$5)^(C13-1)</f>
        <v>257284.80000000002</v>
      </c>
      <c r="D14" s="22">
        <f t="shared" si="1"/>
        <v>262430.49599999998</v>
      </c>
      <c r="E14" s="22">
        <f t="shared" si="1"/>
        <v>267679.10592</v>
      </c>
      <c r="F14" s="22">
        <f t="shared" si="1"/>
        <v>273032.68803839997</v>
      </c>
      <c r="G14" s="22">
        <f t="shared" si="1"/>
        <v>278493.34179916803</v>
      </c>
      <c r="H14" s="22">
        <f t="shared" si="1"/>
        <v>284063.20863515139</v>
      </c>
      <c r="I14" s="22">
        <f t="shared" si="1"/>
        <v>289744.47280785436</v>
      </c>
      <c r="J14" s="22">
        <f t="shared" si="1"/>
        <v>295539.36226401146</v>
      </c>
      <c r="K14" s="23">
        <f t="shared" si="1"/>
        <v>301450.14950929169</v>
      </c>
      <c r="M14" s="1460"/>
      <c r="N14" s="1461"/>
    </row>
    <row r="15" spans="1:15" ht="13.15" customHeight="1">
      <c r="A15" s="24" t="s">
        <v>1519</v>
      </c>
      <c r="B15" s="25">
        <f>MIN(B14*B9,'Part VI-Revenues &amp; Expenses'!G104)</f>
        <v>5044.8</v>
      </c>
      <c r="C15" s="25">
        <f t="shared" ref="C15:K15" si="2">$B$15*(1+$B$5)^(C13-1)</f>
        <v>5145.6959999999999</v>
      </c>
      <c r="D15" s="25">
        <f t="shared" si="2"/>
        <v>5248.6099199999999</v>
      </c>
      <c r="E15" s="25">
        <f t="shared" si="2"/>
        <v>5353.5821183999997</v>
      </c>
      <c r="F15" s="25">
        <f t="shared" si="2"/>
        <v>5460.6537607680002</v>
      </c>
      <c r="G15" s="25">
        <f t="shared" si="2"/>
        <v>5569.86683598336</v>
      </c>
      <c r="H15" s="25">
        <f t="shared" si="2"/>
        <v>5681.2641727030277</v>
      </c>
      <c r="I15" s="25">
        <f t="shared" si="2"/>
        <v>5794.8894561570869</v>
      </c>
      <c r="J15" s="25">
        <f t="shared" si="2"/>
        <v>5910.7872452802294</v>
      </c>
      <c r="K15" s="26">
        <f t="shared" si="2"/>
        <v>6029.0029901858343</v>
      </c>
      <c r="M15" s="1462"/>
      <c r="N15" s="1463"/>
    </row>
    <row r="16" spans="1:15" ht="13.15" customHeight="1">
      <c r="A16" s="24" t="s">
        <v>3385</v>
      </c>
      <c r="B16" s="25">
        <f t="shared" ref="B16:K16" si="3">-(B14+B15)*$B$8</f>
        <v>-18009.936000000002</v>
      </c>
      <c r="C16" s="25">
        <f t="shared" si="3"/>
        <v>-18370.134720000005</v>
      </c>
      <c r="D16" s="25">
        <f t="shared" si="3"/>
        <v>-18737.537414400002</v>
      </c>
      <c r="E16" s="25">
        <f t="shared" si="3"/>
        <v>-19112.288162688004</v>
      </c>
      <c r="F16" s="25">
        <f t="shared" si="3"/>
        <v>-19494.53392594176</v>
      </c>
      <c r="G16" s="25">
        <f t="shared" si="3"/>
        <v>-19884.424604460601</v>
      </c>
      <c r="H16" s="25">
        <f t="shared" si="3"/>
        <v>-20282.113096549812</v>
      </c>
      <c r="I16" s="25">
        <f t="shared" si="3"/>
        <v>-20687.755358480805</v>
      </c>
      <c r="J16" s="25">
        <f t="shared" si="3"/>
        <v>-21101.510465650419</v>
      </c>
      <c r="K16" s="26">
        <f t="shared" si="3"/>
        <v>-21523.540674963428</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-148156</v>
      </c>
      <c r="C19" s="25">
        <f t="shared" ref="C19:K19" si="4">$B$19*(1+$B$6)^(C13-1)</f>
        <v>-152600.68</v>
      </c>
      <c r="D19" s="25">
        <f t="shared" si="4"/>
        <v>-157178.7004</v>
      </c>
      <c r="E19" s="25">
        <f t="shared" si="4"/>
        <v>-161894.06141200001</v>
      </c>
      <c r="F19" s="25">
        <f t="shared" si="4"/>
        <v>-166750.88325436</v>
      </c>
      <c r="G19" s="25">
        <f t="shared" si="4"/>
        <v>-171753.40975199078</v>
      </c>
      <c r="H19" s="25">
        <f t="shared" si="4"/>
        <v>-176906.0120445505</v>
      </c>
      <c r="I19" s="25">
        <f t="shared" si="4"/>
        <v>-182213.19240588704</v>
      </c>
      <c r="J19" s="25">
        <f t="shared" si="4"/>
        <v>-187679.58817806363</v>
      </c>
      <c r="K19" s="26">
        <f t="shared" si="4"/>
        <v>-193309.97582340555</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-21535</v>
      </c>
      <c r="C20" s="25">
        <f>IF(AND('Part VII-Pro Forma'!$G$8="Yes",'Part VII-Pro Forma'!$G$9="Yes"),"Choose One!",IF('Part VII-Pro Forma'!$G$8="Yes",ROUND((-$K$8*(1+'Part VII-Pro Forma'!$B$6)^('Part VII-Pro Forma'!C13-1)),),IF('Part VII-Pro Forma'!$G$9="Yes",ROUND((-(SUM(C14:C17)*'Part VII-Pro Forma'!$K$9)),),"Choose mgt fee")))</f>
        <v>-22181</v>
      </c>
      <c r="D20" s="25">
        <f>IF(AND('Part VII-Pro Forma'!$G$8="Yes",'Part VII-Pro Forma'!$G$9="Yes"),"Choose One!",IF('Part VII-Pro Forma'!$G$8="Yes",ROUND((-$K$8*(1+'Part VII-Pro Forma'!$B$6)^('Part VII-Pro Forma'!D13-1)),),IF('Part VII-Pro Forma'!$G$9="Yes",ROUND((-(SUM(D14:D17)*'Part VII-Pro Forma'!$K$9)),),"Choose mgt fee")))</f>
        <v>-22846</v>
      </c>
      <c r="E20" s="25">
        <f>IF(AND('Part VII-Pro Forma'!$G$8="Yes",'Part VII-Pro Forma'!$G$9="Yes"),"Choose One!",IF('Part VII-Pro Forma'!$G$8="Yes",ROUND((-$K$8*(1+'Part VII-Pro Forma'!$B$6)^('Part VII-Pro Forma'!E13-1)),),IF('Part VII-Pro Forma'!$G$9="Yes",ROUND((-(SUM(E14:E17)*'Part VII-Pro Forma'!$K$9)),),"Choose mgt fee")))</f>
        <v>-23532</v>
      </c>
      <c r="F20" s="25">
        <f>IF(AND('Part VII-Pro Forma'!$G$8="Yes",'Part VII-Pro Forma'!$G$9="Yes"),"Choose One!",IF('Part VII-Pro Forma'!$G$8="Yes",ROUND((-$K$8*(1+'Part VII-Pro Forma'!$B$6)^('Part VII-Pro Forma'!F13-1)),),IF('Part VII-Pro Forma'!$G$9="Yes",ROUND((-(SUM(F14:F17)*'Part VII-Pro Forma'!$K$9)),),"Choose mgt fee")))</f>
        <v>-24238</v>
      </c>
      <c r="G20" s="25">
        <f>IF(AND('Part VII-Pro Forma'!$G$8="Yes",'Part VII-Pro Forma'!$G$9="Yes"),"Choose One!",IF('Part VII-Pro Forma'!$G$8="Yes",ROUND((-$K$8*(1+'Part VII-Pro Forma'!$B$6)^('Part VII-Pro Forma'!G13-1)),),IF('Part VII-Pro Forma'!$G$9="Yes",ROUND((-(SUM(G14:G17)*'Part VII-Pro Forma'!$K$9)),),"Choose mgt fee")))</f>
        <v>-24965</v>
      </c>
      <c r="H20" s="25">
        <f>IF(AND('Part VII-Pro Forma'!$G$8="Yes",'Part VII-Pro Forma'!$G$9="Yes"),"Choose One!",IF('Part VII-Pro Forma'!$G$8="Yes",ROUND((-$K$8*(1+'Part VII-Pro Forma'!$B$6)^('Part VII-Pro Forma'!H13-1)),),IF('Part VII-Pro Forma'!$G$9="Yes",ROUND((-(SUM(H14:H17)*'Part VII-Pro Forma'!$K$9)),),"Choose mgt fee")))</f>
        <v>-25714</v>
      </c>
      <c r="I20" s="25">
        <f>IF(AND('Part VII-Pro Forma'!$G$8="Yes",'Part VII-Pro Forma'!$G$9="Yes"),"Choose One!",IF('Part VII-Pro Forma'!$G$8="Yes",ROUND((-$K$8*(1+'Part VII-Pro Forma'!$B$6)^('Part VII-Pro Forma'!I13-1)),),IF('Part VII-Pro Forma'!$G$9="Yes",ROUND((-(SUM(I14:I17)*'Part VII-Pro Forma'!$K$9)),),"Choose mgt fee")))</f>
        <v>-26485</v>
      </c>
      <c r="J20" s="25">
        <f>IF(AND('Part VII-Pro Forma'!$G$8="Yes",'Part VII-Pro Forma'!$G$9="Yes"),"Choose One!",IF('Part VII-Pro Forma'!$G$8="Yes",ROUND((-$K$8*(1+'Part VII-Pro Forma'!$B$6)^('Part VII-Pro Forma'!J13-1)),),IF('Part VII-Pro Forma'!$G$9="Yes",ROUND((-(SUM(J14:J17)*'Part VII-Pro Forma'!$K$9)),),"Choose mgt fee")))</f>
        <v>-27280</v>
      </c>
      <c r="K20" s="25">
        <f>IF(AND('Part VII-Pro Forma'!$G$8="Yes",'Part VII-Pro Forma'!$G$9="Yes"),"Choose One!",IF('Part VII-Pro Forma'!$G$8="Yes",ROUND((-$K$8*(1+'Part VII-Pro Forma'!$B$6)^('Part VII-Pro Forma'!K13-1)),),IF('Part VII-Pro Forma'!$G$9="Yes",ROUND((-(SUM(K14:K17)*'Part VII-Pro Forma'!$K$9)),),"Choose mgt fee")))</f>
        <v>-28098</v>
      </c>
      <c r="M20" s="1462"/>
      <c r="N20" s="1463"/>
    </row>
    <row r="21" spans="1:14" ht="13.15" customHeight="1">
      <c r="A21" s="24" t="s">
        <v>1739</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62"/>
      <c r="N21" s="1463"/>
    </row>
    <row r="22" spans="1:14" ht="13.15" customHeight="1">
      <c r="A22" s="24" t="s">
        <v>1740</v>
      </c>
      <c r="B22" s="25">
        <f t="shared" ref="B22:K22" si="6">SUM(B14:B21)</f>
        <v>55583.864000000001</v>
      </c>
      <c r="C22" s="25">
        <f t="shared" si="6"/>
        <v>54858.681280000048</v>
      </c>
      <c r="D22" s="25">
        <f t="shared" si="6"/>
        <v>54064.268105600007</v>
      </c>
      <c r="E22" s="25">
        <f t="shared" si="6"/>
        <v>53196.160463712018</v>
      </c>
      <c r="F22" s="25">
        <f t="shared" si="6"/>
        <v>52252.801278866209</v>
      </c>
      <c r="G22" s="25">
        <f t="shared" si="6"/>
        <v>51230.537238500008</v>
      </c>
      <c r="H22" s="25">
        <f t="shared" si="6"/>
        <v>50125.615515348094</v>
      </c>
      <c r="I22" s="25">
        <f t="shared" si="6"/>
        <v>48935.180383695457</v>
      </c>
      <c r="J22" s="25">
        <f t="shared" si="6"/>
        <v>47654.269726151026</v>
      </c>
      <c r="K22" s="26">
        <f t="shared" si="6"/>
        <v>46280.81142749908</v>
      </c>
      <c r="M22" s="1462"/>
      <c r="N22" s="1463"/>
    </row>
    <row r="23" spans="1:14" ht="13.15" customHeight="1">
      <c r="A23" s="678" t="s">
        <v>2195</v>
      </c>
      <c r="B23" s="1567">
        <f>IF('Part III A-Sources of Funds'!$M$32="", 0,-'Part III A-Sources of Funds'!$M$32)</f>
        <v>-28086</v>
      </c>
      <c r="C23" s="1567">
        <v>-28068</v>
      </c>
      <c r="D23" s="1567">
        <v>-28068</v>
      </c>
      <c r="E23" s="1567">
        <v>-28068</v>
      </c>
      <c r="F23" s="1567">
        <v>-28068</v>
      </c>
      <c r="G23" s="1567">
        <v>-28068</v>
      </c>
      <c r="H23" s="1567">
        <v>-28068</v>
      </c>
      <c r="I23" s="1567">
        <v>-28068</v>
      </c>
      <c r="J23" s="1567">
        <v>-28068</v>
      </c>
      <c r="K23" s="1567">
        <v>-28068</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-2250</v>
      </c>
      <c r="C28" s="1568">
        <v>-2318</v>
      </c>
      <c r="D28" s="1568">
        <v>-2387</v>
      </c>
      <c r="E28" s="1568">
        <v>-2459</v>
      </c>
      <c r="F28" s="1568">
        <v>-2532</v>
      </c>
      <c r="G28" s="1568">
        <v>-2608</v>
      </c>
      <c r="H28" s="1568">
        <v>-2687</v>
      </c>
      <c r="I28" s="1568">
        <v>-2767</v>
      </c>
      <c r="J28" s="1568">
        <v>-2850</v>
      </c>
      <c r="K28" s="1568">
        <v>-2936</v>
      </c>
      <c r="M28" s="1462"/>
      <c r="N28" s="1463"/>
    </row>
    <row r="29" spans="1:14" ht="13.15" customHeight="1">
      <c r="A29" s="24" t="s">
        <v>1741</v>
      </c>
      <c r="B29" s="1570">
        <v>-24000</v>
      </c>
      <c r="C29" s="1570">
        <v>-23400</v>
      </c>
      <c r="D29" s="1570">
        <v>-22400</v>
      </c>
      <c r="E29" s="1570">
        <v>-21000</v>
      </c>
      <c r="F29" s="1570">
        <v>-20500</v>
      </c>
      <c r="G29" s="1570">
        <v>-19400</v>
      </c>
      <c r="H29" s="1570">
        <v>-18000</v>
      </c>
      <c r="I29" s="1570">
        <v>-17000</v>
      </c>
      <c r="J29" s="1570">
        <v>-15700</v>
      </c>
      <c r="K29" s="1570">
        <v>-14000</v>
      </c>
      <c r="M29" s="1462"/>
      <c r="N29" s="1463"/>
    </row>
    <row r="30" spans="1:14" ht="13.15" customHeight="1">
      <c r="A30" s="24" t="s">
        <v>1687</v>
      </c>
      <c r="B30" s="25">
        <f t="shared" ref="B30:K30" si="7">SUM(B22:B29)</f>
        <v>1247.8640000000014</v>
      </c>
      <c r="C30" s="25">
        <f t="shared" si="7"/>
        <v>1072.681280000048</v>
      </c>
      <c r="D30" s="25">
        <f t="shared" si="7"/>
        <v>1209.2681056000074</v>
      </c>
      <c r="E30" s="25">
        <f t="shared" si="7"/>
        <v>1669.1604637120181</v>
      </c>
      <c r="F30" s="25">
        <f t="shared" si="7"/>
        <v>1152.801278866209</v>
      </c>
      <c r="G30" s="25">
        <f t="shared" si="7"/>
        <v>1154.5372385000082</v>
      </c>
      <c r="H30" s="25">
        <f t="shared" si="7"/>
        <v>1370.615515348094</v>
      </c>
      <c r="I30" s="25">
        <f t="shared" si="7"/>
        <v>1100.1803836954568</v>
      </c>
      <c r="J30" s="25">
        <f t="shared" si="7"/>
        <v>1036.2697261510257</v>
      </c>
      <c r="K30" s="26">
        <f t="shared" si="7"/>
        <v>1276.8114274990803</v>
      </c>
      <c r="M30" s="1462"/>
      <c r="N30" s="1463"/>
    </row>
    <row r="31" spans="1:14" ht="13.15" customHeight="1">
      <c r="A31" s="24" t="str">
        <f>IF('Part III A-Sources of Funds'!$E$32 = "Neither", "", "DCR Mortgage A")</f>
        <v>DCR Mortgage A</v>
      </c>
      <c r="B31" s="27">
        <f>IF(B23=0,"",-B22/B23)</f>
        <v>1.9790594602292957</v>
      </c>
      <c r="C31" s="27">
        <f t="shared" ref="C31:K31" si="8">IF(C23=0,"",-C22/C23)</f>
        <v>1.9544919937295158</v>
      </c>
      <c r="D31" s="27">
        <f t="shared" si="8"/>
        <v>1.9261888308963948</v>
      </c>
      <c r="E31" s="27">
        <f t="shared" si="8"/>
        <v>1.8952600991774269</v>
      </c>
      <c r="F31" s="27">
        <f t="shared" si="8"/>
        <v>1.8616503234596768</v>
      </c>
      <c r="G31" s="27">
        <f t="shared" si="8"/>
        <v>1.8252293443957535</v>
      </c>
      <c r="H31" s="27">
        <f t="shared" si="8"/>
        <v>1.7858634571522052</v>
      </c>
      <c r="I31" s="27">
        <f t="shared" si="8"/>
        <v>1.7434509186153433</v>
      </c>
      <c r="J31" s="27">
        <f t="shared" si="8"/>
        <v>1.6978149396519533</v>
      </c>
      <c r="K31" s="28">
        <f t="shared" si="8"/>
        <v>1.648881695436051</v>
      </c>
      <c r="M31" s="1462"/>
      <c r="N31" s="1463"/>
    </row>
    <row r="32" spans="1:14" ht="13.15" customHeight="1">
      <c r="A32" s="24" t="str">
        <f>IF('Part III A-Sources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62"/>
      <c r="N32" s="1463"/>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62"/>
      <c r="N33" s="1463"/>
    </row>
    <row r="34" spans="1:14" ht="13.15" customHeight="1">
      <c r="A34" s="24" t="s">
        <v>1267</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62"/>
      <c r="N34" s="1463"/>
    </row>
    <row r="35" spans="1:14" ht="13.15" customHeight="1">
      <c r="A35" s="24" t="s">
        <v>1250</v>
      </c>
      <c r="B35" s="378">
        <f>IF(OR(B20="Choose mgt fee",B20="Choose One!"),"",(B14+B15+B16+B17+B18) / -(B19+B20+B21))</f>
        <v>1.3025943786031977</v>
      </c>
      <c r="C35" s="378">
        <f t="shared" ref="C35:K35" si="12">IF(OR(C20="Choose mgt fee",C20="Choose One!"),"",(C14+C15+C16+C17+C18) / -(C19+C20+C21))</f>
        <v>1.2899481721303958</v>
      </c>
      <c r="D35" s="378">
        <f t="shared" si="12"/>
        <v>1.2774272221270979</v>
      </c>
      <c r="E35" s="378">
        <f t="shared" si="12"/>
        <v>1.2650211086590462</v>
      </c>
      <c r="F35" s="378">
        <f t="shared" si="12"/>
        <v>1.2527391079499171</v>
      </c>
      <c r="G35" s="378">
        <f t="shared" si="12"/>
        <v>1.240577407939377</v>
      </c>
      <c r="H35" s="378">
        <f t="shared" si="12"/>
        <v>1.228532687029245</v>
      </c>
      <c r="I35" s="378">
        <f t="shared" si="12"/>
        <v>1.2166074469975108</v>
      </c>
      <c r="J35" s="378">
        <f t="shared" si="12"/>
        <v>1.2047933942962372</v>
      </c>
      <c r="K35" s="379">
        <f t="shared" si="12"/>
        <v>1.1930983622426561</v>
      </c>
      <c r="M35" s="1462"/>
      <c r="N35" s="1463"/>
    </row>
    <row r="36" spans="1:14" ht="13.15" customHeight="1">
      <c r="A36" s="678" t="s">
        <v>3666</v>
      </c>
      <c r="B36" s="1571">
        <f>IF('Part III A-Sources of Funds'!$H$32="","",-FV('Part III A-Sources of Funds'!$J$32/12,12,B23/12,'Part III A-Sources of Funds'!$H$32))</f>
        <v>366159.52077063115</v>
      </c>
      <c r="C36" s="1571">
        <f>IF('Part III A-Sources of Funds'!$H$32="","",-FV('Part III A-Sources of Funds'!$J$32/12,12,C23/12,B36))</f>
        <v>361762.4259741212</v>
      </c>
      <c r="D36" s="1571">
        <f>IF('Part III A-Sources of Funds'!$H$32="","",-FV('Part III A-Sources of Funds'!$J$32/12,12,D23/12,C36))</f>
        <v>357070.84959565825</v>
      </c>
      <c r="E36" s="1571">
        <f>IF('Part III A-Sources of Funds'!$H$32="","",-FV('Part III A-Sources of Funds'!$J$32/12,12,E23/12,D36))</f>
        <v>352065.06965831824</v>
      </c>
      <c r="F36" s="1571">
        <f>IF('Part III A-Sources of Funds'!$H$32="","",-FV('Part III A-Sources of Funds'!$J$32/12,12,F23/12,E36))</f>
        <v>346724.0433678574</v>
      </c>
      <c r="G36" s="1571">
        <f>IF('Part III A-Sources of Funds'!$H$32="","",-FV('Part III A-Sources of Funds'!$J$32/12,12,G23/12,F36))</f>
        <v>341025.31865513016</v>
      </c>
      <c r="H36" s="1571">
        <f>IF('Part III A-Sources of Funds'!$H$32="","",-FV('Part III A-Sources of Funds'!$J$32/12,12,H23/12,G36))</f>
        <v>334944.93979433889</v>
      </c>
      <c r="I36" s="1571">
        <f>IF('Part III A-Sources of Funds'!$H$32="","",-FV('Part III A-Sources of Funds'!$J$32/12,12,I23/12,H36))</f>
        <v>328457.34670036333</v>
      </c>
      <c r="J36" s="1571">
        <f>IF('Part III A-Sources of Funds'!$H$32="","",-FV('Part III A-Sources of Funds'!$J$32/12,12,J23/12,I36))</f>
        <v>321535.26748184528</v>
      </c>
      <c r="K36" s="1571">
        <f>IF('Part III A-Sources of Funds'!$H$32="","",-FV('Part III A-Sources of Funds'!$J$32/12,12,K23/12,J36))</f>
        <v>314149.6037983548</v>
      </c>
      <c r="M36" s="1462"/>
      <c r="N36" s="1463"/>
    </row>
    <row r="37" spans="1:14" ht="13.15" customHeight="1">
      <c r="A37" s="678" t="s">
        <v>3667</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3668</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3669</v>
      </c>
      <c r="B40" s="1568">
        <f>'Part III A-Sources of Funds'!$H$36</f>
        <v>0</v>
      </c>
      <c r="C40" s="1568">
        <f>B40</f>
        <v>0</v>
      </c>
      <c r="D40" s="1568">
        <f t="shared" ref="D40:K40" si="13">C40</f>
        <v>0</v>
      </c>
      <c r="E40" s="1568">
        <f t="shared" si="13"/>
        <v>0</v>
      </c>
      <c r="F40" s="1568">
        <f t="shared" si="13"/>
        <v>0</v>
      </c>
      <c r="G40" s="1568">
        <f t="shared" si="13"/>
        <v>0</v>
      </c>
      <c r="H40" s="1568">
        <f t="shared" si="13"/>
        <v>0</v>
      </c>
      <c r="I40" s="1568">
        <f t="shared" si="13"/>
        <v>0</v>
      </c>
      <c r="J40" s="1568">
        <f t="shared" si="13"/>
        <v>0</v>
      </c>
      <c r="K40" s="1568">
        <f t="shared" si="13"/>
        <v>0</v>
      </c>
      <c r="M40" s="1462"/>
      <c r="N40" s="1463"/>
    </row>
    <row r="41" spans="1:14" ht="13.15" customHeight="1">
      <c r="A41" s="29" t="s">
        <v>1776</v>
      </c>
      <c r="B41" s="1570">
        <f>IF('Part III A-Sources of Funds'!$H$37="","",-FV('Part III A-Sources of Funds'!$J$37/12,12,B29/12,'Part III A-Sources of Funds'!$H$37))</f>
        <v>207009</v>
      </c>
      <c r="C41" s="1570">
        <f>IF('Part III A-Sources of Funds'!$H$37="","",-FV('Part III A-Sources of Funds'!$J$37/12,12,C29/12,B41))</f>
        <v>183609</v>
      </c>
      <c r="D41" s="1570">
        <f>IF('Part III A-Sources of Funds'!$H$37="","",-FV('Part III A-Sources of Funds'!$J$37/12,12,D29/12,C41))</f>
        <v>161209</v>
      </c>
      <c r="E41" s="1570">
        <f>IF('Part III A-Sources of Funds'!$H$37="","",-FV('Part III A-Sources of Funds'!$J$37/12,12,E29/12,D41))</f>
        <v>140209</v>
      </c>
      <c r="F41" s="1570">
        <f>IF('Part III A-Sources of Funds'!$H$37="","",-FV('Part III A-Sources of Funds'!$J$37/12,12,F29/12,E41))</f>
        <v>119709</v>
      </c>
      <c r="G41" s="1570">
        <f>IF('Part III A-Sources of Funds'!$H$37="","",-FV('Part III A-Sources of Funds'!$J$37/12,12,G29/12,F41))</f>
        <v>100309</v>
      </c>
      <c r="H41" s="1570">
        <f>IF('Part III A-Sources of Funds'!$H$37="","",-FV('Part III A-Sources of Funds'!$J$37/12,12,H29/12,G41))</f>
        <v>82309</v>
      </c>
      <c r="I41" s="1570">
        <f>IF('Part III A-Sources of Funds'!$H$37="","",-FV('Part III A-Sources of Funds'!$J$37/12,12,I29/12,H41))</f>
        <v>65309</v>
      </c>
      <c r="J41" s="1570">
        <f>IF('Part III A-Sources of Funds'!$H$37="","",-FV('Part III A-Sources of Funds'!$J$37/12,12,J29/12,I41))</f>
        <v>49609</v>
      </c>
      <c r="K41" s="1570">
        <f>IF('Part III A-Sources of Funds'!$H$37="","",-FV('Part III A-Sources of Funds'!$J$37/12,12,K29/12,J41))</f>
        <v>35609</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76" t="s">
        <v>3672</v>
      </c>
      <c r="N43" s="976"/>
    </row>
    <row r="44" spans="1:14" ht="13.15" customHeight="1">
      <c r="A44" s="21" t="s">
        <v>3384</v>
      </c>
      <c r="B44" s="22">
        <f t="shared" ref="B44:K44" si="15">$B$14*(1+$B$5)^(B43-1)</f>
        <v>307479.15249947755</v>
      </c>
      <c r="C44" s="22">
        <f t="shared" si="15"/>
        <v>313628.73554946703</v>
      </c>
      <c r="D44" s="22">
        <f t="shared" si="15"/>
        <v>319901.3102604564</v>
      </c>
      <c r="E44" s="22">
        <f t="shared" si="15"/>
        <v>326299.33646566555</v>
      </c>
      <c r="F44" s="22">
        <f t="shared" si="15"/>
        <v>332825.32319497888</v>
      </c>
      <c r="G44" s="22">
        <f t="shared" si="15"/>
        <v>339481.82965887833</v>
      </c>
      <c r="H44" s="22">
        <f t="shared" si="15"/>
        <v>346271.46625205601</v>
      </c>
      <c r="I44" s="22">
        <f t="shared" si="15"/>
        <v>353196.89557709714</v>
      </c>
      <c r="J44" s="22">
        <f t="shared" si="15"/>
        <v>360260.83348863904</v>
      </c>
      <c r="K44" s="23">
        <f t="shared" si="15"/>
        <v>367466.05015841179</v>
      </c>
      <c r="M44" s="1460"/>
      <c r="N44" s="1461"/>
    </row>
    <row r="45" spans="1:14" ht="13.15" customHeight="1">
      <c r="A45" s="24" t="s">
        <v>1519</v>
      </c>
      <c r="B45" s="25">
        <f t="shared" ref="B45:K45" si="16">$B$15*(1+$B$5)^(B43-1)</f>
        <v>6149.583049989551</v>
      </c>
      <c r="C45" s="25">
        <f t="shared" si="16"/>
        <v>6272.5747109893409</v>
      </c>
      <c r="D45" s="25">
        <f t="shared" si="16"/>
        <v>6398.0262052091284</v>
      </c>
      <c r="E45" s="25">
        <f t="shared" si="16"/>
        <v>6525.9867293133111</v>
      </c>
      <c r="F45" s="25">
        <f t="shared" si="16"/>
        <v>6656.5064638995773</v>
      </c>
      <c r="G45" s="25">
        <f t="shared" si="16"/>
        <v>6789.6365931775672</v>
      </c>
      <c r="H45" s="25">
        <f t="shared" si="16"/>
        <v>6925.4293250411201</v>
      </c>
      <c r="I45" s="25">
        <f t="shared" si="16"/>
        <v>7063.9379115419424</v>
      </c>
      <c r="J45" s="25">
        <f t="shared" si="16"/>
        <v>7205.2166697727807</v>
      </c>
      <c r="K45" s="26">
        <f t="shared" si="16"/>
        <v>7349.3210031682365</v>
      </c>
      <c r="M45" s="1462"/>
      <c r="N45" s="1463"/>
    </row>
    <row r="46" spans="1:14" ht="13.15" customHeight="1">
      <c r="A46" s="24" t="s">
        <v>3385</v>
      </c>
      <c r="B46" s="25">
        <f t="shared" ref="B46:K46" si="17">-(B44+B45)*$B$8</f>
        <v>-21954.0114884627</v>
      </c>
      <c r="C46" s="25">
        <f t="shared" si="17"/>
        <v>-22393.091718231946</v>
      </c>
      <c r="D46" s="25">
        <f t="shared" si="17"/>
        <v>-22840.953552596591</v>
      </c>
      <c r="E46" s="25">
        <f t="shared" si="17"/>
        <v>-23297.772623648525</v>
      </c>
      <c r="F46" s="25">
        <f t="shared" si="17"/>
        <v>-23763.728076121493</v>
      </c>
      <c r="G46" s="25">
        <f t="shared" si="17"/>
        <v>-24239.002637643916</v>
      </c>
      <c r="H46" s="25">
        <f t="shared" si="17"/>
        <v>-24723.782690396802</v>
      </c>
      <c r="I46" s="25">
        <f t="shared" si="17"/>
        <v>-25218.25834420474</v>
      </c>
      <c r="J46" s="25">
        <f t="shared" si="17"/>
        <v>-25722.62351108883</v>
      </c>
      <c r="K46" s="26">
        <f t="shared" si="17"/>
        <v>-26237.075981310605</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8">$B$19*(1+$B$6)^(B43-1)</f>
        <v>-199109.2750981077</v>
      </c>
      <c r="C49" s="25">
        <f t="shared" si="18"/>
        <v>-205082.55335105094</v>
      </c>
      <c r="D49" s="25">
        <f t="shared" si="18"/>
        <v>-211235.02995158243</v>
      </c>
      <c r="E49" s="25">
        <f t="shared" si="18"/>
        <v>-217572.08085012992</v>
      </c>
      <c r="F49" s="25">
        <f t="shared" si="18"/>
        <v>-224099.24327563384</v>
      </c>
      <c r="G49" s="25">
        <f t="shared" si="18"/>
        <v>-230822.22057390286</v>
      </c>
      <c r="H49" s="25">
        <f t="shared" si="18"/>
        <v>-237746.88719111989</v>
      </c>
      <c r="I49" s="25">
        <f t="shared" si="18"/>
        <v>-244879.2938068535</v>
      </c>
      <c r="J49" s="25">
        <f t="shared" si="18"/>
        <v>-252225.67262105912</v>
      </c>
      <c r="K49" s="26">
        <f t="shared" si="18"/>
        <v>-259792.44279969088</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-28941</v>
      </c>
      <c r="C50" s="25">
        <f>IF(AND('Part VII-Pro Forma'!$G$8="Yes",'Part VII-Pro Forma'!$G$9="Yes"),"Choose One!",IF('Part VII-Pro Forma'!$G$8="Yes",ROUND((-$K$8*(1+'Part VII-Pro Forma'!$B$6)^('Part VII-Pro Forma'!C43-1)),),IF('Part VII-Pro Forma'!$G$9="Yes",ROUND((-(SUM(C44:C47)*'Part VII-Pro Forma'!$K$9)),),"Choose mgt fee")))</f>
        <v>-29809</v>
      </c>
      <c r="D50" s="25">
        <f>IF(AND('Part VII-Pro Forma'!$G$8="Yes",'Part VII-Pro Forma'!$G$9="Yes"),"Choose One!",IF('Part VII-Pro Forma'!$G$8="Yes",ROUND((-$K$8*(1+'Part VII-Pro Forma'!$B$6)^('Part VII-Pro Forma'!D43-1)),),IF('Part VII-Pro Forma'!$G$9="Yes",ROUND((-(SUM(D44:D47)*'Part VII-Pro Forma'!$K$9)),),"Choose mgt fee")))</f>
        <v>-30704</v>
      </c>
      <c r="E50" s="25">
        <f>IF(AND('Part VII-Pro Forma'!$G$8="Yes",'Part VII-Pro Forma'!$G$9="Yes"),"Choose One!",IF('Part VII-Pro Forma'!$G$8="Yes",ROUND((-$K$8*(1+'Part VII-Pro Forma'!$B$6)^('Part VII-Pro Forma'!E43-1)),),IF('Part VII-Pro Forma'!$G$9="Yes",ROUND((-(SUM(E44:E47)*'Part VII-Pro Forma'!$K$9)),),"Choose mgt fee")))</f>
        <v>-31625</v>
      </c>
      <c r="F50" s="25">
        <f>IF(AND('Part VII-Pro Forma'!$G$8="Yes",'Part VII-Pro Forma'!$G$9="Yes"),"Choose One!",IF('Part VII-Pro Forma'!$G$8="Yes",ROUND((-$K$8*(1+'Part VII-Pro Forma'!$B$6)^('Part VII-Pro Forma'!F43-1)),),IF('Part VII-Pro Forma'!$G$9="Yes",ROUND((-(SUM(F44:F47)*'Part VII-Pro Forma'!$K$9)),),"Choose mgt fee")))</f>
        <v>-32574</v>
      </c>
      <c r="G50" s="25">
        <f>IF(AND('Part VII-Pro Forma'!$G$8="Yes",'Part VII-Pro Forma'!$G$9="Yes"),"Choose One!",IF('Part VII-Pro Forma'!$G$8="Yes",ROUND((-$K$8*(1+'Part VII-Pro Forma'!$B$6)^('Part VII-Pro Forma'!G43-1)),),IF('Part VII-Pro Forma'!$G$9="Yes",ROUND((-(SUM(G44:G47)*'Part VII-Pro Forma'!$K$9)),),"Choose mgt fee")))</f>
        <v>-33551</v>
      </c>
      <c r="H50" s="25">
        <f>IF(AND('Part VII-Pro Forma'!$G$8="Yes",'Part VII-Pro Forma'!$G$9="Yes"),"Choose One!",IF('Part VII-Pro Forma'!$G$8="Yes",ROUND((-$K$8*(1+'Part VII-Pro Forma'!$B$6)^('Part VII-Pro Forma'!H43-1)),),IF('Part VII-Pro Forma'!$G$9="Yes",ROUND((-(SUM(H44:H47)*'Part VII-Pro Forma'!$K$9)),),"Choose mgt fee")))</f>
        <v>-34557</v>
      </c>
      <c r="I50" s="25">
        <f>IF(AND('Part VII-Pro Forma'!$G$8="Yes",'Part VII-Pro Forma'!$G$9="Yes"),"Choose One!",IF('Part VII-Pro Forma'!$G$8="Yes",ROUND((-$K$8*(1+'Part VII-Pro Forma'!$B$6)^('Part VII-Pro Forma'!I43-1)),),IF('Part VII-Pro Forma'!$G$9="Yes",ROUND((-(SUM(I44:I47)*'Part VII-Pro Forma'!$K$9)),),"Choose mgt fee")))</f>
        <v>-35594</v>
      </c>
      <c r="J50" s="25">
        <f>IF(AND('Part VII-Pro Forma'!$G$8="Yes",'Part VII-Pro Forma'!$G$9="Yes"),"Choose One!",IF('Part VII-Pro Forma'!$G$8="Yes",ROUND((-$K$8*(1+'Part VII-Pro Forma'!$B$6)^('Part VII-Pro Forma'!J43-1)),),IF('Part VII-Pro Forma'!$G$9="Yes",ROUND((-(SUM(J44:J47)*'Part VII-Pro Forma'!$K$9)),),"Choose mgt fee")))</f>
        <v>-36662</v>
      </c>
      <c r="K50" s="25">
        <f>IF(AND('Part VII-Pro Forma'!$G$8="Yes",'Part VII-Pro Forma'!$G$9="Yes"),"Choose One!",IF('Part VII-Pro Forma'!$G$8="Yes",ROUND((-$K$8*(1+'Part VII-Pro Forma'!$B$6)^('Part VII-Pro Forma'!K43-1)),),IF('Part VII-Pro Forma'!$G$9="Yes",ROUND((-(SUM(K44:K47)*'Part VII-Pro Forma'!$K$9)),),"Choose mgt fee")))</f>
        <v>-37762</v>
      </c>
      <c r="M50" s="1462"/>
      <c r="N50" s="1463"/>
    </row>
    <row r="51" spans="1:14" ht="13.15" customHeight="1">
      <c r="A51" s="24" t="s">
        <v>1739</v>
      </c>
      <c r="B51" s="25">
        <f t="shared" ref="B51:K51" si="19">$B$21*(1+$B$7)^(B43-1)</f>
        <v>-18814.829310817706</v>
      </c>
      <c r="C51" s="25">
        <f t="shared" si="19"/>
        <v>-19379.274190142238</v>
      </c>
      <c r="D51" s="25">
        <f t="shared" si="19"/>
        <v>-19960.6524158465</v>
      </c>
      <c r="E51" s="25">
        <f t="shared" si="19"/>
        <v>-20559.471988321893</v>
      </c>
      <c r="F51" s="25">
        <f t="shared" si="19"/>
        <v>-21176.256147971555</v>
      </c>
      <c r="G51" s="25">
        <f t="shared" si="19"/>
        <v>-21811.543832410702</v>
      </c>
      <c r="H51" s="25">
        <f t="shared" si="19"/>
        <v>-22465.890147383019</v>
      </c>
      <c r="I51" s="25">
        <f t="shared" si="19"/>
        <v>-23139.866851804509</v>
      </c>
      <c r="J51" s="25">
        <f t="shared" si="19"/>
        <v>-23834.062857358644</v>
      </c>
      <c r="K51" s="26">
        <f t="shared" si="19"/>
        <v>-24549.084743079406</v>
      </c>
      <c r="M51" s="1462"/>
      <c r="N51" s="1463"/>
    </row>
    <row r="52" spans="1:14" ht="13.15" customHeight="1">
      <c r="A52" s="24" t="s">
        <v>1740</v>
      </c>
      <c r="B52" s="25">
        <f t="shared" ref="B52:K52" si="20">SUM(B44:B51)</f>
        <v>44809.619652079011</v>
      </c>
      <c r="C52" s="25">
        <f t="shared" si="20"/>
        <v>43237.391001031196</v>
      </c>
      <c r="D52" s="25">
        <f t="shared" si="20"/>
        <v>41558.700545640051</v>
      </c>
      <c r="E52" s="25">
        <f t="shared" si="20"/>
        <v>39770.997732878546</v>
      </c>
      <c r="F52" s="25">
        <f t="shared" si="20"/>
        <v>37868.602159151575</v>
      </c>
      <c r="G52" s="25">
        <f t="shared" si="20"/>
        <v>35847.699208098442</v>
      </c>
      <c r="H52" s="25">
        <f t="shared" si="20"/>
        <v>33703.335548197399</v>
      </c>
      <c r="I52" s="25">
        <f t="shared" si="20"/>
        <v>31429.414485776339</v>
      </c>
      <c r="J52" s="25">
        <f t="shared" si="20"/>
        <v>29021.69116890525</v>
      </c>
      <c r="K52" s="26">
        <f t="shared" si="20"/>
        <v>26474.767637499117</v>
      </c>
      <c r="M52" s="1462"/>
      <c r="N52" s="1463"/>
    </row>
    <row r="53" spans="1:14" ht="13.15" customHeight="1">
      <c r="A53" s="24" t="str">
        <f>$A23</f>
        <v>Mortgage A</v>
      </c>
      <c r="B53" s="1567">
        <v>-28086</v>
      </c>
      <c r="C53" s="1567">
        <v>-28086</v>
      </c>
      <c r="D53" s="1567">
        <v>-28086</v>
      </c>
      <c r="E53" s="1567">
        <v>-28086</v>
      </c>
      <c r="F53" s="1567">
        <v>-28086</v>
      </c>
      <c r="G53" s="1567">
        <v>-28086</v>
      </c>
      <c r="H53" s="1567">
        <v>-28086</v>
      </c>
      <c r="I53" s="1567"/>
      <c r="J53" s="1567"/>
      <c r="K53" s="1567"/>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v>-3024</v>
      </c>
      <c r="C58" s="1568">
        <v>-3115</v>
      </c>
      <c r="D58" s="1568">
        <v>-3208</v>
      </c>
      <c r="E58" s="1568">
        <v>-3304</v>
      </c>
      <c r="F58" s="1568">
        <v>-3403</v>
      </c>
      <c r="G58" s="1568"/>
      <c r="H58" s="1568"/>
      <c r="I58" s="1568"/>
      <c r="J58" s="1568"/>
      <c r="K58" s="1568"/>
      <c r="M58" s="1462"/>
      <c r="N58" s="1463"/>
    </row>
    <row r="59" spans="1:14" ht="13.15" customHeight="1">
      <c r="A59" s="24" t="s">
        <v>1741</v>
      </c>
      <c r="B59" s="1570">
        <v>-12600</v>
      </c>
      <c r="C59" s="1570">
        <v>-10900</v>
      </c>
      <c r="D59" s="1570">
        <v>-9000</v>
      </c>
      <c r="E59" s="1570">
        <v>-3109</v>
      </c>
      <c r="F59" s="1570"/>
      <c r="G59" s="1570"/>
      <c r="H59" s="1570"/>
      <c r="I59" s="1570"/>
      <c r="J59" s="1570"/>
      <c r="K59" s="1568"/>
      <c r="M59" s="1462"/>
      <c r="N59" s="1463"/>
    </row>
    <row r="60" spans="1:14" ht="13.15" customHeight="1">
      <c r="A60" s="24" t="s">
        <v>1687</v>
      </c>
      <c r="B60" s="25">
        <f t="shared" ref="B60:K60" si="21">SUM(B52:B59)</f>
        <v>1099.6196520790108</v>
      </c>
      <c r="C60" s="25">
        <f t="shared" si="21"/>
        <v>1136.3910010311956</v>
      </c>
      <c r="D60" s="25">
        <f t="shared" si="21"/>
        <v>1264.7005456400511</v>
      </c>
      <c r="E60" s="25">
        <f t="shared" si="21"/>
        <v>5271.9977328785462</v>
      </c>
      <c r="F60" s="25">
        <f t="shared" si="21"/>
        <v>6379.6021591515746</v>
      </c>
      <c r="G60" s="25">
        <f t="shared" si="21"/>
        <v>7761.6992080984419</v>
      </c>
      <c r="H60" s="25">
        <f t="shared" si="21"/>
        <v>5617.3355481973995</v>
      </c>
      <c r="I60" s="25">
        <f t="shared" si="21"/>
        <v>31429.414485776339</v>
      </c>
      <c r="J60" s="25">
        <f t="shared" si="21"/>
        <v>29021.69116890525</v>
      </c>
      <c r="K60" s="23">
        <f t="shared" si="21"/>
        <v>26474.767637499117</v>
      </c>
      <c r="M60" s="1462"/>
      <c r="N60" s="1463"/>
    </row>
    <row r="61" spans="1:14" ht="13.15" customHeight="1">
      <c r="A61" s="24" t="str">
        <f>$A31</f>
        <v>DCR Mortgage A</v>
      </c>
      <c r="B61" s="27">
        <f>IF(B53=0,"",-B52/B53)</f>
        <v>1.5954432689624372</v>
      </c>
      <c r="C61" s="27">
        <f t="shared" ref="C61:K61" si="22">IF(C53=0,"",-C52/C53)</f>
        <v>1.5394641814794272</v>
      </c>
      <c r="D61" s="27">
        <f t="shared" si="22"/>
        <v>1.4796945291476198</v>
      </c>
      <c r="E61" s="27">
        <f t="shared" si="22"/>
        <v>1.4160434997108362</v>
      </c>
      <c r="F61" s="27">
        <f t="shared" si="22"/>
        <v>1.3483088428096408</v>
      </c>
      <c r="G61" s="27">
        <f t="shared" si="22"/>
        <v>1.2763547393042243</v>
      </c>
      <c r="H61" s="27">
        <f t="shared" si="22"/>
        <v>1.2000048261837712</v>
      </c>
      <c r="I61" s="27" t="str">
        <f t="shared" si="22"/>
        <v/>
      </c>
      <c r="J61" s="27" t="str">
        <f t="shared" si="22"/>
        <v/>
      </c>
      <c r="K61" s="28" t="str">
        <f t="shared" si="22"/>
        <v/>
      </c>
      <c r="M61" s="1462"/>
      <c r="N61" s="1463"/>
    </row>
    <row r="62" spans="1:14" ht="13.15" customHeight="1">
      <c r="A62" s="24" t="str">
        <f>$A32</f>
        <v>DCR Mortgage B</v>
      </c>
      <c r="B62" s="27" t="str">
        <f>IF(OR(B54=0,AND(B54=0,B53=0)),"",-B52/(B53+B54))</f>
        <v/>
      </c>
      <c r="C62" s="27" t="str">
        <f t="shared" ref="C62:K62" si="23">IF(OR(C54=0,AND(C54=0,C53=0)),"",-C52/(C53+C54))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62"/>
      <c r="N62" s="1463"/>
    </row>
    <row r="63" spans="1:14" ht="13.15" customHeight="1">
      <c r="A63" s="24" t="str">
        <f>$A33</f>
        <v>DCR Mortgage C</v>
      </c>
      <c r="B63" s="27" t="str">
        <f>IF(OR(B55=0,AND(B55=0,B54=0,B53=0)),"",-B52/(B53+B54+B55))</f>
        <v/>
      </c>
      <c r="C63" s="27" t="str">
        <f t="shared" ref="C63:K63" si="24">IF(OR(C55=0,AND(C55=0,C54=0,C53=0)),"",-C52/(C53+C54+C55))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62"/>
      <c r="N63" s="1463"/>
    </row>
    <row r="64" spans="1:14" ht="13.15" customHeight="1">
      <c r="A64" s="24" t="str">
        <f>$A34</f>
        <v>DCR Other Source</v>
      </c>
      <c r="B64" s="27" t="str">
        <f>IF(OR(B56=0,AND(B53=0,B54=0,B55=0,B56=0)),"",-B52/(B53+B54+B55+B56))</f>
        <v/>
      </c>
      <c r="C64" s="27" t="str">
        <f t="shared" ref="C64:K64" si="25">IF(OR(C56=0,AND(C53=0,C54=0,C55=0,C56=0)),"",-C52/(C53+C54+C55+C56))</f>
        <v/>
      </c>
      <c r="D64" s="27" t="str">
        <f t="shared" si="25"/>
        <v/>
      </c>
      <c r="E64" s="27" t="str">
        <f t="shared" si="25"/>
        <v/>
      </c>
      <c r="F64" s="27" t="str">
        <f t="shared" si="25"/>
        <v/>
      </c>
      <c r="G64" s="27" t="str">
        <f t="shared" si="25"/>
        <v/>
      </c>
      <c r="H64" s="27" t="str">
        <f t="shared" si="25"/>
        <v/>
      </c>
      <c r="I64" s="27" t="str">
        <f t="shared" si="25"/>
        <v/>
      </c>
      <c r="J64" s="27" t="str">
        <f t="shared" si="25"/>
        <v/>
      </c>
      <c r="K64" s="28" t="str">
        <f t="shared" si="25"/>
        <v/>
      </c>
      <c r="M64" s="1462"/>
      <c r="N64" s="1463"/>
    </row>
    <row r="65" spans="1:14" ht="13.15" customHeight="1">
      <c r="A65" s="24" t="s">
        <v>1250</v>
      </c>
      <c r="B65" s="378">
        <f>IF(OR(B50="Choose mgt fee",B50="Choose One!"),"",(B44+B45+B46+B47+B48) / -(B49+B50+B51))</f>
        <v>1.1815145958330875</v>
      </c>
      <c r="C65" s="378">
        <f t="shared" ref="C65:K65" si="26">IF(OR(C50="Choose mgt fee",C50="Choose One!"),"",(C44+C45+C46+C47+C48) / -(C49+C50+C51))</f>
        <v>1.1700446386993668</v>
      </c>
      <c r="D65" s="378">
        <f t="shared" si="26"/>
        <v>1.1586817523792785</v>
      </c>
      <c r="E65" s="378">
        <f t="shared" si="26"/>
        <v>1.1474329254077327</v>
      </c>
      <c r="F65" s="378">
        <f t="shared" si="26"/>
        <v>1.1362917775187986</v>
      </c>
      <c r="G65" s="378">
        <f t="shared" si="26"/>
        <v>1.1252606835394052</v>
      </c>
      <c r="H65" s="378">
        <f t="shared" si="26"/>
        <v>1.1143378261248733</v>
      </c>
      <c r="I65" s="378">
        <f t="shared" si="26"/>
        <v>1.1035179582386794</v>
      </c>
      <c r="J65" s="378">
        <f t="shared" si="26"/>
        <v>1.0928035626449386</v>
      </c>
      <c r="K65" s="379">
        <f t="shared" si="26"/>
        <v>1.0821933489504665</v>
      </c>
      <c r="M65" s="1462"/>
      <c r="N65" s="1463"/>
    </row>
    <row r="66" spans="1:14" ht="13.15" customHeight="1">
      <c r="A66" s="678" t="s">
        <v>3666</v>
      </c>
      <c r="B66" s="1571">
        <f>IF('Part III A-Sources of Funds'!$H$32="","",-FV('Part III A-Sources of Funds'!$J$32/12,12,B53/12,K36))</f>
        <v>306250.76248838921</v>
      </c>
      <c r="C66" s="1571">
        <f>IF('Part III A-Sources of Funds'!$H$32="","",-FV('Part III A-Sources of Funds'!$J$32/12,12,C53/12,B66))</f>
        <v>297822.921147221</v>
      </c>
      <c r="D66" s="1571">
        <f>IF('Part III A-Sources of Funds'!$H$32="","",-FV('Part III A-Sources of Funds'!$J$32/12,12,D53/12,C66))</f>
        <v>288830.65166305116</v>
      </c>
      <c r="E66" s="1571">
        <f>IF('Part III A-Sources of Funds'!$H$32="","",-FV('Part III A-Sources of Funds'!$J$32/12,12,E53/12,D66))</f>
        <v>279236.15323782054</v>
      </c>
      <c r="F66" s="1571">
        <f>IF('Part III A-Sources of Funds'!$H$32="","",-FV('Part III A-Sources of Funds'!$J$32/12,12,F53/12,E66))</f>
        <v>268999.09348401672</v>
      </c>
      <c r="G66" s="1571">
        <f>IF('Part III A-Sources of Funds'!$H$32="","",-FV('Part III A-Sources of Funds'!$J$32/12,12,G53/12,F66))</f>
        <v>258076.43887943999</v>
      </c>
      <c r="H66" s="1571">
        <f>IF('Part III A-Sources of Funds'!$H$32="","",-FV('Part III A-Sources of Funds'!$J$32/12,12,H53/12,G66))</f>
        <v>246422.27386721064</v>
      </c>
      <c r="I66" s="1571"/>
      <c r="J66" s="1571"/>
      <c r="K66" s="1571"/>
      <c r="M66" s="1462"/>
      <c r="N66" s="1463"/>
    </row>
    <row r="67" spans="1:14" ht="13.15" customHeight="1">
      <c r="A67" s="678" t="s">
        <v>3667</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3668</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3651</v>
      </c>
      <c r="B70" s="1568">
        <f>'Part III A-Sources of Funds'!$H$36</f>
        <v>0</v>
      </c>
      <c r="C70" s="1568">
        <f>B70</f>
        <v>0</v>
      </c>
      <c r="D70" s="1568">
        <f t="shared" ref="D70:K70" si="27">C70</f>
        <v>0</v>
      </c>
      <c r="E70" s="1568">
        <f t="shared" si="27"/>
        <v>0</v>
      </c>
      <c r="F70" s="1568">
        <f t="shared" si="27"/>
        <v>0</v>
      </c>
      <c r="G70" s="1568">
        <f t="shared" si="27"/>
        <v>0</v>
      </c>
      <c r="H70" s="1568">
        <f t="shared" si="27"/>
        <v>0</v>
      </c>
      <c r="I70" s="1568">
        <f t="shared" si="27"/>
        <v>0</v>
      </c>
      <c r="J70" s="1568">
        <f t="shared" si="27"/>
        <v>0</v>
      </c>
      <c r="K70" s="1568">
        <f t="shared" si="27"/>
        <v>0</v>
      </c>
      <c r="M70" s="1462"/>
      <c r="N70" s="1463"/>
    </row>
    <row r="71" spans="1:14" ht="13.15" customHeight="1">
      <c r="A71" s="29" t="s">
        <v>1776</v>
      </c>
      <c r="B71" s="1570">
        <f>IF('Part III A-Sources of Funds'!$H$37="","",-FV('Part III A-Sources of Funds'!$J$37/12,12,B59/12,K41))</f>
        <v>23009</v>
      </c>
      <c r="C71" s="1570">
        <f>IF('Part III A-Sources of Funds'!$H$37="","",-FV('Part III A-Sources of Funds'!$J$37/12,12,C59/12,B71))</f>
        <v>12109</v>
      </c>
      <c r="D71" s="1570">
        <f>IF('Part III A-Sources of Funds'!$H$37="","",-FV('Part III A-Sources of Funds'!$J$37/12,12,D59/12,C71))</f>
        <v>3109</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28">B73+1</f>
        <v>22</v>
      </c>
      <c r="D73" s="18">
        <f t="shared" si="28"/>
        <v>23</v>
      </c>
      <c r="E73" s="18">
        <f t="shared" si="28"/>
        <v>24</v>
      </c>
      <c r="F73" s="18">
        <f t="shared" si="28"/>
        <v>25</v>
      </c>
      <c r="G73" s="18">
        <f t="shared" si="28"/>
        <v>26</v>
      </c>
      <c r="H73" s="18">
        <f t="shared" si="28"/>
        <v>27</v>
      </c>
      <c r="I73" s="18">
        <f t="shared" si="28"/>
        <v>28</v>
      </c>
      <c r="J73" s="18">
        <f t="shared" si="28"/>
        <v>29</v>
      </c>
      <c r="K73" s="18">
        <f t="shared" si="28"/>
        <v>30</v>
      </c>
      <c r="M73" s="976" t="s">
        <v>3673</v>
      </c>
      <c r="N73" s="976"/>
    </row>
    <row r="74" spans="1:14" ht="13.15" customHeight="1">
      <c r="A74" s="21" t="s">
        <v>3384</v>
      </c>
      <c r="B74" s="22">
        <f t="shared" ref="B74:K74" si="29">$B$14*(1+$B$5)^(B73-1)</f>
        <v>374815.37116158009</v>
      </c>
      <c r="C74" s="22">
        <f t="shared" si="29"/>
        <v>382311.67858481163</v>
      </c>
      <c r="D74" s="22">
        <f t="shared" si="29"/>
        <v>389957.9121565079</v>
      </c>
      <c r="E74" s="22">
        <f t="shared" si="29"/>
        <v>397757.07039963797</v>
      </c>
      <c r="F74" s="22">
        <f t="shared" si="29"/>
        <v>405712.21180763078</v>
      </c>
      <c r="G74" s="22">
        <f t="shared" si="29"/>
        <v>413826.4560437834</v>
      </c>
      <c r="H74" s="22">
        <f t="shared" si="29"/>
        <v>422102.9851646591</v>
      </c>
      <c r="I74" s="22">
        <f t="shared" si="29"/>
        <v>430545.04486795218</v>
      </c>
      <c r="J74" s="22">
        <f t="shared" si="29"/>
        <v>439155.94576531131</v>
      </c>
      <c r="K74" s="23">
        <f t="shared" si="29"/>
        <v>447939.06468061748</v>
      </c>
      <c r="M74" s="1460"/>
      <c r="N74" s="1461"/>
    </row>
    <row r="75" spans="1:14" ht="13.15" customHeight="1">
      <c r="A75" s="24" t="s">
        <v>1519</v>
      </c>
      <c r="B75" s="25">
        <f t="shared" ref="B75:K75" si="30">$B$15*(1+$B$5)^(B73-1)</f>
        <v>7496.3074232316021</v>
      </c>
      <c r="C75" s="25">
        <f t="shared" si="30"/>
        <v>7646.2335716962334</v>
      </c>
      <c r="D75" s="25">
        <f t="shared" si="30"/>
        <v>7799.1582431301586</v>
      </c>
      <c r="E75" s="25">
        <f t="shared" si="30"/>
        <v>7955.1414079927599</v>
      </c>
      <c r="F75" s="25">
        <f t="shared" si="30"/>
        <v>8114.2442361526155</v>
      </c>
      <c r="G75" s="25">
        <f t="shared" si="30"/>
        <v>8276.529120875668</v>
      </c>
      <c r="H75" s="25">
        <f t="shared" si="30"/>
        <v>8442.0597032931819</v>
      </c>
      <c r="I75" s="25">
        <f t="shared" si="30"/>
        <v>8610.9008973590444</v>
      </c>
      <c r="J75" s="25">
        <f t="shared" si="30"/>
        <v>8783.1189153062278</v>
      </c>
      <c r="K75" s="26">
        <f t="shared" si="30"/>
        <v>8958.7812936123501</v>
      </c>
      <c r="M75" s="1462"/>
      <c r="N75" s="1463"/>
    </row>
    <row r="76" spans="1:14" ht="13.15" customHeight="1">
      <c r="A76" s="24" t="s">
        <v>3385</v>
      </c>
      <c r="B76" s="25">
        <f t="shared" ref="B76:K76" si="31">-(B74+B75)*$B$8</f>
        <v>-26761.817500936821</v>
      </c>
      <c r="C76" s="25">
        <f t="shared" si="31"/>
        <v>-27297.053850955552</v>
      </c>
      <c r="D76" s="25">
        <f t="shared" si="31"/>
        <v>-27842.994927974665</v>
      </c>
      <c r="E76" s="25">
        <f t="shared" si="31"/>
        <v>-28399.854826534152</v>
      </c>
      <c r="F76" s="25">
        <f t="shared" si="31"/>
        <v>-28967.851923064842</v>
      </c>
      <c r="G76" s="25">
        <f t="shared" si="31"/>
        <v>-29547.208961526139</v>
      </c>
      <c r="H76" s="25">
        <f t="shared" si="31"/>
        <v>-30138.153140756665</v>
      </c>
      <c r="I76" s="25">
        <f t="shared" si="31"/>
        <v>-30740.916203571789</v>
      </c>
      <c r="J76" s="25">
        <f t="shared" si="31"/>
        <v>-31355.734527643232</v>
      </c>
      <c r="K76" s="26">
        <f t="shared" si="31"/>
        <v>-31982.84921819609</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2">$B$19*(1+$B$6)^(B73-1)</f>
        <v>-267586.21608368162</v>
      </c>
      <c r="C79" s="25">
        <f t="shared" si="32"/>
        <v>-275613.802566192</v>
      </c>
      <c r="D79" s="25">
        <f t="shared" si="32"/>
        <v>-283882.21664317779</v>
      </c>
      <c r="E79" s="25">
        <f t="shared" si="32"/>
        <v>-292398.68314247316</v>
      </c>
      <c r="F79" s="25">
        <f t="shared" si="32"/>
        <v>-301170.64363674726</v>
      </c>
      <c r="G79" s="25">
        <f t="shared" si="32"/>
        <v>-310205.76294584968</v>
      </c>
      <c r="H79" s="25">
        <f t="shared" si="32"/>
        <v>-319511.93583422527</v>
      </c>
      <c r="I79" s="25">
        <f t="shared" si="32"/>
        <v>-329097.29390925198</v>
      </c>
      <c r="J79" s="25">
        <f t="shared" si="32"/>
        <v>-338970.21272652951</v>
      </c>
      <c r="K79" s="26">
        <f t="shared" si="32"/>
        <v>-349139.31910832535</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-38895</v>
      </c>
      <c r="C80" s="25">
        <f>IF(AND('Part VII-Pro Forma'!$G$8="Yes",'Part VII-Pro Forma'!$G$9="Yes"),"Choose One!",IF('Part VII-Pro Forma'!$G$8="Yes",ROUND((-$K$8*(1+'Part VII-Pro Forma'!$B$6)^('Part VII-Pro Forma'!C73-1)),),IF('Part VII-Pro Forma'!$G$9="Yes",ROUND((-(SUM(C74:C77)*'Part VII-Pro Forma'!$K$9)),),"Choose mgt fee")))</f>
        <v>-40061</v>
      </c>
      <c r="D80" s="25">
        <f>IF(AND('Part VII-Pro Forma'!$G$8="Yes",'Part VII-Pro Forma'!$G$9="Yes"),"Choose One!",IF('Part VII-Pro Forma'!$G$8="Yes",ROUND((-$K$8*(1+'Part VII-Pro Forma'!$B$6)^('Part VII-Pro Forma'!D73-1)),),IF('Part VII-Pro Forma'!$G$9="Yes",ROUND((-(SUM(D74:D77)*'Part VII-Pro Forma'!$K$9)),),"Choose mgt fee")))</f>
        <v>-41263</v>
      </c>
      <c r="E80" s="25">
        <f>IF(AND('Part VII-Pro Forma'!$G$8="Yes",'Part VII-Pro Forma'!$G$9="Yes"),"Choose One!",IF('Part VII-Pro Forma'!$G$8="Yes",ROUND((-$K$8*(1+'Part VII-Pro Forma'!$B$6)^('Part VII-Pro Forma'!E73-1)),),IF('Part VII-Pro Forma'!$G$9="Yes",ROUND((-(SUM(E74:E77)*'Part VII-Pro Forma'!$K$9)),),"Choose mgt fee")))</f>
        <v>-42501</v>
      </c>
      <c r="F80" s="25">
        <f>IF(AND('Part VII-Pro Forma'!$G$8="Yes",'Part VII-Pro Forma'!$G$9="Yes"),"Choose One!",IF('Part VII-Pro Forma'!$G$8="Yes",ROUND((-$K$8*(1+'Part VII-Pro Forma'!$B$6)^('Part VII-Pro Forma'!F73-1)),),IF('Part VII-Pro Forma'!$G$9="Yes",ROUND((-(SUM(F74:F77)*'Part VII-Pro Forma'!$K$9)),),"Choose mgt fee")))</f>
        <v>-43776</v>
      </c>
      <c r="G80" s="25">
        <f>IF(AND('Part VII-Pro Forma'!$G$8="Yes",'Part VII-Pro Forma'!$G$9="Yes"),"Choose One!",IF('Part VII-Pro Forma'!$G$8="Yes",ROUND((-$K$8*(1+'Part VII-Pro Forma'!$B$6)^('Part VII-Pro Forma'!G73-1)),),IF('Part VII-Pro Forma'!$G$9="Yes",ROUND((-(SUM(G74:G77)*'Part VII-Pro Forma'!$K$9)),),"Choose mgt fee")))</f>
        <v>-45090</v>
      </c>
      <c r="H80" s="25">
        <f>IF(AND('Part VII-Pro Forma'!$G$8="Yes",'Part VII-Pro Forma'!$G$9="Yes"),"Choose One!",IF('Part VII-Pro Forma'!$G$8="Yes",ROUND((-$K$8*(1+'Part VII-Pro Forma'!$B$6)^('Part VII-Pro Forma'!H73-1)),),IF('Part VII-Pro Forma'!$G$9="Yes",ROUND((-(SUM(H74:H77)*'Part VII-Pro Forma'!$K$9)),),"Choose mgt fee")))</f>
        <v>-46442</v>
      </c>
      <c r="I80" s="25">
        <f>IF(AND('Part VII-Pro Forma'!$G$8="Yes",'Part VII-Pro Forma'!$G$9="Yes"),"Choose One!",IF('Part VII-Pro Forma'!$G$8="Yes",ROUND((-$K$8*(1+'Part VII-Pro Forma'!$B$6)^('Part VII-Pro Forma'!I73-1)),),IF('Part VII-Pro Forma'!$G$9="Yes",ROUND((-(SUM(I74:I77)*'Part VII-Pro Forma'!$K$9)),),"Choose mgt fee")))</f>
        <v>-47835</v>
      </c>
      <c r="J80" s="25">
        <f>IF(AND('Part VII-Pro Forma'!$G$8="Yes",'Part VII-Pro Forma'!$G$9="Yes"),"Choose One!",IF('Part VII-Pro Forma'!$G$8="Yes",ROUND((-$K$8*(1+'Part VII-Pro Forma'!$B$6)^('Part VII-Pro Forma'!J73-1)),),IF('Part VII-Pro Forma'!$G$9="Yes",ROUND((-(SUM(J74:J77)*'Part VII-Pro Forma'!$K$9)),),"Choose mgt fee")))</f>
        <v>-49271</v>
      </c>
      <c r="K80" s="25">
        <f>IF(AND('Part VII-Pro Forma'!$G$8="Yes",'Part VII-Pro Forma'!$G$9="Yes"),"Choose One!",IF('Part VII-Pro Forma'!$G$8="Yes",ROUND((-$K$8*(1+'Part VII-Pro Forma'!$B$6)^('Part VII-Pro Forma'!K73-1)),),IF('Part VII-Pro Forma'!$G$9="Yes",ROUND((-(SUM(K74:K77)*'Part VII-Pro Forma'!$K$9)),),"Choose mgt fee")))</f>
        <v>-50749</v>
      </c>
      <c r="M80" s="1462"/>
      <c r="N80" s="1463"/>
    </row>
    <row r="81" spans="1:14" ht="13.15" customHeight="1">
      <c r="A81" s="24" t="s">
        <v>1739</v>
      </c>
      <c r="B81" s="25">
        <f t="shared" ref="B81:K81" si="33">$B$21*(1+$B$7)^(B73-1)</f>
        <v>-25285.557285371786</v>
      </c>
      <c r="C81" s="25">
        <f t="shared" si="33"/>
        <v>-26044.124003932935</v>
      </c>
      <c r="D81" s="25">
        <f t="shared" si="33"/>
        <v>-26825.447724050926</v>
      </c>
      <c r="E81" s="25">
        <f t="shared" si="33"/>
        <v>-27630.211155772457</v>
      </c>
      <c r="F81" s="25">
        <f t="shared" si="33"/>
        <v>-28459.117490445624</v>
      </c>
      <c r="G81" s="25">
        <f t="shared" si="33"/>
        <v>-29312.891015158995</v>
      </c>
      <c r="H81" s="25">
        <f t="shared" si="33"/>
        <v>-30192.277745613766</v>
      </c>
      <c r="I81" s="25">
        <f t="shared" si="33"/>
        <v>-31098.046077982177</v>
      </c>
      <c r="J81" s="25">
        <f t="shared" si="33"/>
        <v>-32030.987460321641</v>
      </c>
      <c r="K81" s="26">
        <f t="shared" si="33"/>
        <v>-32991.917084131288</v>
      </c>
      <c r="M81" s="1462"/>
      <c r="N81" s="1463"/>
    </row>
    <row r="82" spans="1:14" ht="13.15" customHeight="1">
      <c r="A82" s="24" t="s">
        <v>1740</v>
      </c>
      <c r="B82" s="25">
        <f t="shared" ref="B82:K82" si="34">SUM(B74:B81)</f>
        <v>23783.087714821482</v>
      </c>
      <c r="C82" s="25">
        <f t="shared" si="34"/>
        <v>20941.931735427344</v>
      </c>
      <c r="D82" s="25">
        <f t="shared" si="34"/>
        <v>17943.411104434668</v>
      </c>
      <c r="E82" s="25">
        <f t="shared" si="34"/>
        <v>14782.462682850935</v>
      </c>
      <c r="F82" s="25">
        <f t="shared" si="34"/>
        <v>11452.842993525661</v>
      </c>
      <c r="G82" s="25">
        <f t="shared" si="34"/>
        <v>7947.1222421242564</v>
      </c>
      <c r="H82" s="25">
        <f t="shared" si="34"/>
        <v>4260.6781473566116</v>
      </c>
      <c r="I82" s="25">
        <f t="shared" si="34"/>
        <v>384.68957450531525</v>
      </c>
      <c r="J82" s="25">
        <f t="shared" si="34"/>
        <v>-3688.8700338768649</v>
      </c>
      <c r="K82" s="26">
        <f t="shared" si="34"/>
        <v>-7965.2394364228967</v>
      </c>
      <c r="M82" s="1462"/>
      <c r="N82" s="1463"/>
    </row>
    <row r="83" spans="1:14" ht="13.15" customHeight="1">
      <c r="A83" s="24" t="str">
        <f>$A53</f>
        <v>Mortgage A</v>
      </c>
      <c r="B83" s="1567"/>
      <c r="C83" s="1567"/>
      <c r="D83" s="1567"/>
      <c r="E83" s="1567"/>
      <c r="F83" s="1567"/>
      <c r="G83" s="1567"/>
      <c r="H83" s="1567"/>
      <c r="I83" s="1567"/>
      <c r="J83" s="1567"/>
      <c r="K83" s="1567"/>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0</v>
      </c>
      <c r="C88" s="1568">
        <f t="shared" ref="C88:K88" si="35">+B88</f>
        <v>0</v>
      </c>
      <c r="D88" s="1568">
        <f t="shared" si="35"/>
        <v>0</v>
      </c>
      <c r="E88" s="1568">
        <f t="shared" si="35"/>
        <v>0</v>
      </c>
      <c r="F88" s="1568">
        <f t="shared" si="35"/>
        <v>0</v>
      </c>
      <c r="G88" s="1568">
        <f t="shared" si="35"/>
        <v>0</v>
      </c>
      <c r="H88" s="1568">
        <f t="shared" si="35"/>
        <v>0</v>
      </c>
      <c r="I88" s="1568">
        <f t="shared" si="35"/>
        <v>0</v>
      </c>
      <c r="J88" s="1568">
        <f t="shared" si="35"/>
        <v>0</v>
      </c>
      <c r="K88" s="1568">
        <f t="shared" si="35"/>
        <v>0</v>
      </c>
      <c r="M88" s="1462"/>
      <c r="N88" s="1463"/>
    </row>
    <row r="89" spans="1:14" ht="13.15" customHeight="1">
      <c r="A89" s="24" t="s">
        <v>1741</v>
      </c>
      <c r="B89" s="1570"/>
      <c r="C89" s="1570"/>
      <c r="D89" s="1570"/>
      <c r="E89" s="1570"/>
      <c r="F89" s="1570"/>
      <c r="G89" s="1570"/>
      <c r="H89" s="1570"/>
      <c r="I89" s="1570"/>
      <c r="J89" s="1570"/>
      <c r="K89" s="1568"/>
      <c r="M89" s="1462"/>
      <c r="N89" s="1463"/>
    </row>
    <row r="90" spans="1:14" ht="13.15" customHeight="1">
      <c r="A90" s="24" t="s">
        <v>1687</v>
      </c>
      <c r="B90" s="25">
        <f t="shared" ref="B90:K90" si="36">SUM(B82:B89)</f>
        <v>23783.087714821482</v>
      </c>
      <c r="C90" s="25">
        <f t="shared" si="36"/>
        <v>20941.931735427344</v>
      </c>
      <c r="D90" s="25">
        <f t="shared" si="36"/>
        <v>17943.411104434668</v>
      </c>
      <c r="E90" s="25">
        <f t="shared" si="36"/>
        <v>14782.462682850935</v>
      </c>
      <c r="F90" s="25">
        <f t="shared" si="36"/>
        <v>11452.842993525661</v>
      </c>
      <c r="G90" s="25">
        <f t="shared" si="36"/>
        <v>7947.1222421242564</v>
      </c>
      <c r="H90" s="25">
        <f t="shared" si="36"/>
        <v>4260.6781473566116</v>
      </c>
      <c r="I90" s="25">
        <f t="shared" si="36"/>
        <v>384.68957450531525</v>
      </c>
      <c r="J90" s="25">
        <f t="shared" si="36"/>
        <v>-3688.8700338768649</v>
      </c>
      <c r="K90" s="23">
        <f t="shared" si="36"/>
        <v>-7965.2394364228967</v>
      </c>
      <c r="M90" s="1462"/>
      <c r="N90" s="1463"/>
    </row>
    <row r="91" spans="1:14" ht="13.15" customHeight="1">
      <c r="A91" s="24" t="str">
        <f>$A61</f>
        <v>DCR Mortgage A</v>
      </c>
      <c r="B91" s="27" t="str">
        <f>IF(B83=0,"",-B82/B83)</f>
        <v/>
      </c>
      <c r="C91" s="27" t="str">
        <f t="shared" ref="C91:K91" si="37">IF(C83=0,"",-C82/C83)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462"/>
      <c r="N91" s="1463"/>
    </row>
    <row r="92" spans="1:14" ht="13.15" customHeight="1">
      <c r="A92" s="24" t="str">
        <f>$A62</f>
        <v>DCR Mortgage B</v>
      </c>
      <c r="B92" s="27" t="str">
        <f>IF(OR(B84=0,AND(B84=0,B83=0)),"",-B82/(B83+B84))</f>
        <v/>
      </c>
      <c r="C92" s="27" t="str">
        <f t="shared" ref="C92:K92" si="38">IF(OR(C84=0,AND(C84=0,C83=0)),"",-C82/(C83+C84))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462"/>
      <c r="N92" s="1463"/>
    </row>
    <row r="93" spans="1:14" ht="13.15" customHeight="1">
      <c r="A93" s="24" t="str">
        <f>$A63</f>
        <v>DCR Mortgage C</v>
      </c>
      <c r="B93" s="27" t="str">
        <f>IF(OR(B85=0,AND(B85=0,B84=0,B83=0)),"",-B82/(B83+B84+B85))</f>
        <v/>
      </c>
      <c r="C93" s="27" t="str">
        <f t="shared" ref="C93:K93" si="39">IF(OR(C85=0,AND(C85=0,C84=0,C83=0)),"",-C82/(C83+C84+C85))</f>
        <v/>
      </c>
      <c r="D93" s="27" t="str">
        <f t="shared" si="39"/>
        <v/>
      </c>
      <c r="E93" s="27" t="str">
        <f t="shared" si="39"/>
        <v/>
      </c>
      <c r="F93" s="27" t="str">
        <f t="shared" si="39"/>
        <v/>
      </c>
      <c r="G93" s="27" t="str">
        <f t="shared" si="39"/>
        <v/>
      </c>
      <c r="H93" s="27" t="str">
        <f t="shared" si="39"/>
        <v/>
      </c>
      <c r="I93" s="27" t="str">
        <f t="shared" si="39"/>
        <v/>
      </c>
      <c r="J93" s="27" t="str">
        <f t="shared" si="39"/>
        <v/>
      </c>
      <c r="K93" s="28" t="str">
        <f t="shared" si="39"/>
        <v/>
      </c>
      <c r="M93" s="1462"/>
      <c r="N93" s="1463"/>
    </row>
    <row r="94" spans="1:14" ht="13.15" customHeight="1">
      <c r="A94" s="24" t="str">
        <f>$A64</f>
        <v>DCR Other Source</v>
      </c>
      <c r="B94" s="27" t="str">
        <f>IF(OR(B86=0,AND(B83=0,B84=0,B85=0,B86=0)),"",-B82/(B83+B84+B85+B86))</f>
        <v/>
      </c>
      <c r="C94" s="27" t="str">
        <f t="shared" ref="C94:K94" si="40">IF(OR(C86=0,AND(C83=0,C84=0,C85=0,C86=0)),"",-C82/(C83+C84+C85+C86))</f>
        <v/>
      </c>
      <c r="D94" s="27" t="str">
        <f t="shared" si="40"/>
        <v/>
      </c>
      <c r="E94" s="27" t="str">
        <f t="shared" si="40"/>
        <v/>
      </c>
      <c r="F94" s="27" t="str">
        <f t="shared" si="40"/>
        <v/>
      </c>
      <c r="G94" s="27" t="str">
        <f t="shared" si="40"/>
        <v/>
      </c>
      <c r="H94" s="27" t="str">
        <f t="shared" si="40"/>
        <v/>
      </c>
      <c r="I94" s="27" t="str">
        <f t="shared" si="40"/>
        <v/>
      </c>
      <c r="J94" s="27" t="str">
        <f t="shared" si="40"/>
        <v/>
      </c>
      <c r="K94" s="28" t="str">
        <f t="shared" si="40"/>
        <v/>
      </c>
      <c r="M94" s="1462"/>
      <c r="N94" s="1463"/>
    </row>
    <row r="95" spans="1:14" ht="13.15" customHeight="1">
      <c r="A95" s="24" t="s">
        <v>1250</v>
      </c>
      <c r="B95" s="378">
        <f>IF(OR(B80="Choose mgt fee",B80="Choose One!"),"",(B74+B75+B76+B77+B78) / -(B79+B80+B81))</f>
        <v>1.0716861651735254</v>
      </c>
      <c r="C95" s="378">
        <f t="shared" ref="C95:K95" si="41">IF(OR(C80="Choose mgt fee",C80="Choose One!"),"",(C74+C75+C76+C77+C78) / -(C79+C80+C81))</f>
        <v>1.0612840849806715</v>
      </c>
      <c r="D95" s="378">
        <f t="shared" si="41"/>
        <v>1.0509798483822317</v>
      </c>
      <c r="E95" s="378">
        <f t="shared" si="41"/>
        <v>1.0407758447381714</v>
      </c>
      <c r="F95" s="378">
        <f t="shared" si="41"/>
        <v>1.0306713076920753</v>
      </c>
      <c r="G95" s="378">
        <f t="shared" si="41"/>
        <v>1.0206628794237427</v>
      </c>
      <c r="H95" s="378">
        <f t="shared" si="41"/>
        <v>1.0107553171059098</v>
      </c>
      <c r="I95" s="378">
        <f t="shared" si="41"/>
        <v>1.0009427964952737</v>
      </c>
      <c r="J95" s="378">
        <f t="shared" si="41"/>
        <v>0.99122266466295705</v>
      </c>
      <c r="K95" s="379">
        <f t="shared" si="41"/>
        <v>0.98159943843478781</v>
      </c>
      <c r="M95" s="1462"/>
      <c r="N95" s="1463"/>
    </row>
    <row r="96" spans="1:14" ht="13.15" customHeight="1">
      <c r="A96" s="678" t="s">
        <v>3666</v>
      </c>
      <c r="B96" s="1571">
        <f>IF('Part III A-Sources of Funds'!$H$32="","",-FV('Part III A-Sources of Funds'!$J$32/12,12,B83/12,K66))</f>
        <v>0</v>
      </c>
      <c r="C96" s="1571">
        <f>IF('Part III A-Sources of Funds'!$H$32="","",-FV('Part III A-Sources of Funds'!$J$32/12,12,C83/12,B96))</f>
        <v>0</v>
      </c>
      <c r="D96" s="1571">
        <f>IF('Part III A-Sources of Funds'!$H$32="","",-FV('Part III A-Sources of Funds'!$J$32/12,12,D83/12,C96))</f>
        <v>0</v>
      </c>
      <c r="E96" s="1571">
        <f>IF('Part III A-Sources of Funds'!$H$32="","",-FV('Part III A-Sources of Funds'!$J$32/12,12,E83/12,D96))</f>
        <v>0</v>
      </c>
      <c r="F96" s="1571">
        <f>IF('Part III A-Sources of Funds'!$H$32="","",-FV('Part III A-Sources of Funds'!$J$32/12,12,F83/12,E96))</f>
        <v>0</v>
      </c>
      <c r="G96" s="1571">
        <f>IF('Part III A-Sources of Funds'!$H$32="","",-FV('Part III A-Sources of Funds'!$J$32/12,12,G83/12,F96))</f>
        <v>0</v>
      </c>
      <c r="H96" s="1571">
        <f>IF('Part III A-Sources of Funds'!$H$32="","",-FV('Part III A-Sources of Funds'!$J$32/12,12,H83/12,G96))</f>
        <v>0</v>
      </c>
      <c r="I96" s="1571">
        <f>IF('Part III A-Sources of Funds'!$H$32="","",-FV('Part III A-Sources of Funds'!$J$32/12,12,I83/12,H96))</f>
        <v>0</v>
      </c>
      <c r="J96" s="1571">
        <f>IF('Part III A-Sources of Funds'!$H$32="","",-FV('Part III A-Sources of Funds'!$J$32/12,12,J83/12,I96))</f>
        <v>0</v>
      </c>
      <c r="K96" s="1571">
        <f>IF('Part III A-Sources of Funds'!$H$32="","",-FV('Part III A-Sources of Funds'!$J$32/12,12,K83/12,J96))</f>
        <v>0</v>
      </c>
      <c r="M96" s="1462"/>
      <c r="N96" s="1463"/>
    </row>
    <row r="97" spans="1:14" ht="13.15" customHeight="1">
      <c r="A97" s="678" t="s">
        <v>3667</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3668</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3651</v>
      </c>
      <c r="B100" s="1568">
        <f>'Part III A-Sources of Funds'!$H$36</f>
        <v>0</v>
      </c>
      <c r="C100" s="1568">
        <f>B100</f>
        <v>0</v>
      </c>
      <c r="D100" s="1568">
        <f t="shared" ref="D100:K100" si="42">C100</f>
        <v>0</v>
      </c>
      <c r="E100" s="1568">
        <f t="shared" si="42"/>
        <v>0</v>
      </c>
      <c r="F100" s="1568">
        <f t="shared" si="42"/>
        <v>0</v>
      </c>
      <c r="G100" s="1568">
        <f t="shared" si="42"/>
        <v>0</v>
      </c>
      <c r="H100" s="1568">
        <f t="shared" si="42"/>
        <v>0</v>
      </c>
      <c r="I100" s="1568">
        <f t="shared" si="42"/>
        <v>0</v>
      </c>
      <c r="J100" s="1568">
        <f t="shared" si="42"/>
        <v>0</v>
      </c>
      <c r="K100" s="1568">
        <f t="shared" si="42"/>
        <v>0</v>
      </c>
      <c r="M100" s="1462"/>
      <c r="N100" s="1463"/>
    </row>
    <row r="101" spans="1:14" ht="13.15" customHeight="1">
      <c r="A101" s="29" t="s">
        <v>1776</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2"/>
      <c r="C106" s="1572"/>
      <c r="D106" s="1572"/>
      <c r="E106" s="1572"/>
      <c r="F106" s="1573"/>
      <c r="G106" s="1363"/>
      <c r="H106" s="1572"/>
      <c r="I106" s="1572"/>
      <c r="J106" s="1572"/>
      <c r="K106" s="1573"/>
      <c r="M106" s="987" t="s">
        <v>3965</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A5" sqref="A5:A23"/>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2012-029 The Groves Place, Tifton, Tift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2739</v>
      </c>
      <c r="P29" s="1114"/>
      <c r="Q29" s="1119"/>
    </row>
    <row r="30" spans="1:19" ht="3" customHeight="1"/>
    <row r="31" spans="1:19" ht="12" customHeight="1">
      <c r="B31" s="192" t="s">
        <v>2862</v>
      </c>
      <c r="C31" s="62" t="s">
        <v>3868</v>
      </c>
      <c r="E31" s="38"/>
      <c r="F31" s="38"/>
      <c r="G31" s="38"/>
      <c r="H31" s="38"/>
      <c r="I31" s="50"/>
      <c r="J31" s="40"/>
      <c r="K31" s="50"/>
      <c r="L31" s="40"/>
      <c r="M31" s="40"/>
      <c r="O31" s="79" t="s">
        <v>849</v>
      </c>
      <c r="P31" s="1574" t="s">
        <v>4005</v>
      </c>
      <c r="Q31" s="232"/>
    </row>
    <row r="32" spans="1:19" ht="12" customHeight="1">
      <c r="B32" s="55" t="s">
        <v>2865</v>
      </c>
      <c r="C32" s="62" t="s">
        <v>994</v>
      </c>
      <c r="E32" s="38"/>
      <c r="F32" s="38"/>
      <c r="G32" s="38"/>
      <c r="H32" s="38"/>
      <c r="J32" s="1575" t="s">
        <v>3050</v>
      </c>
      <c r="K32" s="1576"/>
      <c r="L32" s="1576"/>
      <c r="M32" s="1576"/>
      <c r="N32" s="1577"/>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578"/>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114"/>
      <c r="Q41" s="1119"/>
    </row>
    <row r="42" spans="1:31" ht="3" customHeight="1"/>
    <row r="43" spans="1:31" ht="11.45" customHeight="1">
      <c r="A43" s="189"/>
      <c r="C43" s="190" t="s">
        <v>108</v>
      </c>
      <c r="D43" s="190"/>
      <c r="E43" s="190"/>
      <c r="F43" s="190"/>
      <c r="G43" s="190"/>
      <c r="H43" s="190"/>
      <c r="J43" s="1581" t="str">
        <f>'Part I-Project Information'!$H$65</f>
        <v>HFOP</v>
      </c>
      <c r="K43" s="1582"/>
      <c r="L43" s="1583"/>
      <c r="M43" s="856"/>
      <c r="N43" s="856"/>
      <c r="P43" s="1574" t="s">
        <v>4006</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578"/>
      <c r="B45" s="1579"/>
      <c r="C45" s="1579"/>
      <c r="D45" s="1579"/>
      <c r="E45" s="1579"/>
      <c r="F45" s="1579"/>
      <c r="G45" s="1579"/>
      <c r="H45" s="1579"/>
      <c r="I45" s="1579"/>
      <c r="J45" s="1580"/>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74" t="s">
        <v>4029</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4" t="s">
        <v>4006</v>
      </c>
      <c r="Q51" s="232"/>
    </row>
    <row r="52" spans="1:31" ht="10.9" customHeight="1">
      <c r="A52" s="194"/>
      <c r="B52" s="50"/>
      <c r="C52" s="79" t="s">
        <v>2591</v>
      </c>
      <c r="D52" s="38" t="s">
        <v>2669</v>
      </c>
      <c r="E52" s="853"/>
      <c r="F52" s="853"/>
      <c r="G52" s="853"/>
      <c r="H52" s="40"/>
      <c r="I52" s="50"/>
      <c r="J52" s="50"/>
      <c r="O52" s="79" t="s">
        <v>2591</v>
      </c>
      <c r="P52" s="1574" t="s">
        <v>4006</v>
      </c>
      <c r="Q52" s="232"/>
    </row>
    <row r="53" spans="1:31" ht="10.9" customHeight="1">
      <c r="A53" s="194"/>
      <c r="B53" s="50"/>
      <c r="C53" s="79" t="s">
        <v>2592</v>
      </c>
      <c r="D53" s="38" t="s">
        <v>374</v>
      </c>
      <c r="E53" s="853"/>
      <c r="J53" s="79"/>
      <c r="K53" s="79" t="s">
        <v>2592</v>
      </c>
      <c r="L53" s="1584"/>
      <c r="M53" s="1585"/>
      <c r="N53" s="1585"/>
      <c r="O53" s="1585"/>
      <c r="P53" s="1586"/>
      <c r="Q53" s="232"/>
    </row>
    <row r="54" spans="1:31" ht="11.25" customHeight="1">
      <c r="B54" s="127" t="s">
        <v>2737</v>
      </c>
      <c r="D54" s="127"/>
      <c r="E54" s="127"/>
      <c r="F54" s="127"/>
      <c r="G54" s="127"/>
      <c r="H54" s="48"/>
      <c r="I54" s="180"/>
      <c r="J54" s="180"/>
      <c r="K54" s="180"/>
      <c r="L54" s="848"/>
      <c r="M54" s="848"/>
      <c r="N54" s="848"/>
      <c r="O54" s="848"/>
      <c r="P54" s="848"/>
      <c r="Q54" s="60"/>
    </row>
    <row r="55" spans="1:31" ht="12" customHeight="1">
      <c r="A55" s="1578" t="s">
        <v>4073</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2739</v>
      </c>
      <c r="P59" s="1114"/>
      <c r="Q59" s="1119"/>
    </row>
    <row r="60" spans="1:31" ht="3" customHeight="1"/>
    <row r="61" spans="1:31" ht="12" customHeight="1">
      <c r="B61" s="55" t="s">
        <v>2862</v>
      </c>
      <c r="C61" s="195" t="s">
        <v>3462</v>
      </c>
      <c r="D61" s="183"/>
      <c r="E61" s="183"/>
      <c r="F61" s="183"/>
      <c r="G61" s="183"/>
      <c r="H61" s="183"/>
      <c r="I61" s="50"/>
      <c r="J61" s="50"/>
      <c r="K61" s="50"/>
      <c r="L61" s="803" t="s">
        <v>2862</v>
      </c>
      <c r="M61" s="1584" t="s">
        <v>4030</v>
      </c>
      <c r="N61" s="1585"/>
      <c r="O61" s="1585"/>
      <c r="P61" s="1587"/>
      <c r="Q61" s="232"/>
    </row>
    <row r="62" spans="1:31" ht="12" customHeight="1">
      <c r="B62" s="55" t="s">
        <v>2865</v>
      </c>
      <c r="C62" s="62" t="s">
        <v>2918</v>
      </c>
      <c r="D62" s="183"/>
      <c r="E62" s="183"/>
      <c r="F62" s="183"/>
      <c r="L62" s="803" t="s">
        <v>2865</v>
      </c>
      <c r="M62" s="1584" t="s">
        <v>4060</v>
      </c>
      <c r="N62" s="1585"/>
      <c r="O62" s="1585"/>
      <c r="P62" s="1587"/>
      <c r="Q62" s="232"/>
    </row>
    <row r="63" spans="1:31" ht="12" customHeight="1">
      <c r="B63" s="55" t="s">
        <v>1145</v>
      </c>
      <c r="C63" s="62" t="s">
        <v>3463</v>
      </c>
      <c r="D63" s="183"/>
      <c r="E63" s="183"/>
      <c r="F63" s="183"/>
      <c r="L63" s="803" t="s">
        <v>1145</v>
      </c>
      <c r="M63" s="1584" t="s">
        <v>4060</v>
      </c>
      <c r="N63" s="1585"/>
      <c r="O63" s="1585"/>
      <c r="P63" s="1587"/>
      <c r="Q63" s="352"/>
    </row>
    <row r="64" spans="1:31" ht="12" customHeight="1">
      <c r="B64" s="55" t="s">
        <v>3004</v>
      </c>
      <c r="C64" s="62" t="s">
        <v>3464</v>
      </c>
      <c r="D64" s="183"/>
      <c r="E64" s="183"/>
      <c r="F64" s="183"/>
      <c r="L64" s="803" t="s">
        <v>3004</v>
      </c>
      <c r="M64" s="1588" t="s">
        <v>4059</v>
      </c>
      <c r="N64" s="1585"/>
      <c r="O64" s="1585"/>
      <c r="P64" s="1587"/>
      <c r="Q64" s="232"/>
    </row>
    <row r="65" spans="1:31" ht="22.15" customHeight="1">
      <c r="B65" s="192" t="s">
        <v>2588</v>
      </c>
      <c r="C65" s="1118" t="s">
        <v>3869</v>
      </c>
      <c r="D65" s="1118"/>
      <c r="E65" s="1118"/>
      <c r="F65" s="1118"/>
      <c r="G65" s="1118"/>
      <c r="H65" s="1118"/>
      <c r="I65" s="1118"/>
      <c r="J65" s="1118"/>
      <c r="K65" s="1118"/>
      <c r="L65" s="1118"/>
      <c r="M65" s="853"/>
      <c r="O65" s="803" t="s">
        <v>2588</v>
      </c>
      <c r="P65" s="1574" t="s">
        <v>4006</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589"/>
      <c r="E67" s="1590" t="s">
        <v>4055</v>
      </c>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2589</v>
      </c>
      <c r="C69" s="62" t="s">
        <v>0</v>
      </c>
      <c r="D69" s="183"/>
      <c r="E69" s="183"/>
      <c r="F69" s="183"/>
      <c r="G69" s="183"/>
      <c r="H69" s="183"/>
      <c r="I69" s="50"/>
      <c r="J69" s="50"/>
      <c r="K69" s="183"/>
      <c r="L69" s="853"/>
      <c r="M69" s="853"/>
      <c r="O69" s="803" t="s">
        <v>2589</v>
      </c>
      <c r="P69" s="1591" t="s">
        <v>4006</v>
      </c>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578" t="s">
        <v>4046</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3793</v>
      </c>
      <c r="C74" s="857"/>
      <c r="D74" s="856"/>
      <c r="E74" s="856"/>
      <c r="F74" s="856"/>
      <c r="G74" s="856"/>
      <c r="H74" s="856"/>
      <c r="I74" s="856"/>
      <c r="J74" s="856"/>
      <c r="K74" s="856"/>
      <c r="L74" s="856"/>
      <c r="M74" s="856"/>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74" t="s">
        <v>4006</v>
      </c>
      <c r="Q76" s="232"/>
    </row>
    <row r="77" spans="1:31" ht="12" customHeight="1">
      <c r="B77" s="55" t="s">
        <v>2865</v>
      </c>
      <c r="C77" s="62" t="s">
        <v>1871</v>
      </c>
      <c r="D77" s="62"/>
      <c r="E77" s="62"/>
      <c r="F77" s="62"/>
      <c r="G77" s="62"/>
      <c r="H77" s="62"/>
      <c r="I77" s="62"/>
      <c r="J77" s="62"/>
      <c r="K77" s="62"/>
      <c r="L77" s="38"/>
      <c r="M77" s="38"/>
      <c r="O77" s="803" t="s">
        <v>2865</v>
      </c>
      <c r="P77" s="1574" t="s">
        <v>4006</v>
      </c>
      <c r="Q77" s="232"/>
    </row>
    <row r="78" spans="1:31" ht="12" customHeight="1">
      <c r="A78" s="182"/>
      <c r="B78" s="44"/>
      <c r="D78" s="47" t="s">
        <v>790</v>
      </c>
      <c r="E78" s="50"/>
      <c r="F78" s="50"/>
      <c r="G78" s="50"/>
      <c r="H78" s="50"/>
      <c r="I78" s="50"/>
      <c r="K78" s="47" t="s">
        <v>791</v>
      </c>
      <c r="M78" s="1592" t="s">
        <v>4031</v>
      </c>
      <c r="N78" s="1593"/>
      <c r="O78" s="1593"/>
      <c r="P78" s="1594"/>
      <c r="Q78" s="232"/>
    </row>
    <row r="79" spans="1:31" ht="22.9" customHeight="1">
      <c r="A79" s="194"/>
      <c r="B79" s="180"/>
      <c r="C79" s="201" t="s">
        <v>2590</v>
      </c>
      <c r="D79" s="1097" t="s">
        <v>638</v>
      </c>
      <c r="E79" s="1595"/>
      <c r="F79" s="1595"/>
      <c r="G79" s="1595"/>
      <c r="H79" s="1595"/>
      <c r="I79" s="1595"/>
      <c r="J79" s="1595"/>
      <c r="K79" s="1595"/>
      <c r="L79" s="1595"/>
      <c r="M79" s="1595"/>
      <c r="N79" s="1595"/>
      <c r="O79" s="201" t="s">
        <v>2590</v>
      </c>
      <c r="P79" s="1574" t="s">
        <v>4005</v>
      </c>
      <c r="Q79" s="232"/>
    </row>
    <row r="80" spans="1:31" ht="12" customHeight="1">
      <c r="A80" s="194"/>
      <c r="B80" s="180"/>
      <c r="C80" s="79" t="s">
        <v>2591</v>
      </c>
      <c r="D80" s="62" t="s">
        <v>171</v>
      </c>
      <c r="E80" s="62"/>
      <c r="F80" s="62"/>
      <c r="G80" s="62"/>
      <c r="H80" s="62"/>
      <c r="I80" s="62"/>
      <c r="J80" s="62"/>
      <c r="K80" s="62"/>
      <c r="L80" s="62"/>
      <c r="M80" s="62"/>
      <c r="O80" s="79" t="s">
        <v>2591</v>
      </c>
      <c r="P80" s="1574" t="s">
        <v>4005</v>
      </c>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4" t="s">
        <v>4005</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4006</v>
      </c>
      <c r="Q84" s="232"/>
    </row>
    <row r="85" spans="1:32" ht="12" customHeight="1">
      <c r="B85" s="55"/>
      <c r="C85" s="79" t="s">
        <v>2591</v>
      </c>
      <c r="D85" s="62" t="s">
        <v>2011</v>
      </c>
      <c r="E85" s="62"/>
      <c r="F85" s="62"/>
      <c r="G85" s="62"/>
      <c r="H85" s="62"/>
      <c r="I85" s="62"/>
      <c r="J85" s="62"/>
      <c r="K85" s="62"/>
      <c r="L85" s="38"/>
      <c r="M85" s="38"/>
      <c r="O85" s="79" t="s">
        <v>2591</v>
      </c>
      <c r="P85" s="1574" t="s">
        <v>4006</v>
      </c>
      <c r="Q85" s="232"/>
    </row>
    <row r="86" spans="1:32" ht="12" customHeight="1">
      <c r="B86" s="55"/>
      <c r="C86" s="79" t="s">
        <v>2592</v>
      </c>
      <c r="D86" s="62" t="s">
        <v>2012</v>
      </c>
      <c r="E86" s="62"/>
      <c r="F86" s="62"/>
      <c r="G86" s="62"/>
      <c r="H86" s="62"/>
      <c r="I86" s="62"/>
      <c r="J86" s="62"/>
      <c r="K86" s="62"/>
      <c r="L86" s="38"/>
      <c r="M86" s="38"/>
      <c r="O86" s="79" t="s">
        <v>2592</v>
      </c>
      <c r="P86" s="1574" t="s">
        <v>4005</v>
      </c>
      <c r="Q86" s="232"/>
    </row>
    <row r="87" spans="1:32" ht="11.25" customHeight="1">
      <c r="B87" s="191" t="s">
        <v>2737</v>
      </c>
      <c r="D87" s="191"/>
      <c r="E87" s="191"/>
      <c r="F87" s="191"/>
      <c r="G87" s="191"/>
      <c r="H87" s="48"/>
      <c r="I87" s="180"/>
      <c r="J87" s="180"/>
      <c r="K87" s="180"/>
      <c r="L87" s="848"/>
      <c r="M87" s="848"/>
      <c r="N87" s="848"/>
      <c r="O87" s="848"/>
      <c r="P87" s="848"/>
      <c r="Q87" s="60"/>
    </row>
    <row r="88" spans="1:32" ht="13.15" customHeight="1">
      <c r="A88" s="1578" t="s">
        <v>4074</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2739</v>
      </c>
      <c r="P92" s="1114"/>
      <c r="Q92" s="1119"/>
    </row>
    <row r="93" spans="1:32" ht="6.6" customHeight="1"/>
    <row r="94" spans="1:32" ht="12" customHeight="1">
      <c r="B94" s="55" t="s">
        <v>2862</v>
      </c>
      <c r="C94" s="62" t="s">
        <v>3936</v>
      </c>
      <c r="D94" s="183"/>
      <c r="E94" s="183"/>
      <c r="F94" s="183"/>
      <c r="G94" s="183"/>
      <c r="H94" s="183"/>
      <c r="I94" s="50"/>
      <c r="J94" s="50"/>
      <c r="K94" s="50"/>
      <c r="L94" s="803" t="s">
        <v>2862</v>
      </c>
      <c r="M94" s="1584" t="s">
        <v>4032</v>
      </c>
      <c r="N94" s="1585"/>
      <c r="O94" s="1585"/>
      <c r="P94" s="1586"/>
      <c r="Q94" s="232"/>
    </row>
    <row r="95" spans="1:32" ht="12" customHeight="1">
      <c r="B95" s="55" t="s">
        <v>2865</v>
      </c>
      <c r="C95" s="62" t="s">
        <v>2141</v>
      </c>
      <c r="D95" s="183"/>
      <c r="E95" s="183"/>
      <c r="F95" s="183"/>
      <c r="G95" s="183"/>
      <c r="H95" s="183"/>
      <c r="I95" s="50"/>
      <c r="J95" s="50"/>
      <c r="K95" s="183"/>
      <c r="L95" s="183"/>
      <c r="M95" s="853"/>
      <c r="O95" s="803" t="s">
        <v>2865</v>
      </c>
      <c r="P95" s="1574" t="s">
        <v>4005</v>
      </c>
      <c r="Q95" s="352"/>
    </row>
    <row r="96" spans="1:32" ht="12" customHeight="1">
      <c r="B96" s="55" t="s">
        <v>1145</v>
      </c>
      <c r="C96" s="62" t="s">
        <v>186</v>
      </c>
      <c r="D96" s="183"/>
      <c r="E96" s="183"/>
      <c r="F96" s="183"/>
      <c r="G96" s="183"/>
      <c r="H96" s="183"/>
      <c r="I96" s="50"/>
      <c r="J96" s="50"/>
      <c r="K96" s="183"/>
      <c r="L96" s="853"/>
      <c r="M96" s="853"/>
      <c r="O96" s="803" t="s">
        <v>1145</v>
      </c>
      <c r="P96" s="1574" t="s">
        <v>4006</v>
      </c>
      <c r="Q96" s="232"/>
    </row>
    <row r="97" spans="2:17" ht="12" customHeight="1">
      <c r="B97" s="55"/>
      <c r="C97" s="78" t="s">
        <v>2590</v>
      </c>
      <c r="D97" s="62" t="s">
        <v>3937</v>
      </c>
      <c r="E97" s="183"/>
      <c r="F97" s="183"/>
      <c r="G97" s="183"/>
      <c r="H97" s="183"/>
      <c r="I97" s="50"/>
      <c r="J97" s="50"/>
      <c r="K97" s="183"/>
      <c r="L97" s="79" t="s">
        <v>2590</v>
      </c>
      <c r="M97" s="1584" t="s">
        <v>4032</v>
      </c>
      <c r="N97" s="1585"/>
      <c r="O97" s="1585"/>
      <c r="P97" s="1586"/>
      <c r="Q97" s="352"/>
    </row>
    <row r="98" spans="2:17" ht="12" customHeight="1">
      <c r="B98" s="189"/>
      <c r="C98" s="79" t="s">
        <v>2591</v>
      </c>
      <c r="D98" s="44" t="s">
        <v>3644</v>
      </c>
      <c r="E98" s="50"/>
      <c r="F98" s="50"/>
      <c r="G98" s="50"/>
      <c r="H98" s="62"/>
      <c r="I98" s="50"/>
      <c r="J98" s="50"/>
      <c r="K98" s="183"/>
      <c r="L98" s="853"/>
      <c r="M98" s="853"/>
      <c r="O98" s="803" t="s">
        <v>2591</v>
      </c>
      <c r="P98" s="1591" t="s">
        <v>4048</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97" t="s">
        <v>4049</v>
      </c>
      <c r="E100" s="1598"/>
      <c r="F100" s="1598"/>
      <c r="G100" s="1598"/>
      <c r="H100" s="1598"/>
      <c r="I100" s="1598"/>
      <c r="J100" s="1598"/>
      <c r="K100" s="1598"/>
      <c r="L100" s="1598"/>
      <c r="M100" s="1598"/>
      <c r="N100" s="1598"/>
      <c r="O100" s="1599"/>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1574" t="s">
        <v>4005</v>
      </c>
      <c r="Q102" s="232"/>
    </row>
    <row r="103" spans="2:17" ht="12" customHeight="1">
      <c r="B103" s="55"/>
      <c r="C103" s="79" t="s">
        <v>2591</v>
      </c>
      <c r="D103" s="62" t="s">
        <v>1816</v>
      </c>
      <c r="E103" s="183"/>
      <c r="F103" s="183"/>
      <c r="G103" s="183"/>
      <c r="H103" s="50"/>
      <c r="I103" s="50"/>
      <c r="J103" s="50"/>
      <c r="K103" s="183"/>
      <c r="L103" s="853"/>
      <c r="M103" s="853"/>
      <c r="O103" s="79" t="s">
        <v>2591</v>
      </c>
      <c r="P103" s="1591" t="s">
        <v>4005</v>
      </c>
      <c r="Q103" s="352"/>
    </row>
    <row r="104" spans="2:17" ht="12" customHeight="1">
      <c r="B104" s="55"/>
      <c r="C104" s="79"/>
      <c r="D104" s="62" t="s">
        <v>3764</v>
      </c>
      <c r="E104" s="728" t="s">
        <v>3419</v>
      </c>
      <c r="F104" s="62" t="s">
        <v>3765</v>
      </c>
      <c r="G104" s="50"/>
      <c r="H104" s="62"/>
      <c r="I104" s="50"/>
      <c r="J104" s="50"/>
      <c r="K104" s="183"/>
      <c r="L104" s="853"/>
      <c r="M104" s="853"/>
      <c r="O104" s="728" t="s">
        <v>3419</v>
      </c>
      <c r="P104" s="1600"/>
      <c r="Q104" s="448"/>
    </row>
    <row r="105" spans="2:17" ht="12" customHeight="1">
      <c r="B105" s="55"/>
      <c r="C105" s="79"/>
      <c r="E105" s="728" t="s">
        <v>3420</v>
      </c>
      <c r="F105" s="62" t="s">
        <v>3766</v>
      </c>
      <c r="G105" s="50"/>
      <c r="H105" s="62"/>
      <c r="I105" s="50"/>
      <c r="J105" s="50"/>
      <c r="K105" s="183"/>
      <c r="L105" s="853"/>
      <c r="M105" s="853"/>
      <c r="O105" s="728" t="s">
        <v>3420</v>
      </c>
      <c r="P105" s="1591"/>
      <c r="Q105" s="352"/>
    </row>
    <row r="106" spans="2:17" ht="12" customHeight="1">
      <c r="B106" s="55"/>
      <c r="C106" s="79"/>
      <c r="E106" s="728" t="s">
        <v>3421</v>
      </c>
      <c r="F106" s="62" t="s">
        <v>3767</v>
      </c>
      <c r="G106" s="50"/>
      <c r="H106" s="62"/>
      <c r="I106" s="50"/>
      <c r="J106" s="50"/>
      <c r="K106" s="183"/>
      <c r="L106" s="853"/>
      <c r="M106" s="853"/>
      <c r="O106" s="728" t="s">
        <v>3421</v>
      </c>
      <c r="P106" s="1591"/>
      <c r="Q106" s="352"/>
    </row>
    <row r="107" spans="2:17" ht="12" customHeight="1">
      <c r="B107" s="55"/>
      <c r="C107" s="79" t="s">
        <v>2592</v>
      </c>
      <c r="D107" s="62" t="s">
        <v>1817</v>
      </c>
      <c r="E107" s="183"/>
      <c r="F107" s="183"/>
      <c r="G107" s="183"/>
      <c r="H107" s="62"/>
      <c r="I107" s="50"/>
      <c r="J107" s="50"/>
      <c r="K107" s="183"/>
      <c r="L107" s="853"/>
      <c r="M107" s="853"/>
      <c r="O107" s="79" t="s">
        <v>2592</v>
      </c>
      <c r="P107" s="1574" t="s">
        <v>4006</v>
      </c>
      <c r="Q107" s="232"/>
    </row>
    <row r="108" spans="2:17" ht="12" customHeight="1">
      <c r="B108" s="55"/>
      <c r="C108" s="79"/>
      <c r="D108" s="62" t="s">
        <v>3764</v>
      </c>
      <c r="E108" s="728" t="s">
        <v>3419</v>
      </c>
      <c r="F108" s="62" t="s">
        <v>3768</v>
      </c>
      <c r="G108" s="50"/>
      <c r="H108" s="62"/>
      <c r="I108" s="50"/>
      <c r="J108" s="50"/>
      <c r="K108" s="183"/>
      <c r="L108" s="853"/>
      <c r="O108" s="728" t="s">
        <v>3419</v>
      </c>
      <c r="P108" s="1600">
        <v>0.26919999999999999</v>
      </c>
      <c r="Q108" s="353"/>
    </row>
    <row r="109" spans="2:17" ht="12" customHeight="1">
      <c r="B109" s="55"/>
      <c r="C109" s="79"/>
      <c r="E109" s="728" t="s">
        <v>3420</v>
      </c>
      <c r="F109" s="62" t="s">
        <v>3769</v>
      </c>
      <c r="G109" s="50"/>
      <c r="H109" s="62"/>
      <c r="I109" s="50"/>
      <c r="J109" s="50"/>
      <c r="K109" s="183"/>
      <c r="L109" s="853"/>
      <c r="O109" s="728" t="s">
        <v>3420</v>
      </c>
      <c r="P109" s="1591" t="s">
        <v>4005</v>
      </c>
      <c r="Q109" s="352"/>
    </row>
    <row r="110" spans="2:17" ht="12" customHeight="1">
      <c r="B110" s="55"/>
      <c r="C110" s="79"/>
      <c r="E110" s="728" t="s">
        <v>3421</v>
      </c>
      <c r="F110" s="62" t="s">
        <v>3767</v>
      </c>
      <c r="G110" s="50"/>
      <c r="H110" s="62"/>
      <c r="I110" s="50"/>
      <c r="J110" s="50"/>
      <c r="K110" s="183"/>
      <c r="L110" s="853"/>
      <c r="O110" s="728" t="s">
        <v>3421</v>
      </c>
      <c r="P110" s="1591" t="s">
        <v>4006</v>
      </c>
      <c r="Q110" s="352"/>
    </row>
    <row r="111" spans="2:17" ht="12" customHeight="1">
      <c r="B111" s="44"/>
      <c r="C111" s="79" t="s">
        <v>3331</v>
      </c>
      <c r="D111" s="62" t="s">
        <v>3770</v>
      </c>
      <c r="E111" s="183"/>
      <c r="F111" s="183"/>
      <c r="G111" s="183"/>
      <c r="H111" s="183"/>
      <c r="I111" s="50"/>
      <c r="J111" s="50"/>
      <c r="K111" s="183"/>
      <c r="L111" s="853"/>
      <c r="M111" s="853"/>
      <c r="O111" s="79" t="s">
        <v>3331</v>
      </c>
      <c r="P111" s="1574" t="s">
        <v>4005</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74" t="s">
        <v>4006</v>
      </c>
      <c r="G113" s="232"/>
      <c r="H113" s="79" t="s">
        <v>3331</v>
      </c>
      <c r="I113" s="62" t="s">
        <v>2156</v>
      </c>
      <c r="J113" s="1574" t="s">
        <v>4005</v>
      </c>
      <c r="K113" s="232"/>
      <c r="L113" s="803" t="s">
        <v>107</v>
      </c>
      <c r="M113" s="62" t="s">
        <v>2157</v>
      </c>
      <c r="O113" s="1574" t="s">
        <v>4005</v>
      </c>
      <c r="P113" s="232"/>
    </row>
    <row r="114" spans="1:31" ht="12" customHeight="1">
      <c r="B114" s="44"/>
      <c r="C114" s="79" t="s">
        <v>2591</v>
      </c>
      <c r="D114" s="62" t="s">
        <v>3502</v>
      </c>
      <c r="E114" s="183"/>
      <c r="F114" s="1574" t="s">
        <v>4006</v>
      </c>
      <c r="G114" s="232"/>
      <c r="H114" s="79" t="s">
        <v>2153</v>
      </c>
      <c r="I114" s="62" t="s">
        <v>3772</v>
      </c>
      <c r="J114" s="1601" t="s">
        <v>4005</v>
      </c>
      <c r="K114" s="663"/>
      <c r="L114" s="803" t="s">
        <v>743</v>
      </c>
      <c r="M114" s="65" t="s">
        <v>3773</v>
      </c>
      <c r="O114" s="1601" t="s">
        <v>4005</v>
      </c>
      <c r="P114" s="663"/>
    </row>
    <row r="115" spans="1:31" ht="12" customHeight="1">
      <c r="B115" s="44"/>
      <c r="C115" s="79" t="s">
        <v>2592</v>
      </c>
      <c r="D115" s="62" t="s">
        <v>3771</v>
      </c>
      <c r="E115" s="183"/>
      <c r="F115" s="1574" t="s">
        <v>4005</v>
      </c>
      <c r="G115" s="232"/>
      <c r="H115" s="79" t="s">
        <v>2154</v>
      </c>
      <c r="I115" s="62" t="s">
        <v>2155</v>
      </c>
      <c r="J115" s="1601" t="s">
        <v>4005</v>
      </c>
      <c r="K115" s="663"/>
      <c r="L115" s="803" t="s">
        <v>744</v>
      </c>
      <c r="M115" s="65" t="s">
        <v>3774</v>
      </c>
      <c r="O115" s="1601" t="s">
        <v>4005</v>
      </c>
      <c r="P115" s="663"/>
    </row>
    <row r="116" spans="1:31" ht="12" customHeight="1">
      <c r="B116" s="44"/>
      <c r="C116" s="803" t="s">
        <v>745</v>
      </c>
      <c r="D116" s="62" t="s">
        <v>3775</v>
      </c>
      <c r="E116" s="183"/>
      <c r="F116" s="183"/>
      <c r="G116" s="183"/>
      <c r="H116" s="183"/>
      <c r="J116" s="1584" t="s">
        <v>4050</v>
      </c>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3"/>
      <c r="O117" s="803" t="s">
        <v>2589</v>
      </c>
      <c r="P117" s="1574" t="s">
        <v>1469</v>
      </c>
      <c r="Q117" s="232"/>
    </row>
    <row r="118" spans="1:31" ht="12" customHeight="1">
      <c r="A118" s="194"/>
      <c r="B118" s="50"/>
      <c r="C118" s="79" t="s">
        <v>2590</v>
      </c>
      <c r="D118" s="62" t="s">
        <v>995</v>
      </c>
      <c r="E118" s="183"/>
      <c r="F118" s="183"/>
      <c r="G118" s="183"/>
      <c r="H118" s="183"/>
      <c r="O118" s="79" t="s">
        <v>2590</v>
      </c>
      <c r="P118" s="1574"/>
      <c r="Q118" s="232"/>
    </row>
    <row r="119" spans="1:31" ht="12" customHeight="1">
      <c r="A119" s="194"/>
      <c r="B119" s="180"/>
      <c r="C119" s="79" t="s">
        <v>2591</v>
      </c>
      <c r="D119" s="62" t="s">
        <v>681</v>
      </c>
      <c r="E119" s="62"/>
      <c r="F119" s="62"/>
      <c r="G119" s="62"/>
      <c r="H119" s="62"/>
      <c r="I119" s="50"/>
      <c r="J119" s="50"/>
      <c r="K119" s="62"/>
      <c r="L119" s="62"/>
      <c r="M119" s="62"/>
      <c r="O119" s="79" t="s">
        <v>2591</v>
      </c>
      <c r="P119" s="1574"/>
      <c r="Q119" s="232"/>
    </row>
    <row r="120" spans="1:31" ht="12" customHeight="1">
      <c r="A120" s="194"/>
      <c r="B120" s="180"/>
      <c r="C120" s="79" t="s">
        <v>2592</v>
      </c>
      <c r="D120" s="62" t="s">
        <v>951</v>
      </c>
      <c r="E120" s="62"/>
      <c r="F120" s="62"/>
      <c r="G120" s="62"/>
      <c r="H120" s="62"/>
      <c r="I120" s="50"/>
      <c r="J120" s="50"/>
      <c r="K120" s="62"/>
      <c r="L120" s="62"/>
      <c r="M120" s="62"/>
      <c r="O120" s="79" t="s">
        <v>2592</v>
      </c>
      <c r="P120" s="1574"/>
      <c r="Q120" s="232"/>
    </row>
    <row r="121" spans="1:31" ht="12" customHeight="1">
      <c r="B121" s="55" t="s">
        <v>2825</v>
      </c>
      <c r="C121" s="62" t="s">
        <v>2607</v>
      </c>
      <c r="D121" s="183"/>
      <c r="E121" s="183"/>
      <c r="F121" s="183"/>
      <c r="G121" s="183"/>
      <c r="H121" s="183"/>
      <c r="I121" s="50"/>
      <c r="J121" s="50"/>
      <c r="K121" s="183"/>
      <c r="L121" s="183"/>
      <c r="M121" s="853"/>
      <c r="O121" s="803" t="s">
        <v>2825</v>
      </c>
      <c r="P121" s="1574" t="s">
        <v>1469</v>
      </c>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12" customHeight="1">
      <c r="A124" s="1578" t="s">
        <v>4075</v>
      </c>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2739</v>
      </c>
      <c r="P128" s="1114"/>
      <c r="Q128" s="1119"/>
    </row>
    <row r="129" spans="1:31" ht="10.9" customHeight="1">
      <c r="B129" s="55" t="s">
        <v>2862</v>
      </c>
      <c r="C129" s="62" t="s">
        <v>3776</v>
      </c>
      <c r="D129" s="62"/>
      <c r="E129" s="62"/>
      <c r="F129" s="62"/>
      <c r="G129" s="62"/>
      <c r="H129" s="62"/>
      <c r="N129" s="62"/>
      <c r="O129" s="803" t="s">
        <v>2862</v>
      </c>
      <c r="P129" s="1574" t="s">
        <v>4006</v>
      </c>
      <c r="Q129" s="232"/>
    </row>
    <row r="130" spans="1:31" ht="12" customHeight="1">
      <c r="A130" s="189"/>
      <c r="B130" s="55" t="s">
        <v>2865</v>
      </c>
      <c r="C130" s="190" t="s">
        <v>185</v>
      </c>
      <c r="D130" s="190"/>
      <c r="E130" s="190"/>
      <c r="F130" s="190"/>
      <c r="G130" s="190"/>
      <c r="H130" s="190"/>
      <c r="M130" s="803" t="s">
        <v>2865</v>
      </c>
      <c r="N130" s="1602" t="s">
        <v>4033</v>
      </c>
      <c r="O130" s="1603"/>
      <c r="P130" s="1130"/>
      <c r="Q130" s="1131"/>
    </row>
    <row r="131" spans="1:31" ht="12" customHeight="1">
      <c r="A131" s="189"/>
      <c r="B131" s="55" t="s">
        <v>1145</v>
      </c>
      <c r="C131" s="190" t="s">
        <v>952</v>
      </c>
      <c r="D131" s="190"/>
      <c r="E131" s="190"/>
      <c r="F131" s="190"/>
      <c r="G131" s="190"/>
      <c r="H131" s="190"/>
      <c r="J131" s="803" t="s">
        <v>1145</v>
      </c>
      <c r="K131" s="1604" t="s">
        <v>4020</v>
      </c>
      <c r="L131" s="1605"/>
      <c r="M131" s="1605"/>
      <c r="N131" s="1605"/>
      <c r="O131" s="1605"/>
      <c r="P131" s="1606"/>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578" t="s">
        <v>4076</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74" t="s">
        <v>4006</v>
      </c>
      <c r="Q138" s="232"/>
    </row>
    <row r="139" spans="1:31" ht="22.15" customHeight="1">
      <c r="B139" s="192" t="s">
        <v>2865</v>
      </c>
      <c r="C139" s="1118" t="s">
        <v>3518</v>
      </c>
      <c r="D139" s="1118"/>
      <c r="E139" s="1118"/>
      <c r="F139" s="1118"/>
      <c r="G139" s="1118"/>
      <c r="H139" s="1118"/>
      <c r="I139" s="1118"/>
      <c r="J139" s="1118"/>
      <c r="K139" s="1118"/>
      <c r="L139" s="1118"/>
      <c r="M139" s="1118"/>
      <c r="N139" s="1118"/>
      <c r="O139" s="219" t="s">
        <v>2865</v>
      </c>
      <c r="P139" s="1574" t="s">
        <v>4005</v>
      </c>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74" t="s">
        <v>4005</v>
      </c>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11.45" customHeight="1">
      <c r="A142" s="1578" t="s">
        <v>4077</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3797</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74" t="s">
        <v>4006</v>
      </c>
      <c r="Q147" s="232"/>
    </row>
    <row r="148" spans="1:32" ht="12" customHeight="1">
      <c r="B148" s="192" t="s">
        <v>2865</v>
      </c>
      <c r="C148" s="197" t="s">
        <v>3779</v>
      </c>
      <c r="D148" s="197"/>
      <c r="E148" s="197"/>
      <c r="F148" s="197"/>
      <c r="G148" s="197"/>
      <c r="H148" s="197"/>
      <c r="I148" s="197"/>
      <c r="J148" s="197"/>
      <c r="K148" s="197"/>
      <c r="L148" s="197"/>
      <c r="M148" s="197"/>
      <c r="O148" s="219" t="s">
        <v>2865</v>
      </c>
      <c r="P148" s="1574" t="s">
        <v>4006</v>
      </c>
      <c r="Q148" s="232"/>
    </row>
    <row r="149" spans="1:32" ht="12" customHeight="1">
      <c r="B149" s="192" t="s">
        <v>1145</v>
      </c>
      <c r="C149" s="197" t="s">
        <v>3780</v>
      </c>
      <c r="D149" s="197"/>
      <c r="E149" s="197"/>
      <c r="F149" s="197"/>
      <c r="G149" s="197"/>
      <c r="H149" s="197"/>
      <c r="I149" s="197"/>
      <c r="J149" s="197"/>
      <c r="K149" s="197"/>
      <c r="L149" s="197"/>
      <c r="M149" s="197"/>
      <c r="O149" s="219" t="s">
        <v>1145</v>
      </c>
      <c r="P149" s="1574" t="s">
        <v>4006</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4" t="s">
        <v>4006</v>
      </c>
      <c r="Q150" s="232"/>
    </row>
    <row r="151" spans="1:32" ht="12" customHeight="1">
      <c r="B151" s="192"/>
      <c r="C151" s="197"/>
      <c r="D151" s="197"/>
      <c r="E151" s="728" t="s">
        <v>2591</v>
      </c>
      <c r="F151" s="197" t="s">
        <v>3782</v>
      </c>
      <c r="G151" s="197"/>
      <c r="H151" s="197"/>
      <c r="I151" s="197"/>
      <c r="J151" s="197"/>
      <c r="K151" s="197"/>
      <c r="L151" s="197"/>
      <c r="M151" s="197"/>
      <c r="O151" s="728" t="s">
        <v>2591</v>
      </c>
      <c r="P151" s="1574" t="s">
        <v>4006</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596" t="s">
        <v>4006</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4" t="s">
        <v>4006</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596" t="s">
        <v>4006</v>
      </c>
      <c r="Q154" s="354"/>
      <c r="AE154" s="806"/>
      <c r="AF154" s="806"/>
    </row>
    <row r="155" spans="1:32" ht="21.75" customHeight="1">
      <c r="B155" s="192" t="s">
        <v>3004</v>
      </c>
      <c r="C155" s="1118" t="s">
        <v>3786</v>
      </c>
      <c r="D155" s="1118"/>
      <c r="E155" s="1118"/>
      <c r="F155" s="1118"/>
      <c r="G155" s="1118"/>
      <c r="H155" s="1118"/>
      <c r="I155" s="1118"/>
      <c r="J155" s="1118"/>
      <c r="K155" s="1118"/>
      <c r="L155" s="1118"/>
      <c r="M155" s="1118"/>
      <c r="N155" s="1118"/>
      <c r="O155" s="219" t="s">
        <v>3004</v>
      </c>
      <c r="P155" s="1574" t="s">
        <v>4006</v>
      </c>
      <c r="Q155" s="232"/>
    </row>
    <row r="156" spans="1:32" ht="12" customHeight="1">
      <c r="B156" s="192" t="s">
        <v>2588</v>
      </c>
      <c r="C156" s="197" t="s">
        <v>3352</v>
      </c>
      <c r="D156" s="197"/>
      <c r="E156" s="197"/>
      <c r="F156" s="197"/>
      <c r="G156" s="197"/>
      <c r="H156" s="197"/>
      <c r="I156" s="197"/>
      <c r="J156" s="197"/>
      <c r="K156" s="197"/>
      <c r="L156" s="197"/>
      <c r="M156" s="197"/>
      <c r="O156" s="219" t="s">
        <v>2588</v>
      </c>
      <c r="P156" s="1574" t="s">
        <v>4006</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11.45" customHeight="1">
      <c r="A158" s="1578"/>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584" t="s">
        <v>2710</v>
      </c>
      <c r="K163" s="1585"/>
      <c r="L163" s="1585"/>
      <c r="M163" s="1585"/>
      <c r="N163" s="1586"/>
      <c r="O163" s="79" t="s">
        <v>2590</v>
      </c>
      <c r="P163" s="1574" t="s">
        <v>4005</v>
      </c>
      <c r="Q163" s="232"/>
    </row>
    <row r="164" spans="1:31" ht="12" customHeight="1">
      <c r="A164" s="189"/>
      <c r="B164" s="180"/>
      <c r="C164" s="143"/>
      <c r="D164" s="143"/>
      <c r="E164" s="143"/>
      <c r="F164" s="143"/>
      <c r="H164" s="79" t="s">
        <v>2591</v>
      </c>
      <c r="I164" s="62" t="s">
        <v>2204</v>
      </c>
      <c r="J164" s="1584" t="s">
        <v>4034</v>
      </c>
      <c r="K164" s="1585"/>
      <c r="L164" s="1585"/>
      <c r="M164" s="1585"/>
      <c r="N164" s="1586"/>
      <c r="O164" s="79" t="s">
        <v>2591</v>
      </c>
      <c r="P164" s="1574" t="s">
        <v>4006</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578"/>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4" t="s">
        <v>4005</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c r="Q173" s="232"/>
    </row>
    <row r="174" spans="1:31" ht="11.45" customHeight="1">
      <c r="A174" s="189"/>
      <c r="B174" s="192" t="s">
        <v>2865</v>
      </c>
      <c r="C174" s="1118" t="s">
        <v>2720</v>
      </c>
      <c r="D174" s="1118"/>
      <c r="E174" s="1118"/>
      <c r="F174" s="1118"/>
      <c r="G174" s="1118"/>
      <c r="H174" s="79" t="s">
        <v>2590</v>
      </c>
      <c r="I174" s="62" t="s">
        <v>894</v>
      </c>
      <c r="J174" s="1584" t="s">
        <v>4035</v>
      </c>
      <c r="K174" s="1585"/>
      <c r="L174" s="1585"/>
      <c r="M174" s="1585"/>
      <c r="N174" s="1586"/>
      <c r="O174" s="79" t="s">
        <v>2030</v>
      </c>
      <c r="P174" s="1574" t="s">
        <v>4006</v>
      </c>
      <c r="Q174" s="232"/>
    </row>
    <row r="175" spans="1:31" ht="11.45" customHeight="1">
      <c r="A175" s="189"/>
      <c r="B175" s="859"/>
      <c r="C175" s="1118"/>
      <c r="D175" s="1118"/>
      <c r="E175" s="1118"/>
      <c r="F175" s="1118"/>
      <c r="G175" s="1118"/>
      <c r="H175" s="79" t="s">
        <v>2591</v>
      </c>
      <c r="I175" s="62" t="s">
        <v>125</v>
      </c>
      <c r="J175" s="1584" t="s">
        <v>4035</v>
      </c>
      <c r="K175" s="1585"/>
      <c r="L175" s="1585"/>
      <c r="M175" s="1585"/>
      <c r="N175" s="1586"/>
      <c r="O175" s="79" t="s">
        <v>2591</v>
      </c>
      <c r="P175" s="1574" t="s">
        <v>4006</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578" t="s">
        <v>4078</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4" t="s">
        <v>4006</v>
      </c>
      <c r="Q183" s="232"/>
    </row>
    <row r="184" spans="1:32" ht="11.45" customHeight="1">
      <c r="B184" s="55" t="s">
        <v>2865</v>
      </c>
      <c r="C184" s="62" t="s">
        <v>176</v>
      </c>
      <c r="D184" s="62"/>
      <c r="E184" s="62"/>
      <c r="F184" s="62"/>
      <c r="G184" s="62"/>
      <c r="H184" s="62"/>
      <c r="I184" s="50"/>
      <c r="J184" s="50"/>
      <c r="K184" s="50"/>
      <c r="L184" s="190"/>
      <c r="M184" s="190"/>
      <c r="O184" s="219" t="s">
        <v>2865</v>
      </c>
      <c r="P184" s="1574" t="s">
        <v>4006</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4006</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4" t="s">
        <v>4006</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13.15" customHeight="1">
      <c r="A188" s="1578" t="s">
        <v>4058</v>
      </c>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2739</v>
      </c>
      <c r="P193" s="1114"/>
      <c r="Q193" s="1119"/>
    </row>
    <row r="194" spans="1:32" s="31" customFormat="1" ht="11.45" customHeight="1">
      <c r="B194" s="195" t="s">
        <v>1716</v>
      </c>
      <c r="N194" s="166"/>
      <c r="P194" s="1574" t="s">
        <v>4005</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4" t="s">
        <v>768</v>
      </c>
      <c r="N196" s="1585"/>
      <c r="O196" s="1586"/>
      <c r="P196" s="1574" t="s">
        <v>4029</v>
      </c>
      <c r="Q196" s="232"/>
    </row>
    <row r="197" spans="1:32" ht="11.45" customHeight="1">
      <c r="B197" s="55"/>
      <c r="C197" s="79" t="s">
        <v>2591</v>
      </c>
      <c r="D197" s="38" t="s">
        <v>180</v>
      </c>
      <c r="E197" s="38"/>
      <c r="F197" s="38"/>
      <c r="G197" s="38"/>
      <c r="H197" s="38"/>
      <c r="I197" s="50"/>
      <c r="J197" s="50"/>
      <c r="K197" s="50"/>
      <c r="L197" s="79" t="s">
        <v>2082</v>
      </c>
      <c r="M197" s="1584" t="s">
        <v>4036</v>
      </c>
      <c r="N197" s="1585"/>
      <c r="O197" s="1586"/>
      <c r="P197" s="1574" t="s">
        <v>4029</v>
      </c>
      <c r="Q197" s="232"/>
    </row>
    <row r="198" spans="1:32" ht="11.45" customHeight="1">
      <c r="B198" s="55"/>
      <c r="C198" s="79" t="s">
        <v>2592</v>
      </c>
      <c r="D198" s="38" t="s">
        <v>796</v>
      </c>
      <c r="E198" s="38"/>
      <c r="F198" s="38"/>
      <c r="G198" s="38"/>
      <c r="H198" s="38"/>
      <c r="I198" s="50"/>
      <c r="J198" s="50"/>
      <c r="K198" s="50"/>
      <c r="L198" s="79" t="s">
        <v>2083</v>
      </c>
      <c r="M198" s="1607" t="s">
        <v>4037</v>
      </c>
      <c r="N198" s="1608"/>
      <c r="O198" s="1609"/>
      <c r="P198" s="1574" t="s">
        <v>4029</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4" t="s">
        <v>4029</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4038</v>
      </c>
      <c r="E203" s="1611"/>
      <c r="F203" s="1611"/>
      <c r="G203" s="1611"/>
      <c r="H203" s="1612"/>
      <c r="I203" s="447"/>
      <c r="J203" s="292"/>
      <c r="K203" s="79" t="s">
        <v>2592</v>
      </c>
      <c r="L203" s="1610"/>
      <c r="M203" s="1611"/>
      <c r="N203" s="1611"/>
      <c r="O203" s="1612"/>
      <c r="P203" s="355"/>
      <c r="Q203" s="292"/>
      <c r="AE203" s="64"/>
      <c r="AF203" s="64"/>
    </row>
    <row r="204" spans="1:32" s="51" customFormat="1" ht="11.45" customHeight="1">
      <c r="A204" s="126"/>
      <c r="B204" s="61"/>
      <c r="C204" s="79" t="s">
        <v>2591</v>
      </c>
      <c r="D204" s="1613" t="s">
        <v>2486</v>
      </c>
      <c r="E204" s="1614"/>
      <c r="F204" s="1614"/>
      <c r="G204" s="1614"/>
      <c r="H204" s="1615"/>
      <c r="I204" s="652"/>
      <c r="J204" s="293"/>
      <c r="K204" s="79" t="s">
        <v>3331</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4029</v>
      </c>
      <c r="Q206" s="232"/>
    </row>
    <row r="207" spans="1:32" ht="11.45" customHeight="1">
      <c r="B207" s="55"/>
      <c r="C207" s="79" t="s">
        <v>2590</v>
      </c>
      <c r="D207" s="62" t="s">
        <v>188</v>
      </c>
      <c r="E207" s="62"/>
      <c r="F207" s="62"/>
      <c r="G207" s="62"/>
      <c r="H207" s="62"/>
      <c r="I207" s="50"/>
      <c r="J207" s="40"/>
      <c r="K207" s="50"/>
      <c r="L207" s="40"/>
      <c r="M207" s="40"/>
      <c r="O207" s="79" t="s">
        <v>2590</v>
      </c>
      <c r="P207" s="1574" t="s">
        <v>4006</v>
      </c>
      <c r="Q207" s="232"/>
    </row>
    <row r="208" spans="1:32" ht="11.45" customHeight="1">
      <c r="C208" s="79" t="s">
        <v>2591</v>
      </c>
      <c r="D208" s="38" t="s">
        <v>2490</v>
      </c>
      <c r="E208" s="38"/>
      <c r="F208" s="38"/>
      <c r="G208" s="38"/>
      <c r="H208" s="38"/>
      <c r="I208" s="50"/>
      <c r="J208" s="40"/>
      <c r="K208" s="50"/>
      <c r="L208" s="40"/>
      <c r="M208" s="40"/>
      <c r="O208" s="79" t="s">
        <v>2591</v>
      </c>
      <c r="P208" s="1574" t="s">
        <v>4006</v>
      </c>
      <c r="Q208" s="232"/>
    </row>
    <row r="209" spans="1:31" ht="11.45" customHeight="1">
      <c r="C209" s="79" t="s">
        <v>2592</v>
      </c>
      <c r="D209" s="38" t="s">
        <v>2107</v>
      </c>
      <c r="E209" s="38"/>
      <c r="F209" s="38"/>
      <c r="G209" s="38"/>
      <c r="H209" s="38"/>
      <c r="I209" s="50"/>
      <c r="J209" s="40"/>
      <c r="K209" s="50"/>
      <c r="L209" s="40"/>
      <c r="M209" s="40"/>
      <c r="O209" s="79" t="s">
        <v>2592</v>
      </c>
      <c r="P209" s="1574" t="s">
        <v>4006</v>
      </c>
      <c r="Q209" s="232"/>
    </row>
    <row r="210" spans="1:31" ht="11.45" customHeight="1">
      <c r="B210" s="55"/>
      <c r="C210" s="79" t="s">
        <v>3331</v>
      </c>
      <c r="D210" s="38" t="s">
        <v>189</v>
      </c>
      <c r="E210" s="38"/>
      <c r="F210" s="38"/>
      <c r="G210" s="38"/>
      <c r="H210" s="38"/>
      <c r="I210" s="50"/>
      <c r="J210" s="40"/>
      <c r="K210" s="50"/>
      <c r="L210" s="40"/>
      <c r="M210" s="40"/>
      <c r="O210" s="79" t="s">
        <v>3331</v>
      </c>
      <c r="P210" s="1574" t="s">
        <v>4006</v>
      </c>
      <c r="Q210" s="232"/>
    </row>
    <row r="211" spans="1:31" ht="11.45" customHeight="1">
      <c r="B211" s="55"/>
      <c r="C211" s="79" t="s">
        <v>2153</v>
      </c>
      <c r="D211" s="62" t="s">
        <v>1256</v>
      </c>
      <c r="E211" s="62"/>
      <c r="F211" s="62"/>
      <c r="G211" s="62"/>
      <c r="H211" s="62"/>
      <c r="I211" s="50"/>
      <c r="J211" s="40"/>
      <c r="K211" s="50"/>
      <c r="L211" s="40"/>
      <c r="M211" s="40"/>
      <c r="O211" s="79" t="s">
        <v>1257</v>
      </c>
      <c r="P211" s="1574" t="s">
        <v>4006</v>
      </c>
      <c r="Q211" s="232"/>
    </row>
    <row r="212" spans="1:31" ht="11.45" customHeight="1">
      <c r="B212" s="55"/>
      <c r="C212" s="79"/>
      <c r="D212" s="62" t="s">
        <v>2084</v>
      </c>
      <c r="E212" s="62"/>
      <c r="F212" s="62"/>
      <c r="G212" s="62"/>
      <c r="H212" s="62"/>
      <c r="I212" s="50"/>
      <c r="J212" s="40"/>
      <c r="K212" s="50"/>
      <c r="L212" s="40"/>
      <c r="M212" s="40"/>
      <c r="O212" s="79" t="s">
        <v>1258</v>
      </c>
      <c r="P212" s="1574" t="s">
        <v>4005</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4" t="s">
        <v>4029</v>
      </c>
      <c r="Q214" s="232"/>
    </row>
    <row r="215" spans="1:31" ht="11.45" customHeight="1">
      <c r="B215" s="55"/>
      <c r="C215" s="79" t="s">
        <v>2590</v>
      </c>
      <c r="D215" s="47" t="s">
        <v>1807</v>
      </c>
      <c r="E215" s="50"/>
      <c r="F215" s="50"/>
      <c r="G215" s="47"/>
      <c r="H215" s="38"/>
      <c r="I215" s="50"/>
      <c r="J215" s="38"/>
      <c r="K215" s="50"/>
      <c r="L215" s="38"/>
      <c r="M215" s="38"/>
      <c r="O215" s="79" t="s">
        <v>2590</v>
      </c>
      <c r="P215" s="1574" t="s">
        <v>4006</v>
      </c>
      <c r="Q215" s="232"/>
    </row>
    <row r="216" spans="1:31" ht="11.45" customHeight="1">
      <c r="B216" s="55"/>
      <c r="C216" s="79" t="s">
        <v>2591</v>
      </c>
      <c r="D216" s="47" t="s">
        <v>181</v>
      </c>
      <c r="E216" s="50"/>
      <c r="F216" s="50"/>
      <c r="G216" s="38"/>
      <c r="H216" s="38"/>
      <c r="I216" s="50"/>
      <c r="J216" s="38"/>
      <c r="K216" s="50"/>
      <c r="L216" s="38"/>
      <c r="M216" s="38"/>
      <c r="O216" s="79" t="s">
        <v>2591</v>
      </c>
      <c r="P216" s="1574" t="s">
        <v>4006</v>
      </c>
      <c r="Q216" s="232"/>
    </row>
    <row r="217" spans="1:31" ht="11.45" customHeight="1">
      <c r="B217" s="55"/>
      <c r="C217" s="79" t="s">
        <v>2592</v>
      </c>
      <c r="D217" s="38" t="s">
        <v>2468</v>
      </c>
      <c r="E217" s="50"/>
      <c r="F217" s="50"/>
      <c r="G217" s="38"/>
      <c r="H217" s="38"/>
      <c r="I217" s="50"/>
      <c r="J217" s="38"/>
      <c r="K217" s="50"/>
      <c r="L217" s="38"/>
      <c r="M217" s="38"/>
      <c r="O217" s="79" t="s">
        <v>3340</v>
      </c>
      <c r="P217" s="1574" t="s">
        <v>4006</v>
      </c>
      <c r="Q217" s="232"/>
    </row>
    <row r="218" spans="1:31" ht="11.45" customHeight="1">
      <c r="B218" s="44"/>
      <c r="C218" s="50"/>
      <c r="D218" s="38" t="s">
        <v>1852</v>
      </c>
      <c r="E218" s="50"/>
      <c r="F218" s="50"/>
      <c r="G218" s="38"/>
      <c r="H218" s="38"/>
      <c r="I218" s="50"/>
      <c r="J218" s="38"/>
      <c r="K218" s="50"/>
      <c r="L218" s="38"/>
      <c r="M218" s="38"/>
      <c r="O218" s="79" t="s">
        <v>3341</v>
      </c>
      <c r="P218" s="1574"/>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21" customHeight="1">
      <c r="A220" s="1578" t="s">
        <v>4079</v>
      </c>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584" t="s">
        <v>2626</v>
      </c>
      <c r="N226" s="1585"/>
      <c r="O226" s="1586"/>
      <c r="P226" s="1132" t="s">
        <v>2626</v>
      </c>
      <c r="Q226" s="1133"/>
    </row>
    <row r="227" spans="1:32" ht="11.45" customHeight="1">
      <c r="B227" s="55" t="s">
        <v>2865</v>
      </c>
      <c r="C227" s="62" t="s">
        <v>1795</v>
      </c>
      <c r="D227" s="62"/>
      <c r="E227" s="62"/>
      <c r="F227" s="62"/>
      <c r="G227" s="62"/>
      <c r="H227" s="62"/>
      <c r="I227" s="50"/>
      <c r="J227" s="50"/>
      <c r="K227" s="50"/>
      <c r="L227" s="803" t="s">
        <v>2865</v>
      </c>
      <c r="M227" s="1616">
        <v>41060</v>
      </c>
      <c r="N227" s="1617"/>
      <c r="O227" s="1618"/>
      <c r="P227" s="1163"/>
      <c r="Q227" s="1164"/>
    </row>
    <row r="228" spans="1:32" s="199" customFormat="1" ht="11.45" customHeight="1">
      <c r="B228" s="55" t="s">
        <v>1145</v>
      </c>
      <c r="C228" s="62" t="s">
        <v>2823</v>
      </c>
      <c r="D228" s="62"/>
      <c r="E228" s="62"/>
      <c r="F228" s="62"/>
      <c r="G228" s="62"/>
      <c r="H228" s="62"/>
      <c r="I228" s="126"/>
      <c r="J228" s="126"/>
      <c r="K228" s="126"/>
      <c r="L228" s="803" t="s">
        <v>1145</v>
      </c>
      <c r="M228" s="1584" t="s">
        <v>4057</v>
      </c>
      <c r="N228" s="1585"/>
      <c r="O228" s="1586"/>
      <c r="P228" s="1132"/>
      <c r="Q228" s="113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4" t="s">
        <v>4006</v>
      </c>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4" t="s">
        <v>4029</v>
      </c>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578" t="s">
        <v>4061</v>
      </c>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2739</v>
      </c>
      <c r="P236" s="1114"/>
      <c r="Q236" s="1119"/>
    </row>
    <row r="237" spans="1:32" ht="3" customHeight="1"/>
    <row r="238" spans="1:32" s="661" customFormat="1" ht="11.25" customHeight="1">
      <c r="B238" s="192" t="s">
        <v>2862</v>
      </c>
      <c r="C238" s="1118" t="s">
        <v>3846</v>
      </c>
      <c r="D238" s="1118"/>
      <c r="E238" s="1118"/>
      <c r="F238" s="1118"/>
      <c r="G238" s="1118"/>
      <c r="H238" s="1118"/>
      <c r="I238" s="1118"/>
      <c r="J238" s="1118"/>
      <c r="K238" s="1118"/>
      <c r="L238" s="1118"/>
      <c r="M238" s="1118"/>
      <c r="N238" s="1118"/>
      <c r="O238" s="219" t="s">
        <v>2862</v>
      </c>
      <c r="P238" s="1596" t="s">
        <v>4006</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4" t="s">
        <v>4006</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13.15" customHeight="1">
      <c r="A241" s="1578"/>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2739</v>
      </c>
      <c r="P245" s="1114"/>
      <c r="Q245" s="1119"/>
    </row>
    <row r="246" spans="1:32" ht="3" customHeight="1"/>
    <row r="247" spans="1:32" s="661" customFormat="1" ht="24" customHeight="1">
      <c r="B247" s="192" t="s">
        <v>2862</v>
      </c>
      <c r="C247" s="1113" t="s">
        <v>3890</v>
      </c>
      <c r="D247" s="1006"/>
      <c r="E247" s="1006"/>
      <c r="F247" s="1006"/>
      <c r="G247" s="1006"/>
      <c r="H247" s="1006"/>
      <c r="I247" s="1006"/>
      <c r="J247" s="1006"/>
      <c r="K247" s="1006"/>
      <c r="L247" s="1006"/>
      <c r="M247" s="1006"/>
      <c r="N247" s="1006"/>
      <c r="O247" s="219" t="s">
        <v>2862</v>
      </c>
      <c r="P247" s="1574" t="s">
        <v>4029</v>
      </c>
      <c r="Q247" s="232"/>
      <c r="AE247" s="808"/>
      <c r="AF247" s="808"/>
    </row>
    <row r="248" spans="1:32" s="661" customFormat="1" ht="24" customHeight="1">
      <c r="B248" s="192" t="s">
        <v>2865</v>
      </c>
      <c r="C248" s="1113" t="s">
        <v>3891</v>
      </c>
      <c r="D248" s="1006"/>
      <c r="E248" s="1006"/>
      <c r="F248" s="1006"/>
      <c r="G248" s="1006"/>
      <c r="H248" s="1006"/>
      <c r="I248" s="1006"/>
      <c r="J248" s="1006"/>
      <c r="K248" s="1006"/>
      <c r="L248" s="1006"/>
      <c r="M248" s="1006"/>
      <c r="N248" s="1006"/>
      <c r="O248" s="219" t="s">
        <v>2865</v>
      </c>
      <c r="P248" s="1574" t="s">
        <v>4029</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2739</v>
      </c>
      <c r="P254" s="1114"/>
      <c r="Q254" s="1119"/>
    </row>
    <row r="255" spans="1:32" s="199" customFormat="1" ht="46.5" customHeight="1">
      <c r="B255" s="192" t="s">
        <v>2862</v>
      </c>
      <c r="C255" s="1113" t="s">
        <v>3833</v>
      </c>
      <c r="D255" s="1113"/>
      <c r="E255" s="1113"/>
      <c r="F255" s="1113"/>
      <c r="G255" s="1113"/>
      <c r="H255" s="1113"/>
      <c r="I255" s="1113"/>
      <c r="J255" s="1113"/>
      <c r="K255" s="1113"/>
      <c r="L255" s="1113"/>
      <c r="M255" s="1113"/>
      <c r="N255" s="1113"/>
      <c r="O255" s="219" t="s">
        <v>2862</v>
      </c>
      <c r="P255" s="1596" t="s">
        <v>4006</v>
      </c>
      <c r="Q255" s="232"/>
      <c r="AE255" s="807"/>
      <c r="AF255" s="807"/>
    </row>
    <row r="256" spans="1:32" s="126" customFormat="1">
      <c r="B256" s="55" t="s">
        <v>2865</v>
      </c>
      <c r="C256" s="1097" t="s">
        <v>3834</v>
      </c>
      <c r="D256" s="1097"/>
      <c r="E256" s="1097"/>
      <c r="F256" s="1097"/>
      <c r="G256" s="1097"/>
      <c r="H256" s="1097"/>
      <c r="I256" s="1097"/>
      <c r="J256" s="1097"/>
      <c r="K256" s="1097"/>
      <c r="L256" s="1097"/>
      <c r="M256" s="1097"/>
      <c r="N256" s="1097"/>
      <c r="O256" s="803" t="s">
        <v>2865</v>
      </c>
      <c r="P256" s="1574" t="s">
        <v>4006</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596" t="s">
        <v>4006</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574" t="s">
        <v>4006</v>
      </c>
      <c r="Q258" s="232"/>
      <c r="AE258" s="807"/>
      <c r="AF258" s="807"/>
    </row>
    <row r="259" spans="1:256" s="661" customFormat="1" ht="24.75" customHeight="1">
      <c r="B259" s="192" t="s">
        <v>2588</v>
      </c>
      <c r="C259" s="1113" t="s">
        <v>3847</v>
      </c>
      <c r="D259" s="1006"/>
      <c r="E259" s="1006"/>
      <c r="F259" s="1006"/>
      <c r="G259" s="1006"/>
      <c r="H259" s="1006"/>
      <c r="I259" s="1006"/>
      <c r="J259" s="1006"/>
      <c r="K259" s="1006"/>
      <c r="L259" s="1006"/>
      <c r="M259" s="1006"/>
      <c r="N259" s="1006"/>
      <c r="O259" s="219" t="s">
        <v>2588</v>
      </c>
      <c r="P259" s="1596" t="s">
        <v>4006</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11.45" customHeight="1">
      <c r="A261" s="1578"/>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3806</v>
      </c>
      <c r="C264" s="11"/>
      <c r="D264" s="11"/>
      <c r="E264" s="11"/>
      <c r="F264" s="11"/>
      <c r="G264" s="11"/>
      <c r="H264" s="856"/>
      <c r="I264" s="856"/>
      <c r="J264" s="856"/>
      <c r="K264" s="856"/>
      <c r="L264" s="856"/>
      <c r="M264" s="856"/>
      <c r="O264" s="181" t="s">
        <v>2739</v>
      </c>
      <c r="P264" s="1171"/>
      <c r="Q264" s="1172"/>
    </row>
    <row r="265" spans="1:256" ht="11.45" customHeight="1">
      <c r="B265" s="195" t="s">
        <v>3164</v>
      </c>
      <c r="P265" s="1574" t="s">
        <v>4005</v>
      </c>
      <c r="Q265" s="232"/>
    </row>
    <row r="266" spans="1:256" ht="12" customHeight="1">
      <c r="B266" s="197" t="s">
        <v>3112</v>
      </c>
      <c r="C266" s="197"/>
      <c r="D266" s="197"/>
      <c r="E266" s="197"/>
      <c r="F266" s="197"/>
      <c r="G266" s="197"/>
      <c r="H266" s="197"/>
      <c r="I266" s="197"/>
      <c r="J266" s="197"/>
      <c r="K266" s="197"/>
      <c r="L266" s="197"/>
      <c r="P266" s="1574" t="s">
        <v>4006</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2862</v>
      </c>
      <c r="P268" s="1596" t="s">
        <v>4006</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147" t="s">
        <v>634</v>
      </c>
      <c r="D270" s="1147"/>
      <c r="E270" s="1147"/>
      <c r="F270" s="1147"/>
      <c r="G270" s="1147"/>
      <c r="H270" s="1147"/>
      <c r="I270" s="1147"/>
      <c r="J270" s="1147"/>
      <c r="K270" s="1147"/>
      <c r="L270" s="1147"/>
      <c r="M270" s="1147"/>
      <c r="O270" s="219" t="s">
        <v>2865</v>
      </c>
      <c r="P270" s="848"/>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6" t="s">
        <v>4006</v>
      </c>
      <c r="Q271" s="354"/>
    </row>
    <row r="272" spans="1:256" ht="23.25" customHeight="1">
      <c r="A272" s="194"/>
      <c r="C272" s="294" t="s">
        <v>2591</v>
      </c>
      <c r="D272" s="1165" t="s">
        <v>1648</v>
      </c>
      <c r="E272" s="1166"/>
      <c r="F272" s="1167"/>
      <c r="G272" s="1578" t="s">
        <v>3788</v>
      </c>
      <c r="H272" s="1446"/>
      <c r="I272" s="1446"/>
      <c r="J272" s="1446"/>
      <c r="K272" s="1446"/>
      <c r="L272" s="1446"/>
      <c r="M272" s="1446"/>
      <c r="N272" s="1447"/>
      <c r="O272" s="298" t="s">
        <v>2591</v>
      </c>
      <c r="P272" s="1596" t="s">
        <v>4006</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6"/>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6"/>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578"/>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2739</v>
      </c>
      <c r="P283" s="1114"/>
      <c r="Q283" s="1119"/>
    </row>
    <row r="284" spans="1:256" ht="3" customHeight="1"/>
    <row r="285" spans="1:256" ht="11.45" customHeight="1">
      <c r="B285" s="195" t="s">
        <v>3284</v>
      </c>
      <c r="P285" s="1574" t="s">
        <v>4006</v>
      </c>
      <c r="Q285" s="232"/>
    </row>
    <row r="286" spans="1:256" ht="11.45" customHeight="1">
      <c r="B286" s="195" t="s">
        <v>3285</v>
      </c>
      <c r="P286" s="1574" t="s">
        <v>4005</v>
      </c>
      <c r="Q286" s="232"/>
    </row>
    <row r="287" spans="1:256" ht="11.45" customHeight="1">
      <c r="B287" s="195" t="s">
        <v>850</v>
      </c>
      <c r="L287" s="1625" t="s">
        <v>4039</v>
      </c>
      <c r="M287" s="1626"/>
      <c r="N287" s="1626"/>
      <c r="O287" s="1627"/>
    </row>
    <row r="288" spans="1:256" ht="11.45" customHeight="1">
      <c r="B288" s="653" t="s">
        <v>3286</v>
      </c>
      <c r="L288" s="1168"/>
      <c r="M288" s="1169"/>
      <c r="N288" s="1169"/>
      <c r="O288" s="1170"/>
    </row>
    <row r="289" spans="1:31" ht="11.25" customHeight="1">
      <c r="B289" s="191" t="s">
        <v>2737</v>
      </c>
      <c r="D289" s="191"/>
      <c r="E289" s="191"/>
      <c r="F289" s="191"/>
      <c r="G289" s="191"/>
      <c r="H289" s="48"/>
      <c r="I289" s="180"/>
      <c r="J289" s="180"/>
      <c r="K289" s="180"/>
      <c r="L289" s="848"/>
      <c r="M289" s="848"/>
      <c r="N289" s="848"/>
      <c r="O289" s="848"/>
      <c r="P289" s="848"/>
      <c r="Q289" s="60"/>
    </row>
    <row r="290" spans="1:31" ht="13.15" customHeight="1">
      <c r="A290" s="1578" t="s">
        <v>4080</v>
      </c>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2739</v>
      </c>
      <c r="P294" s="1114"/>
      <c r="Q294" s="1119"/>
    </row>
    <row r="295" spans="1:31" ht="3" customHeight="1"/>
    <row r="296" spans="1:31" ht="22.15" customHeight="1">
      <c r="B296" s="192" t="s">
        <v>2862</v>
      </c>
      <c r="C296" s="1118" t="s">
        <v>3836</v>
      </c>
      <c r="D296" s="1118"/>
      <c r="E296" s="1118"/>
      <c r="F296" s="1118"/>
      <c r="G296" s="1118"/>
      <c r="H296" s="1118"/>
      <c r="I296" s="1118"/>
      <c r="J296" s="1118"/>
      <c r="K296" s="1118"/>
      <c r="L296" s="1118"/>
      <c r="M296" s="1118"/>
      <c r="N296" s="1118"/>
      <c r="O296" s="219" t="s">
        <v>2862</v>
      </c>
      <c r="P296" s="1574" t="s">
        <v>4006</v>
      </c>
      <c r="Q296" s="232"/>
    </row>
    <row r="297" spans="1:31" ht="11.45" customHeight="1">
      <c r="B297" s="192" t="s">
        <v>2865</v>
      </c>
      <c r="C297" s="1118" t="s">
        <v>3892</v>
      </c>
      <c r="D297" s="1118"/>
      <c r="E297" s="1118"/>
      <c r="F297" s="1118"/>
      <c r="G297" s="1118"/>
      <c r="H297" s="1118"/>
      <c r="I297" s="1118"/>
      <c r="J297" s="1118"/>
      <c r="K297" s="1118"/>
      <c r="L297" s="1118"/>
      <c r="M297" s="1118"/>
      <c r="N297" s="1118"/>
      <c r="O297" s="219" t="s">
        <v>2865</v>
      </c>
      <c r="P297" s="1574" t="s">
        <v>4006</v>
      </c>
      <c r="Q297" s="232"/>
    </row>
    <row r="298" spans="1:31" ht="11.45" customHeight="1">
      <c r="B298" s="192" t="s">
        <v>1145</v>
      </c>
      <c r="C298" s="197" t="s">
        <v>3837</v>
      </c>
      <c r="D298" s="197"/>
      <c r="E298" s="197"/>
      <c r="F298" s="197"/>
      <c r="G298" s="197"/>
      <c r="H298" s="197"/>
      <c r="I298" s="197"/>
      <c r="J298" s="197"/>
      <c r="K298" s="197"/>
      <c r="L298" s="197"/>
      <c r="M298" s="197"/>
      <c r="O298" s="219" t="s">
        <v>1145</v>
      </c>
      <c r="P298" s="1574" t="s">
        <v>4006</v>
      </c>
      <c r="Q298" s="232"/>
    </row>
    <row r="299" spans="1:31" ht="22.15" customHeight="1">
      <c r="B299" s="192" t="s">
        <v>3004</v>
      </c>
      <c r="C299" s="1118" t="s">
        <v>3871</v>
      </c>
      <c r="D299" s="1118"/>
      <c r="E299" s="1118"/>
      <c r="F299" s="1118"/>
      <c r="G299" s="1118"/>
      <c r="H299" s="1118"/>
      <c r="I299" s="1118"/>
      <c r="J299" s="1118"/>
      <c r="K299" s="1118"/>
      <c r="L299" s="1118"/>
      <c r="M299" s="1118"/>
      <c r="N299" s="1118"/>
      <c r="O299" s="219" t="s">
        <v>3004</v>
      </c>
      <c r="P299" s="1574" t="s">
        <v>4006</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11.45" customHeight="1">
      <c r="A301" s="1578"/>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2739</v>
      </c>
      <c r="P305" s="1114"/>
      <c r="Q305" s="1119"/>
    </row>
    <row r="306" spans="1:32" ht="12" customHeight="1">
      <c r="B306" s="55" t="s">
        <v>2862</v>
      </c>
      <c r="C306" s="161" t="s">
        <v>3873</v>
      </c>
      <c r="D306" s="859"/>
      <c r="E306" s="859"/>
      <c r="F306" s="859"/>
      <c r="G306" s="859"/>
      <c r="H306" s="859"/>
      <c r="I306" s="50"/>
      <c r="J306" s="803" t="s">
        <v>2862</v>
      </c>
      <c r="K306" s="1604"/>
      <c r="L306" s="1605"/>
      <c r="M306" s="1605"/>
      <c r="N306" s="1605"/>
      <c r="O306" s="1605"/>
      <c r="P306" s="1606"/>
      <c r="Q306" s="232"/>
    </row>
    <row r="307" spans="1:32" ht="22.5" customHeight="1">
      <c r="B307" s="192" t="s">
        <v>2865</v>
      </c>
      <c r="C307" s="1097" t="s">
        <v>3872</v>
      </c>
      <c r="D307" s="1097"/>
      <c r="E307" s="1097"/>
      <c r="F307" s="1097"/>
      <c r="G307" s="1097"/>
      <c r="H307" s="1097"/>
      <c r="I307" s="1097"/>
      <c r="J307" s="1097"/>
      <c r="K307" s="1097"/>
      <c r="L307" s="1097"/>
      <c r="M307" s="1097"/>
      <c r="N307" s="1097"/>
      <c r="O307" s="219" t="s">
        <v>2865</v>
      </c>
      <c r="P307" s="1596"/>
      <c r="Q307" s="232"/>
    </row>
    <row r="308" spans="1:32" ht="11.45" customHeight="1">
      <c r="B308" s="55" t="s">
        <v>1145</v>
      </c>
      <c r="C308" s="62" t="s">
        <v>3874</v>
      </c>
      <c r="D308" s="62"/>
      <c r="E308" s="62"/>
      <c r="F308" s="62"/>
      <c r="G308" s="62"/>
      <c r="H308" s="62"/>
      <c r="I308" s="62"/>
      <c r="J308" s="62"/>
      <c r="K308" s="62"/>
      <c r="L308" s="38"/>
      <c r="M308" s="38"/>
      <c r="O308" s="803" t="s">
        <v>1145</v>
      </c>
      <c r="P308" s="1574"/>
      <c r="Q308" s="232"/>
    </row>
    <row r="309" spans="1:32" ht="11.45" customHeight="1">
      <c r="B309" s="55" t="s">
        <v>3004</v>
      </c>
      <c r="C309" s="62" t="s">
        <v>3875</v>
      </c>
      <c r="D309" s="62"/>
      <c r="E309" s="62"/>
      <c r="F309" s="62"/>
      <c r="G309" s="62"/>
      <c r="H309" s="62"/>
      <c r="I309" s="62"/>
      <c r="J309" s="62"/>
      <c r="K309" s="62"/>
      <c r="L309" s="62"/>
      <c r="M309" s="62"/>
      <c r="O309" s="803" t="s">
        <v>3004</v>
      </c>
      <c r="P309" s="1574"/>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596"/>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596"/>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4"/>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578" t="s">
        <v>1469</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2739</v>
      </c>
      <c r="P318" s="1114"/>
      <c r="Q318" s="1119"/>
    </row>
    <row r="319" spans="1:32" ht="13.9" customHeight="1">
      <c r="A319" s="857"/>
      <c r="B319" s="149" t="s">
        <v>3814</v>
      </c>
      <c r="C319" s="5"/>
      <c r="D319" s="5"/>
      <c r="E319" s="5"/>
      <c r="F319" s="5"/>
      <c r="G319" s="5"/>
      <c r="H319" s="856"/>
      <c r="I319" s="856"/>
      <c r="J319" s="856"/>
    </row>
    <row r="320" spans="1:32" ht="11.45" customHeight="1">
      <c r="B320" s="55" t="s">
        <v>2862</v>
      </c>
      <c r="C320" s="653" t="s">
        <v>3817</v>
      </c>
      <c r="D320" s="65"/>
      <c r="E320" s="859"/>
      <c r="F320" s="859"/>
      <c r="G320" s="859"/>
      <c r="H320" s="859"/>
      <c r="I320" s="50"/>
      <c r="O320" s="803" t="s">
        <v>2862</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596"/>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596"/>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596"/>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596"/>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59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578" t="s">
        <v>1469</v>
      </c>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2739</v>
      </c>
      <c r="P341" s="1114"/>
      <c r="Q341" s="1119"/>
    </row>
    <row r="342" spans="1:31" ht="11.45" customHeight="1">
      <c r="B342" s="55" t="s">
        <v>2862</v>
      </c>
      <c r="C342" s="161" t="s">
        <v>1543</v>
      </c>
      <c r="E342" s="1584"/>
      <c r="F342" s="1585"/>
      <c r="G342" s="1585"/>
      <c r="H342" s="1585"/>
      <c r="I342" s="1586"/>
      <c r="J342" s="1122" t="s">
        <v>3832</v>
      </c>
      <c r="K342" s="1123"/>
      <c r="L342" s="1124"/>
      <c r="M342" s="1584"/>
      <c r="N342" s="1585"/>
      <c r="O342" s="1585"/>
      <c r="P342" s="1585"/>
      <c r="Q342" s="1586"/>
    </row>
    <row r="343" spans="1:31" ht="11.45" customHeight="1">
      <c r="B343" s="55" t="s">
        <v>2865</v>
      </c>
      <c r="C343" s="62" t="s">
        <v>2593</v>
      </c>
      <c r="D343" s="62"/>
      <c r="E343" s="62"/>
      <c r="F343" s="62"/>
      <c r="G343" s="62"/>
      <c r="H343" s="62"/>
      <c r="I343" s="62"/>
      <c r="J343" s="62"/>
      <c r="K343" s="62"/>
      <c r="L343" s="38"/>
      <c r="M343" s="38"/>
      <c r="O343" s="803" t="s">
        <v>2865</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3004</v>
      </c>
      <c r="C345" s="62" t="s">
        <v>3877</v>
      </c>
      <c r="D345" s="62"/>
      <c r="E345" s="62"/>
      <c r="F345" s="62"/>
      <c r="G345" s="62"/>
      <c r="H345" s="62"/>
      <c r="I345" s="62"/>
      <c r="J345" s="62"/>
      <c r="K345" s="62"/>
      <c r="L345" s="62"/>
      <c r="M345" s="62"/>
      <c r="O345" s="803" t="s">
        <v>3004</v>
      </c>
      <c r="P345" s="1574"/>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4"/>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6"/>
      <c r="Q347" s="232"/>
    </row>
    <row r="348" spans="1:31" ht="11.45" customHeight="1">
      <c r="B348" s="55" t="s">
        <v>2825</v>
      </c>
      <c r="C348" s="38" t="s">
        <v>792</v>
      </c>
      <c r="D348" s="203"/>
      <c r="E348" s="203"/>
      <c r="F348" s="203"/>
      <c r="G348" s="203"/>
      <c r="H348" s="203"/>
      <c r="I348" s="203"/>
      <c r="J348" s="203"/>
      <c r="K348" s="203"/>
      <c r="L348" s="203"/>
      <c r="M348" s="203"/>
      <c r="O348" s="803" t="s">
        <v>2825</v>
      </c>
      <c r="P348" s="1574"/>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578" t="s">
        <v>1469</v>
      </c>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28" t="s">
        <v>4040</v>
      </c>
      <c r="O355" s="1629"/>
      <c r="P355" s="1116" t="s">
        <v>2626</v>
      </c>
      <c r="Q355" s="1117"/>
      <c r="AE355" s="6"/>
      <c r="AF355" s="6"/>
    </row>
    <row r="356" spans="1:32" s="2" customFormat="1" ht="12" customHeight="1">
      <c r="B356" s="55" t="s">
        <v>2865</v>
      </c>
      <c r="C356" s="158" t="s">
        <v>1</v>
      </c>
      <c r="D356" s="203"/>
      <c r="E356" s="203"/>
      <c r="G356" s="803" t="s">
        <v>2865</v>
      </c>
      <c r="H356" s="1630" t="s">
        <v>4056</v>
      </c>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t="s">
        <v>4005</v>
      </c>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578" t="s">
        <v>4041</v>
      </c>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2739</v>
      </c>
      <c r="P364" s="1114"/>
      <c r="Q364" s="1115"/>
    </row>
    <row r="365" spans="1:32" ht="12" customHeight="1">
      <c r="A365" s="194"/>
      <c r="B365" s="55" t="s">
        <v>2862</v>
      </c>
      <c r="C365" s="62" t="s">
        <v>3838</v>
      </c>
      <c r="D365" s="727"/>
      <c r="E365" s="727"/>
      <c r="H365" s="190"/>
      <c r="O365" s="803" t="s">
        <v>2862</v>
      </c>
      <c r="P365" s="1574" t="s">
        <v>4005</v>
      </c>
      <c r="Q365" s="232"/>
    </row>
    <row r="366" spans="1:32" ht="12" customHeight="1">
      <c r="A366" s="194"/>
      <c r="B366" s="55" t="s">
        <v>2865</v>
      </c>
      <c r="C366" s="62" t="s">
        <v>3839</v>
      </c>
      <c r="D366" s="727"/>
      <c r="E366" s="727"/>
      <c r="O366" s="803" t="s">
        <v>2865</v>
      </c>
      <c r="P366" s="1574" t="s">
        <v>4005</v>
      </c>
      <c r="Q366" s="232"/>
    </row>
    <row r="367" spans="1:32" ht="12" customHeight="1">
      <c r="A367" s="194"/>
      <c r="B367" s="55" t="s">
        <v>1145</v>
      </c>
      <c r="C367" s="62" t="s">
        <v>3895</v>
      </c>
      <c r="D367" s="727"/>
      <c r="E367" s="727"/>
      <c r="O367" s="803" t="s">
        <v>1145</v>
      </c>
      <c r="P367" s="1574" t="s">
        <v>4005</v>
      </c>
      <c r="Q367" s="232"/>
    </row>
    <row r="368" spans="1:32" ht="12" customHeight="1">
      <c r="A368" s="194"/>
      <c r="B368" s="55" t="s">
        <v>3004</v>
      </c>
      <c r="C368" s="62" t="s">
        <v>3831</v>
      </c>
      <c r="E368" s="190"/>
      <c r="O368" s="803" t="s">
        <v>3004</v>
      </c>
      <c r="P368" s="1574" t="s">
        <v>4005</v>
      </c>
      <c r="Q368" s="232"/>
    </row>
    <row r="369" spans="1:31" ht="12" customHeight="1">
      <c r="B369" s="55" t="s">
        <v>2588</v>
      </c>
      <c r="C369" s="62" t="s">
        <v>2967</v>
      </c>
      <c r="E369" s="190"/>
      <c r="G369" s="803" t="s">
        <v>2588</v>
      </c>
      <c r="H369" s="1597"/>
      <c r="I369" s="1598"/>
      <c r="J369" s="1598"/>
      <c r="K369" s="1598"/>
      <c r="L369" s="1598"/>
      <c r="M369" s="1598"/>
      <c r="N369" s="1598"/>
      <c r="O369" s="1599"/>
      <c r="P369" s="1574"/>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578" t="s">
        <v>4062</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3810</v>
      </c>
      <c r="C375" s="1120"/>
      <c r="D375" s="1120"/>
      <c r="E375" s="1120"/>
      <c r="F375" s="1120"/>
      <c r="G375" s="1120"/>
      <c r="H375" s="856"/>
      <c r="I375" s="856"/>
      <c r="J375" s="856"/>
      <c r="K375" s="856"/>
      <c r="L375" s="856"/>
      <c r="M375" s="856"/>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74" t="s">
        <v>4029</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1574" t="s">
        <v>4006</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11.45" customHeight="1">
      <c r="A379" s="1578"/>
      <c r="B379" s="1579"/>
      <c r="C379" s="1579"/>
      <c r="D379" s="1579"/>
      <c r="E379" s="1579"/>
      <c r="F379" s="1579"/>
      <c r="G379" s="1579"/>
      <c r="H379" s="1579"/>
      <c r="I379" s="1579"/>
      <c r="J379" s="1580"/>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74" t="s">
        <v>4005</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4" t="s">
        <v>4005</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4" t="s">
        <v>4005</v>
      </c>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7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3"/>
      <c r="H388" s="662" t="s">
        <v>291</v>
      </c>
      <c r="J388" s="184" t="s">
        <v>3106</v>
      </c>
      <c r="K388" s="38"/>
      <c r="N388" s="1633"/>
      <c r="O388" s="662" t="s">
        <v>291</v>
      </c>
    </row>
    <row r="389" spans="1:32" ht="12" customHeight="1">
      <c r="A389" s="50"/>
      <c r="B389" s="55"/>
      <c r="C389" s="184" t="s">
        <v>3104</v>
      </c>
      <c r="D389" s="44"/>
      <c r="E389" s="50"/>
      <c r="F389" s="38"/>
      <c r="G389" s="1633"/>
      <c r="H389" s="662"/>
      <c r="J389" s="184" t="s">
        <v>3107</v>
      </c>
      <c r="K389" s="38"/>
      <c r="N389" s="1633"/>
      <c r="O389" s="662"/>
    </row>
    <row r="390" spans="1:32" ht="12" customHeight="1">
      <c r="A390" s="50"/>
      <c r="B390" s="55"/>
      <c r="C390" s="184" t="s">
        <v>3105</v>
      </c>
      <c r="D390" s="44"/>
      <c r="E390" s="50"/>
      <c r="F390" s="38"/>
      <c r="G390" s="163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3166</v>
      </c>
      <c r="N393" s="1634"/>
      <c r="O393" s="1635"/>
      <c r="P393" s="1635"/>
      <c r="Q393" s="1636"/>
    </row>
    <row r="394" spans="1:32" ht="12" customHeight="1">
      <c r="B394" s="191" t="s">
        <v>2737</v>
      </c>
      <c r="D394" s="191"/>
      <c r="E394" s="191"/>
      <c r="F394" s="191"/>
      <c r="G394" s="191"/>
      <c r="H394" s="48"/>
      <c r="I394" s="180"/>
      <c r="J394" s="180"/>
      <c r="K394" s="180"/>
      <c r="P394" s="848"/>
      <c r="Q394" s="60"/>
    </row>
    <row r="395" spans="1:32" ht="12" customHeight="1">
      <c r="A395" s="1578" t="s">
        <v>4081</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2739</v>
      </c>
      <c r="P399" s="1114"/>
      <c r="Q399" s="1119"/>
    </row>
    <row r="400" spans="1:32" s="182" customFormat="1" ht="21.75" customHeight="1">
      <c r="B400" s="192" t="s">
        <v>2862</v>
      </c>
      <c r="C400" s="1121" t="s">
        <v>3881</v>
      </c>
      <c r="D400" s="1121"/>
      <c r="E400" s="1121"/>
      <c r="F400" s="1121"/>
      <c r="G400" s="1121"/>
      <c r="H400" s="1121"/>
      <c r="I400" s="1121"/>
      <c r="J400" s="1121"/>
      <c r="K400" s="1121"/>
      <c r="L400" s="1121"/>
      <c r="M400" s="1121"/>
      <c r="N400" s="1121"/>
      <c r="O400" s="219" t="s">
        <v>2862</v>
      </c>
      <c r="P400" s="1596" t="s">
        <v>4029</v>
      </c>
      <c r="Q400" s="354"/>
      <c r="AE400" s="806"/>
      <c r="AF400" s="806"/>
    </row>
    <row r="401" spans="1:32" s="182" customFormat="1" ht="12" customHeight="1">
      <c r="B401" s="192" t="s">
        <v>2865</v>
      </c>
      <c r="C401" s="1121" t="s">
        <v>3882</v>
      </c>
      <c r="D401" s="1121"/>
      <c r="E401" s="1121"/>
      <c r="F401" s="1121"/>
      <c r="G401" s="1121"/>
      <c r="H401" s="1121"/>
      <c r="I401" s="1121"/>
      <c r="J401" s="1121"/>
      <c r="K401" s="1121"/>
      <c r="L401" s="1121"/>
      <c r="M401" s="1121"/>
      <c r="N401" s="1121"/>
      <c r="O401" s="219" t="s">
        <v>2865</v>
      </c>
      <c r="P401" s="1596" t="s">
        <v>4029</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596" t="s">
        <v>4029</v>
      </c>
      <c r="Q402" s="354"/>
      <c r="AE402" s="806"/>
      <c r="AF402" s="806"/>
    </row>
    <row r="403" spans="1:32" s="182" customFormat="1" ht="33.75" customHeight="1">
      <c r="B403" s="192" t="s">
        <v>3004</v>
      </c>
      <c r="C403" s="1121" t="s">
        <v>3884</v>
      </c>
      <c r="D403" s="1121"/>
      <c r="E403" s="1121"/>
      <c r="F403" s="1121"/>
      <c r="G403" s="1121"/>
      <c r="H403" s="1121"/>
      <c r="I403" s="1121"/>
      <c r="J403" s="1121"/>
      <c r="K403" s="1121"/>
      <c r="L403" s="1121"/>
      <c r="M403" s="1121"/>
      <c r="N403" s="1121"/>
      <c r="O403" s="219" t="s">
        <v>3004</v>
      </c>
      <c r="P403" s="1596" t="s">
        <v>4029</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596" t="s">
        <v>4029</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596" t="s">
        <v>4029</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2739</v>
      </c>
      <c r="P411" s="1114"/>
      <c r="Q411" s="1119"/>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11.45" customHeight="1">
      <c r="A413" s="1578"/>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2012-029 The Groves Place, Tifton, Tift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48</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3620</v>
      </c>
      <c r="G10" s="38">
        <f>F16</f>
        <v>0</v>
      </c>
      <c r="H10" s="244" t="s">
        <v>301</v>
      </c>
      <c r="M10" s="7">
        <v>7</v>
      </c>
      <c r="N10" s="78" t="s">
        <v>2862</v>
      </c>
      <c r="O10" s="1638"/>
      <c r="P10" s="66"/>
    </row>
    <row r="11" spans="1:19" s="50" customFormat="1" ht="11.25" customHeight="1">
      <c r="A11" s="255" t="s">
        <v>2865</v>
      </c>
      <c r="B11" s="236" t="s">
        <v>1122</v>
      </c>
      <c r="D11" s="56"/>
      <c r="E11" s="56"/>
      <c r="F11" s="821" t="s">
        <v>3620</v>
      </c>
      <c r="G11" s="38">
        <f>K16</f>
        <v>0</v>
      </c>
      <c r="H11" s="244" t="s">
        <v>302</v>
      </c>
      <c r="J11" s="57"/>
      <c r="M11" s="7">
        <v>0</v>
      </c>
      <c r="N11" s="78" t="s">
        <v>2865</v>
      </c>
      <c r="O11" s="1638"/>
      <c r="P11" s="66"/>
      <c r="Q11" s="148"/>
    </row>
    <row r="12" spans="1:19" s="51" customFormat="1" ht="11.25" customHeight="1">
      <c r="A12" s="255" t="s">
        <v>1145</v>
      </c>
      <c r="B12" s="236" t="s">
        <v>3002</v>
      </c>
      <c r="D12" s="56"/>
      <c r="E12" s="56"/>
      <c r="F12" s="821" t="s">
        <v>3620</v>
      </c>
      <c r="G12" s="38">
        <f>P16</f>
        <v>0</v>
      </c>
      <c r="H12" s="244" t="s">
        <v>303</v>
      </c>
      <c r="J12" s="57"/>
      <c r="M12" s="7">
        <v>1</v>
      </c>
      <c r="N12" s="78" t="s">
        <v>1145</v>
      </c>
      <c r="O12" s="163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39">
        <v>10</v>
      </c>
      <c r="K31" s="660" t="s">
        <v>3859</v>
      </c>
      <c r="L31" s="691">
        <f>IF(OR('Part VI-Revenues &amp; Expenses'!$M$60="", 'Part VI-Revenues &amp; Expenses'!$M$60=0),0,I31/'Part VI-Revenues &amp; Expenses'!$M$60)</f>
        <v>0.17857142857142858</v>
      </c>
      <c r="M31" s="1">
        <v>3</v>
      </c>
      <c r="N31" s="690"/>
      <c r="O31" s="1189" t="s">
        <v>3928</v>
      </c>
      <c r="P31" s="735">
        <v>0.15</v>
      </c>
    </row>
    <row r="32" spans="1:19" s="688" customFormat="1" ht="11.25" customHeight="1">
      <c r="A32" s="687" t="s">
        <v>2865</v>
      </c>
      <c r="B32" s="155" t="s">
        <v>3703</v>
      </c>
      <c r="E32" s="689"/>
      <c r="H32" s="660" t="s">
        <v>3704</v>
      </c>
      <c r="I32" s="1639"/>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t="s">
        <v>4082</v>
      </c>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0">
        <v>12</v>
      </c>
      <c r="P40" s="85"/>
      <c r="R40" s="558"/>
    </row>
    <row r="41" spans="1:18" s="51" customFormat="1" ht="12.6" customHeight="1">
      <c r="A41" s="189" t="s">
        <v>2865</v>
      </c>
      <c r="B41" s="236" t="s">
        <v>2748</v>
      </c>
      <c r="D41" s="49"/>
      <c r="E41" s="244" t="s">
        <v>588</v>
      </c>
      <c r="F41" s="585"/>
      <c r="G41" s="585"/>
      <c r="H41" s="585"/>
      <c r="M41" s="180" t="s">
        <v>1777</v>
      </c>
      <c r="N41" s="803" t="s">
        <v>2865</v>
      </c>
      <c r="O41" s="163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t="s">
        <v>4083</v>
      </c>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0"/>
      <c r="P50" s="85"/>
      <c r="R50" s="558"/>
    </row>
    <row r="51" spans="1:18" s="51" customFormat="1" ht="12.6" customHeight="1">
      <c r="A51" s="189" t="s">
        <v>2865</v>
      </c>
      <c r="B51" s="236" t="s">
        <v>3718</v>
      </c>
      <c r="E51" s="49"/>
      <c r="K51" s="56"/>
      <c r="L51" s="558" t="str">
        <f>IF(OR($O51=$M51,$O51=0,$O51=""),"","* * Check Score! * *")</f>
        <v/>
      </c>
      <c r="M51" s="3">
        <v>2</v>
      </c>
      <c r="N51" s="803" t="s">
        <v>2865</v>
      </c>
      <c r="O51" s="1640"/>
      <c r="P51" s="85"/>
      <c r="R51" s="558"/>
    </row>
    <row r="52" spans="1:18" s="51" customFormat="1" ht="12.6" customHeight="1">
      <c r="A52" s="189" t="s">
        <v>1145</v>
      </c>
      <c r="B52" s="236" t="s">
        <v>3760</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t="s">
        <v>4084</v>
      </c>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0">
        <v>1</v>
      </c>
      <c r="P58" s="85"/>
      <c r="Q58" s="148" t="s">
        <v>612</v>
      </c>
    </row>
    <row r="59" spans="1:18" s="51" customFormat="1" ht="12.6" customHeight="1">
      <c r="A59" s="209"/>
      <c r="B59" s="586" t="s">
        <v>1120</v>
      </c>
      <c r="D59" s="49"/>
      <c r="H59" s="57"/>
      <c r="I59" s="57"/>
      <c r="J59" s="57"/>
      <c r="K59" s="57"/>
      <c r="L59" s="57"/>
      <c r="M59" s="3"/>
      <c r="N59" s="601"/>
      <c r="O59" s="1574" t="s">
        <v>4006</v>
      </c>
      <c r="P59" s="232"/>
      <c r="Q59" s="148"/>
    </row>
    <row r="60" spans="1:18" s="51" customFormat="1" ht="12.6" customHeight="1">
      <c r="A60" s="209"/>
      <c r="B60" s="586" t="s">
        <v>1119</v>
      </c>
      <c r="D60" s="49"/>
      <c r="H60" s="57"/>
      <c r="I60" s="1550" t="s">
        <v>4042</v>
      </c>
      <c r="J60" s="1641"/>
      <c r="K60" s="1641"/>
      <c r="L60" s="1642"/>
      <c r="M60" s="3"/>
      <c r="N60" s="601"/>
      <c r="O60" s="601"/>
      <c r="P60" s="601"/>
      <c r="Q60" s="148"/>
    </row>
    <row r="61" spans="1:18" s="51" customFormat="1" ht="12.6" customHeight="1">
      <c r="A61" s="209"/>
      <c r="B61" s="586" t="s">
        <v>1121</v>
      </c>
      <c r="D61" s="49"/>
      <c r="H61" s="57"/>
      <c r="I61" s="57"/>
      <c r="J61" s="57"/>
      <c r="K61" s="57"/>
      <c r="L61" s="57"/>
      <c r="M61" s="3"/>
      <c r="N61" s="601"/>
      <c r="O61" s="1574"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t="s">
        <v>4063</v>
      </c>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0"/>
      <c r="P67" s="85"/>
      <c r="Q67" s="148" t="s">
        <v>612</v>
      </c>
    </row>
    <row r="68" spans="1:18" s="51" customFormat="1" ht="12.6" customHeight="1">
      <c r="A68" s="209"/>
      <c r="B68" s="586" t="s">
        <v>3705</v>
      </c>
      <c r="D68" s="49"/>
      <c r="E68" s="44"/>
      <c r="I68" s="1643"/>
      <c r="J68" s="1641"/>
      <c r="K68" s="1641"/>
      <c r="L68" s="164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t="s">
        <v>1469</v>
      </c>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44" t="s">
        <v>4043</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4" t="s">
        <v>2104</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47" t="s">
        <v>2104</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48" t="s">
        <v>2104</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47" t="s">
        <v>2104</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48"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4" t="s">
        <v>4006</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49" t="s">
        <v>4085</v>
      </c>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4044</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7" t="s">
        <v>4006</v>
      </c>
      <c r="P94" s="355"/>
    </row>
    <row r="95" spans="1:18" ht="11.45" customHeight="1">
      <c r="B95" s="231" t="s">
        <v>3420</v>
      </c>
      <c r="C95" s="665" t="s">
        <v>3367</v>
      </c>
      <c r="E95" s="160"/>
      <c r="G95" s="132" t="s">
        <v>3368</v>
      </c>
      <c r="M95" s="694" t="str">
        <f>IF(AND($I$90="Stable Communities &lt; 10%",O95=""), "X","")</f>
        <v/>
      </c>
      <c r="N95" s="231" t="s">
        <v>3420</v>
      </c>
      <c r="O95" s="1652" t="s">
        <v>4006</v>
      </c>
      <c r="P95" s="541"/>
    </row>
    <row r="96" spans="1:18" ht="11.45" customHeight="1">
      <c r="B96" s="231" t="s">
        <v>3421</v>
      </c>
      <c r="C96" s="665" t="s">
        <v>3753</v>
      </c>
      <c r="E96" s="160"/>
      <c r="M96" s="694" t="str">
        <f>IF(AND($I$90="Stable Communities &lt; 10%",O96=""), "X","")</f>
        <v/>
      </c>
      <c r="N96" s="231" t="s">
        <v>3421</v>
      </c>
      <c r="O96" s="1648" t="s">
        <v>4006</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7" t="s">
        <v>2104</v>
      </c>
      <c r="P99" s="355"/>
    </row>
    <row r="100" spans="1:18" ht="11.45" customHeight="1">
      <c r="B100" s="231" t="s">
        <v>3420</v>
      </c>
      <c r="C100" s="665" t="s">
        <v>3367</v>
      </c>
      <c r="E100" s="160"/>
      <c r="G100" s="132" t="s">
        <v>3368</v>
      </c>
      <c r="M100" s="572" t="str">
        <f>IF(AND($I$90="Stable Communities &lt; 20%",O100=""), "X","")</f>
        <v/>
      </c>
      <c r="N100" s="231" t="s">
        <v>3420</v>
      </c>
      <c r="O100" s="1652" t="s">
        <v>2104</v>
      </c>
      <c r="P100" s="541"/>
    </row>
    <row r="101" spans="1:18" ht="11.45" customHeight="1">
      <c r="B101" s="231" t="s">
        <v>3421</v>
      </c>
      <c r="C101" s="665" t="s">
        <v>3753</v>
      </c>
      <c r="E101" s="160"/>
      <c r="M101" s="572" t="str">
        <f>IF(AND($I$90="Stable Communities &lt; 20%",O101=""), "X","")</f>
        <v/>
      </c>
      <c r="N101" s="231" t="s">
        <v>3421</v>
      </c>
      <c r="O101" s="1648"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1647" t="s">
        <v>2104</v>
      </c>
      <c r="P105" s="355"/>
    </row>
    <row r="106" spans="1:18" ht="10.9" customHeight="1">
      <c r="B106" s="552" t="s">
        <v>3420</v>
      </c>
      <c r="C106" s="553" t="s">
        <v>843</v>
      </c>
      <c r="M106" s="861" t="str">
        <f>IF(AND($I$90="HOPE VI Initiative",O106=""), "X","")</f>
        <v/>
      </c>
      <c r="N106" s="231" t="s">
        <v>3420</v>
      </c>
      <c r="O106" s="1652" t="s">
        <v>2104</v>
      </c>
      <c r="P106" s="541"/>
    </row>
    <row r="107" spans="1:18" ht="10.9" customHeight="1">
      <c r="B107" s="552" t="s">
        <v>3421</v>
      </c>
      <c r="C107" s="553" t="s">
        <v>844</v>
      </c>
      <c r="M107" s="861" t="str">
        <f>IF(AND($I$90="HOPE VI Initiative",O107=""), "X","")</f>
        <v/>
      </c>
      <c r="N107" s="231" t="s">
        <v>3421</v>
      </c>
      <c r="O107" s="1652" t="s">
        <v>2104</v>
      </c>
      <c r="P107" s="541"/>
    </row>
    <row r="108" spans="1:18" ht="10.9" customHeight="1">
      <c r="B108" s="552" t="s">
        <v>3422</v>
      </c>
      <c r="C108" s="69" t="s">
        <v>845</v>
      </c>
      <c r="M108" s="861" t="str">
        <f>IF(AND($I$90="HOPE VI Initiative",O108=""), "X","")</f>
        <v/>
      </c>
      <c r="N108" s="231" t="s">
        <v>3422</v>
      </c>
      <c r="O108" s="1648"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4"/>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3" t="s">
        <v>2626</v>
      </c>
      <c r="I112" s="162" t="s">
        <v>1458</v>
      </c>
      <c r="J112" s="1654"/>
      <c r="K112" s="1655"/>
      <c r="L112" s="1656"/>
      <c r="M112" s="696">
        <v>1</v>
      </c>
      <c r="N112" s="551" t="s">
        <v>3549</v>
      </c>
      <c r="O112" s="157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c r="P114" s="232"/>
    </row>
    <row r="115" spans="1:18" ht="11.45" customHeight="1">
      <c r="B115" s="552" t="s">
        <v>3419</v>
      </c>
      <c r="C115" s="48" t="s">
        <v>3752</v>
      </c>
      <c r="D115" s="132"/>
      <c r="G115" s="132" t="s">
        <v>848</v>
      </c>
      <c r="H115" s="1658"/>
      <c r="M115" s="571" t="str">
        <f>IF(AND($I$90="Local Redevelopment Plan",O115=""), "X","")</f>
        <v/>
      </c>
      <c r="N115" s="552" t="s">
        <v>3419</v>
      </c>
      <c r="O115" s="1647" t="s">
        <v>2104</v>
      </c>
      <c r="P115" s="355"/>
    </row>
    <row r="116" spans="1:18" ht="10.9" customHeight="1">
      <c r="B116" s="552" t="s">
        <v>3420</v>
      </c>
      <c r="C116" s="553" t="s">
        <v>3445</v>
      </c>
      <c r="D116" s="132"/>
      <c r="M116" s="571"/>
      <c r="N116" s="552" t="s">
        <v>3420</v>
      </c>
      <c r="O116" s="1659" t="s">
        <v>2104</v>
      </c>
      <c r="P116" s="602"/>
    </row>
    <row r="117" spans="1:18" ht="10.9" customHeight="1">
      <c r="B117" s="552" t="s">
        <v>3421</v>
      </c>
      <c r="C117" s="553" t="s">
        <v>3446</v>
      </c>
      <c r="M117" s="571" t="str">
        <f t="shared" ref="M117:M121" si="0">IF(AND($I$90="Local Redevelopment Plan",O117=""), "X","")</f>
        <v/>
      </c>
      <c r="N117" s="552" t="s">
        <v>3421</v>
      </c>
      <c r="O117" s="1652" t="s">
        <v>2104</v>
      </c>
      <c r="P117" s="541"/>
    </row>
    <row r="118" spans="1:18" ht="10.9" customHeight="1">
      <c r="B118" s="552" t="s">
        <v>3422</v>
      </c>
      <c r="C118" s="553" t="s">
        <v>3447</v>
      </c>
      <c r="M118" s="571" t="str">
        <f t="shared" si="0"/>
        <v/>
      </c>
      <c r="N118" s="552" t="s">
        <v>3422</v>
      </c>
      <c r="O118" s="1652" t="s">
        <v>2104</v>
      </c>
      <c r="P118" s="541"/>
    </row>
    <row r="119" spans="1:18" ht="10.9" customHeight="1">
      <c r="B119" s="552" t="s">
        <v>3423</v>
      </c>
      <c r="C119" s="69" t="s">
        <v>3448</v>
      </c>
      <c r="M119" s="571" t="str">
        <f t="shared" si="0"/>
        <v/>
      </c>
      <c r="N119" s="552" t="s">
        <v>3423</v>
      </c>
      <c r="O119" s="1652" t="s">
        <v>2104</v>
      </c>
      <c r="P119" s="541"/>
    </row>
    <row r="120" spans="1:18" ht="10.9" customHeight="1">
      <c r="B120" s="552" t="s">
        <v>3443</v>
      </c>
      <c r="C120" s="553" t="s">
        <v>3449</v>
      </c>
      <c r="D120" s="132"/>
      <c r="M120" s="571" t="str">
        <f t="shared" si="0"/>
        <v/>
      </c>
      <c r="N120" s="552" t="s">
        <v>3443</v>
      </c>
      <c r="O120" s="1652" t="s">
        <v>2104</v>
      </c>
      <c r="P120" s="541"/>
    </row>
    <row r="121" spans="1:18" ht="10.9" customHeight="1">
      <c r="B121" s="552" t="s">
        <v>3444</v>
      </c>
      <c r="C121" s="553" t="s">
        <v>3450</v>
      </c>
      <c r="M121" s="571" t="str">
        <f t="shared" si="0"/>
        <v/>
      </c>
      <c r="N121" s="552" t="s">
        <v>3444</v>
      </c>
      <c r="O121" s="1648"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49" t="s">
        <v>4086</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0</v>
      </c>
      <c r="P132" s="93">
        <f>MIN($M132,(P133+P139))</f>
        <v>0</v>
      </c>
      <c r="Q132" s="148" t="s">
        <v>612</v>
      </c>
    </row>
    <row r="133" spans="1:17" ht="12" customHeight="1">
      <c r="B133" s="848"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0"/>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74" t="s">
        <v>2104</v>
      </c>
      <c r="P134" s="232"/>
    </row>
    <row r="135" spans="1:17" s="132" customFormat="1" ht="11.45" customHeight="1">
      <c r="B135" s="250"/>
      <c r="C135" s="161" t="s">
        <v>1460</v>
      </c>
      <c r="H135" s="704" t="s">
        <v>3620</v>
      </c>
      <c r="I135" s="1653"/>
      <c r="J135" s="704" t="s">
        <v>3219</v>
      </c>
      <c r="K135" s="1661"/>
      <c r="L135" s="1662"/>
      <c r="M135" s="1663"/>
    </row>
    <row r="136" spans="1:17" s="132" customFormat="1" ht="11.45" customHeight="1">
      <c r="B136" s="250" t="s">
        <v>2868</v>
      </c>
      <c r="C136" s="161" t="s">
        <v>1461</v>
      </c>
      <c r="M136" s="8"/>
      <c r="N136" s="250" t="s">
        <v>2868</v>
      </c>
      <c r="O136" s="1647" t="s">
        <v>4006</v>
      </c>
      <c r="P136" s="355"/>
    </row>
    <row r="137" spans="1:17" s="132" customFormat="1" ht="11.45" customHeight="1">
      <c r="B137" s="250" t="s">
        <v>3549</v>
      </c>
      <c r="C137" s="161" t="s">
        <v>1462</v>
      </c>
      <c r="M137" s="8"/>
      <c r="N137" s="250" t="s">
        <v>3549</v>
      </c>
      <c r="O137" s="1652" t="s">
        <v>4005</v>
      </c>
      <c r="P137" s="541"/>
    </row>
    <row r="138" spans="1:17" s="132" customFormat="1" ht="11.45" customHeight="1">
      <c r="B138" s="250" t="s">
        <v>1762</v>
      </c>
      <c r="C138" s="161" t="s">
        <v>1463</v>
      </c>
      <c r="M138" s="8"/>
      <c r="N138" s="250" t="s">
        <v>1762</v>
      </c>
      <c r="O138" s="1648" t="s">
        <v>4006</v>
      </c>
      <c r="P138" s="356"/>
    </row>
    <row r="139" spans="1:17" ht="12" customHeight="1">
      <c r="A139" s="254" t="s">
        <v>1921</v>
      </c>
      <c r="B139" s="848"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74"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t="s">
        <v>4087</v>
      </c>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t="s">
        <v>4088</v>
      </c>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3963</v>
      </c>
      <c r="L162" s="1574" t="s">
        <v>4006</v>
      </c>
      <c r="M162" s="8">
        <v>1</v>
      </c>
      <c r="N162" s="803" t="s">
        <v>2862</v>
      </c>
      <c r="O162" s="1640">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t="s">
        <v>4089</v>
      </c>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74" t="s">
        <v>4005</v>
      </c>
      <c r="P170" s="232"/>
      <c r="R170" s="558"/>
    </row>
    <row r="171" spans="1:18" s="51" customFormat="1" ht="12" customHeight="1">
      <c r="A171" s="189"/>
      <c r="B171" s="65" t="s">
        <v>3946</v>
      </c>
      <c r="D171" s="40"/>
      <c r="N171" s="803"/>
      <c r="O171" s="1574"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t="s">
        <v>1469</v>
      </c>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56</v>
      </c>
      <c r="K177" s="159"/>
      <c r="L177" s="802" t="str">
        <f>IF(AND(J177=0,O177&gt;0),"&lt;&lt;&lt; Check NC units!","")</f>
        <v/>
      </c>
      <c r="M177" s="3">
        <v>3</v>
      </c>
      <c r="N177" s="601" t="str">
        <f>IF(OR($O177=$M177,$O177=0,$O177=""),"","***")</f>
        <v/>
      </c>
      <c r="O177" s="1640"/>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78" t="s">
        <v>4064</v>
      </c>
      <c r="B180" s="1579"/>
      <c r="C180" s="1579"/>
      <c r="D180" s="1579"/>
      <c r="E180" s="1579"/>
      <c r="F180" s="1579"/>
      <c r="G180" s="1579"/>
      <c r="H180" s="1579"/>
      <c r="I180" s="1580"/>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c r="P182" s="85"/>
      <c r="Q182" s="148" t="s">
        <v>612</v>
      </c>
    </row>
    <row r="183" spans="1:18" s="51" customFormat="1" ht="12.6" customHeight="1">
      <c r="A183" s="50"/>
      <c r="B183" s="154" t="s">
        <v>2713</v>
      </c>
      <c r="D183" s="134"/>
      <c r="E183" s="1664" t="s">
        <v>2639</v>
      </c>
      <c r="F183" s="1665"/>
      <c r="G183" s="1666"/>
      <c r="H183" s="1667"/>
      <c r="I183" s="61" t="s">
        <v>2712</v>
      </c>
      <c r="O183" s="162" t="s">
        <v>3522</v>
      </c>
      <c r="P183" s="162" t="s">
        <v>3522</v>
      </c>
    </row>
    <row r="184" spans="1:18" s="132" customFormat="1" ht="11.45" customHeight="1">
      <c r="A184" s="189" t="s">
        <v>2862</v>
      </c>
      <c r="B184" s="161" t="s">
        <v>2512</v>
      </c>
      <c r="D184" s="161"/>
      <c r="E184" s="161"/>
      <c r="F184" s="161"/>
      <c r="G184" s="1668" t="s">
        <v>3535</v>
      </c>
      <c r="H184" s="1669"/>
      <c r="I184" s="1670"/>
      <c r="J184" s="1668" t="s">
        <v>1715</v>
      </c>
      <c r="K184" s="1669"/>
      <c r="L184" s="1670"/>
      <c r="N184" s="803" t="s">
        <v>2862</v>
      </c>
      <c r="O184" s="1574"/>
      <c r="P184" s="232"/>
    </row>
    <row r="185" spans="1:18" s="132" customFormat="1" ht="11.45" customHeight="1">
      <c r="A185" s="189" t="s">
        <v>2865</v>
      </c>
      <c r="B185" s="161" t="s">
        <v>475</v>
      </c>
      <c r="D185" s="161"/>
      <c r="E185" s="161"/>
      <c r="F185" s="161"/>
      <c r="G185" s="161"/>
      <c r="L185" s="161"/>
      <c r="M185" s="161"/>
      <c r="N185" s="803" t="s">
        <v>2865</v>
      </c>
      <c r="O185" s="1574"/>
      <c r="P185" s="232"/>
    </row>
    <row r="186" spans="1:18" s="132" customFormat="1" ht="11.45" customHeight="1">
      <c r="A186" s="189" t="s">
        <v>1145</v>
      </c>
      <c r="B186" s="161" t="s">
        <v>2467</v>
      </c>
      <c r="D186" s="161"/>
      <c r="E186" s="161"/>
      <c r="F186" s="161"/>
      <c r="G186" s="161"/>
      <c r="H186" s="161"/>
      <c r="L186" s="161"/>
      <c r="M186" s="161"/>
      <c r="N186" s="803" t="s">
        <v>1145</v>
      </c>
      <c r="O186" s="1574"/>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t="s">
        <v>1469</v>
      </c>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7" t="s">
        <v>2104</v>
      </c>
      <c r="P195" s="355"/>
    </row>
    <row r="196" spans="1:18" s="132" customFormat="1" ht="11.25" customHeight="1">
      <c r="B196" s="715" t="s">
        <v>2868</v>
      </c>
      <c r="C196" s="132" t="s">
        <v>809</v>
      </c>
      <c r="N196" s="250" t="s">
        <v>2868</v>
      </c>
      <c r="O196" s="1652" t="s">
        <v>2104</v>
      </c>
      <c r="P196" s="541"/>
    </row>
    <row r="197" spans="1:18" s="132" customFormat="1" ht="11.25" customHeight="1">
      <c r="B197" s="715" t="s">
        <v>3549</v>
      </c>
      <c r="C197" s="132" t="s">
        <v>810</v>
      </c>
      <c r="N197" s="250" t="s">
        <v>3549</v>
      </c>
      <c r="O197" s="1652" t="s">
        <v>2104</v>
      </c>
      <c r="P197" s="541"/>
    </row>
    <row r="198" spans="1:18" s="132" customFormat="1" ht="11.25" customHeight="1">
      <c r="B198" s="715" t="s">
        <v>1762</v>
      </c>
      <c r="C198" s="132" t="s">
        <v>811</v>
      </c>
      <c r="N198" s="250" t="s">
        <v>1762</v>
      </c>
      <c r="O198" s="1652" t="s">
        <v>2104</v>
      </c>
      <c r="P198" s="541"/>
    </row>
    <row r="199" spans="1:18" s="132" customFormat="1" ht="11.25" customHeight="1">
      <c r="B199" s="715" t="s">
        <v>1763</v>
      </c>
      <c r="C199" s="132" t="s">
        <v>819</v>
      </c>
      <c r="N199" s="250" t="s">
        <v>1763</v>
      </c>
      <c r="O199" s="1648" t="s">
        <v>2104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215" t="s">
        <v>2870</v>
      </c>
      <c r="J202" s="1215"/>
      <c r="L202" s="858" t="s">
        <v>2870</v>
      </c>
      <c r="M202" s="216"/>
      <c r="N202" s="250" t="s">
        <v>2866</v>
      </c>
    </row>
    <row r="203" spans="1:18" s="51" customFormat="1" ht="11.25" customHeight="1">
      <c r="A203" s="251"/>
      <c r="B203" s="150"/>
      <c r="C203" s="552" t="s">
        <v>3419</v>
      </c>
      <c r="D203" s="44" t="s">
        <v>2073</v>
      </c>
      <c r="H203" s="65"/>
      <c r="I203" s="1671"/>
      <c r="J203" s="1672"/>
      <c r="K203" s="253"/>
      <c r="L203" s="705"/>
      <c r="M203" s="89"/>
      <c r="N203" s="552" t="s">
        <v>3419</v>
      </c>
      <c r="O203" s="1647"/>
      <c r="P203" s="355"/>
      <c r="R203" s="558"/>
    </row>
    <row r="204" spans="1:18" ht="11.25" customHeight="1">
      <c r="A204" s="252"/>
      <c r="B204" s="108"/>
      <c r="C204" s="575" t="s">
        <v>3420</v>
      </c>
      <c r="D204" s="44" t="s">
        <v>2074</v>
      </c>
      <c r="H204" s="65"/>
      <c r="I204" s="1671"/>
      <c r="J204" s="1672"/>
      <c r="L204" s="705"/>
      <c r="M204" s="89"/>
      <c r="N204" s="575" t="s">
        <v>3420</v>
      </c>
      <c r="O204" s="1652"/>
      <c r="P204" s="541"/>
      <c r="R204" s="558"/>
    </row>
    <row r="205" spans="1:18" ht="11.25" customHeight="1">
      <c r="B205" s="715"/>
      <c r="C205" s="552" t="s">
        <v>3421</v>
      </c>
      <c r="D205" s="44" t="s">
        <v>3719</v>
      </c>
      <c r="H205" s="65"/>
      <c r="I205" s="1671"/>
      <c r="J205" s="1672"/>
      <c r="L205" s="705"/>
      <c r="M205" s="89"/>
      <c r="N205" s="552" t="s">
        <v>3421</v>
      </c>
      <c r="O205" s="1652"/>
      <c r="P205" s="541"/>
      <c r="R205" s="558"/>
    </row>
    <row r="206" spans="1:18" ht="11.25" customHeight="1">
      <c r="A206" s="252"/>
      <c r="B206" s="715"/>
      <c r="C206" s="552" t="s">
        <v>3422</v>
      </c>
      <c r="D206" s="44" t="s">
        <v>3720</v>
      </c>
      <c r="I206" s="1671"/>
      <c r="J206" s="1672"/>
      <c r="L206" s="705"/>
      <c r="M206" s="89"/>
      <c r="N206" s="552" t="s">
        <v>3422</v>
      </c>
      <c r="O206" s="1652"/>
      <c r="P206" s="541"/>
      <c r="R206" s="558"/>
    </row>
    <row r="207" spans="1:18" s="51" customFormat="1" ht="11.25" customHeight="1">
      <c r="A207" s="251"/>
      <c r="B207" s="715"/>
      <c r="C207" s="575" t="s">
        <v>3423</v>
      </c>
      <c r="D207" s="44" t="s">
        <v>2075</v>
      </c>
      <c r="H207" s="65"/>
      <c r="I207" s="1671"/>
      <c r="J207" s="1672"/>
      <c r="K207" s="253"/>
      <c r="L207" s="705"/>
      <c r="M207" s="89"/>
      <c r="N207" s="575" t="s">
        <v>3423</v>
      </c>
      <c r="O207" s="1652"/>
      <c r="P207" s="541"/>
      <c r="R207" s="558"/>
    </row>
    <row r="208" spans="1:18" ht="11.25" customHeight="1">
      <c r="A208" s="252"/>
      <c r="B208" s="715"/>
      <c r="C208" s="552" t="s">
        <v>3443</v>
      </c>
      <c r="D208" s="44" t="s">
        <v>2076</v>
      </c>
      <c r="H208" s="65"/>
      <c r="I208" s="1671"/>
      <c r="J208" s="1672"/>
      <c r="L208" s="705"/>
      <c r="M208" s="89"/>
      <c r="N208" s="552" t="s">
        <v>3443</v>
      </c>
      <c r="O208" s="1652"/>
      <c r="P208" s="541"/>
      <c r="R208" s="558"/>
    </row>
    <row r="209" spans="1:18" ht="11.25" customHeight="1">
      <c r="A209" s="252"/>
      <c r="B209" s="715"/>
      <c r="C209" s="552" t="s">
        <v>3444</v>
      </c>
      <c r="D209" s="44" t="s">
        <v>2077</v>
      </c>
      <c r="H209" s="65"/>
      <c r="I209" s="1671"/>
      <c r="J209" s="1672"/>
      <c r="L209" s="705"/>
      <c r="M209" s="89"/>
      <c r="N209" s="552" t="s">
        <v>3444</v>
      </c>
      <c r="O209" s="1652"/>
      <c r="P209" s="541"/>
      <c r="R209" s="558"/>
    </row>
    <row r="210" spans="1:18" ht="11.25" customHeight="1" thickBot="1">
      <c r="A210" s="252"/>
      <c r="B210" s="715"/>
      <c r="C210" s="552" t="s">
        <v>3451</v>
      </c>
      <c r="D210" s="701" t="s">
        <v>3721</v>
      </c>
      <c r="E210" s="702"/>
      <c r="F210" s="702"/>
      <c r="G210" s="702"/>
      <c r="H210" s="703"/>
      <c r="I210" s="1673"/>
      <c r="J210" s="1674"/>
      <c r="L210" s="709"/>
      <c r="M210" s="89"/>
      <c r="N210" s="552" t="s">
        <v>3451</v>
      </c>
      <c r="O210" s="1648"/>
      <c r="P210" s="356"/>
      <c r="R210" s="558"/>
    </row>
    <row r="211" spans="1:18" ht="12" customHeight="1" thickBot="1">
      <c r="A211" s="252"/>
      <c r="B211" s="715"/>
      <c r="D211" s="699" t="s">
        <v>3724</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3723</v>
      </c>
      <c r="D213" s="699" t="s">
        <v>3725</v>
      </c>
      <c r="I213" s="1207">
        <f>'Part IV-Uses of Funds'!$G$123</f>
        <v>7383031</v>
      </c>
      <c r="J213" s="1208"/>
      <c r="M213" s="216"/>
      <c r="N213" s="31"/>
      <c r="O213" s="31"/>
      <c r="P213" s="31"/>
    </row>
    <row r="214" spans="1:18" ht="12" customHeight="1">
      <c r="B214" s="250"/>
      <c r="C214" s="698"/>
      <c r="D214" s="720" t="s">
        <v>3726</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3321</v>
      </c>
      <c r="D220" s="583"/>
      <c r="E220" s="1680"/>
      <c r="F220" s="1681"/>
      <c r="G220" s="1681"/>
      <c r="H220" s="1681"/>
      <c r="I220" s="1681"/>
      <c r="J220" s="1681"/>
      <c r="K220" s="1681"/>
      <c r="L220" s="1681"/>
      <c r="M220" s="1681"/>
      <c r="N220" s="1681"/>
      <c r="O220" s="1681"/>
      <c r="P220" s="1313"/>
    </row>
    <row r="221" spans="1:18" ht="12.6" customHeight="1">
      <c r="B221" s="44" t="s">
        <v>3863</v>
      </c>
      <c r="E221" s="704"/>
      <c r="I221" s="1682"/>
      <c r="J221" s="1683"/>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47" t="s">
        <v>4006</v>
      </c>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48" t="s">
        <v>4006</v>
      </c>
      <c r="P230" s="356"/>
    </row>
    <row r="231" spans="1:18" s="51" customFormat="1" ht="12" customHeight="1">
      <c r="A231" s="189" t="s">
        <v>2865</v>
      </c>
      <c r="B231" s="236" t="s">
        <v>3727</v>
      </c>
      <c r="D231" s="40"/>
      <c r="E231" s="40"/>
      <c r="F231" s="40"/>
      <c r="H231" s="65" t="s">
        <v>3287</v>
      </c>
      <c r="N231" s="803" t="s">
        <v>2865</v>
      </c>
      <c r="O231" s="1574" t="s">
        <v>4005</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47" t="s">
        <v>2104</v>
      </c>
      <c r="P233" s="355"/>
    </row>
    <row r="234" spans="1:18" s="132" customFormat="1" ht="11.25" customHeight="1">
      <c r="B234" s="551" t="s">
        <v>2868</v>
      </c>
      <c r="C234" s="697" t="s">
        <v>3729</v>
      </c>
      <c r="N234" s="250" t="s">
        <v>2868</v>
      </c>
      <c r="O234" s="1652" t="s">
        <v>2104</v>
      </c>
      <c r="P234" s="541"/>
    </row>
    <row r="235" spans="1:18" s="132" customFormat="1" ht="11.25" customHeight="1">
      <c r="B235" s="551" t="s">
        <v>3549</v>
      </c>
      <c r="C235" s="697" t="s">
        <v>3731</v>
      </c>
      <c r="N235" s="250" t="s">
        <v>3549</v>
      </c>
      <c r="O235" s="1652" t="s">
        <v>2104</v>
      </c>
      <c r="P235" s="541"/>
    </row>
    <row r="236" spans="1:18" s="132" customFormat="1" ht="11.25" customHeight="1">
      <c r="B236" s="551" t="s">
        <v>1762</v>
      </c>
      <c r="C236" s="697" t="s">
        <v>3732</v>
      </c>
      <c r="N236" s="250" t="s">
        <v>1762</v>
      </c>
      <c r="O236" s="1648"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t="s">
        <v>4092</v>
      </c>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4">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85" t="s">
        <v>4029</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684"/>
      <c r="P247" s="743"/>
    </row>
    <row r="248" spans="1:18" s="655" customFormat="1" ht="24" customHeight="1">
      <c r="A248" s="711" t="s">
        <v>1921</v>
      </c>
      <c r="B248" s="723" t="s">
        <v>2868</v>
      </c>
      <c r="C248" s="1121" t="s">
        <v>3761</v>
      </c>
      <c r="D248" s="1121"/>
      <c r="E248" s="1121"/>
      <c r="F248" s="1121"/>
      <c r="G248" s="1121"/>
      <c r="H248" s="1121"/>
      <c r="I248" s="1121"/>
      <c r="J248" s="1121"/>
      <c r="K248" s="1121"/>
      <c r="L248" s="1121"/>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t="s">
        <v>4090</v>
      </c>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4" t="s">
        <v>4006</v>
      </c>
      <c r="P255" s="232"/>
    </row>
    <row r="256" spans="1:18" ht="12.6" customHeight="1">
      <c r="A256" s="189" t="s">
        <v>2862</v>
      </c>
      <c r="B256" s="254" t="s">
        <v>2020</v>
      </c>
      <c r="D256" s="40"/>
      <c r="E256" s="40"/>
      <c r="F256" s="40"/>
      <c r="G256" s="40"/>
      <c r="H256" s="40"/>
      <c r="I256" s="40"/>
      <c r="J256" s="40"/>
      <c r="K256" s="40"/>
      <c r="L256" s="40"/>
      <c r="M256" s="157"/>
      <c r="N256" s="803" t="s">
        <v>2862</v>
      </c>
      <c r="O256" s="1686">
        <v>10</v>
      </c>
      <c r="P256" s="580"/>
    </row>
    <row r="257" spans="1:18" ht="12.6" customHeight="1">
      <c r="A257" s="189" t="s">
        <v>2865</v>
      </c>
      <c r="B257" s="254" t="s">
        <v>325</v>
      </c>
      <c r="D257" s="40"/>
      <c r="E257" s="40"/>
      <c r="F257" s="40"/>
      <c r="G257" s="48"/>
      <c r="H257" s="48"/>
      <c r="I257" s="48"/>
      <c r="J257" s="48"/>
      <c r="K257" s="48"/>
      <c r="M257" s="134"/>
      <c r="N257" s="803" t="s">
        <v>2865</v>
      </c>
      <c r="O257" s="1574" t="s">
        <v>4045</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t="s">
        <v>4091</v>
      </c>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3967</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164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87"/>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688"/>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689"/>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690"/>
      <c r="P272" s="742"/>
    </row>
    <row r="273" spans="1:18" ht="13.5" customHeight="1">
      <c r="A273" s="189" t="s">
        <v>2865</v>
      </c>
      <c r="B273" s="236" t="s">
        <v>3740</v>
      </c>
      <c r="D273" s="40"/>
      <c r="E273" s="73" t="s">
        <v>3966</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688"/>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690"/>
      <c r="P276" s="742"/>
    </row>
    <row r="277" spans="1:18" s="132" customFormat="1" ht="12" customHeight="1">
      <c r="B277" s="551" t="s">
        <v>2868</v>
      </c>
      <c r="C277" s="724" t="s">
        <v>3742</v>
      </c>
      <c r="L277" s="558" t="str">
        <f>IF(OR($O277=$M277,$O277=0,$O277=""),"","* * Check Score! * *")</f>
        <v/>
      </c>
      <c r="M277" s="8">
        <v>1</v>
      </c>
      <c r="N277" s="250" t="s">
        <v>2868</v>
      </c>
      <c r="O277" s="1640"/>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84"/>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85"/>
      <c r="P280" s="744"/>
    </row>
    <row r="281" spans="1:18" s="132" customFormat="1" ht="12" customHeight="1">
      <c r="B281" s="551" t="s">
        <v>1762</v>
      </c>
      <c r="C281" s="724" t="s">
        <v>3748</v>
      </c>
      <c r="F281" s="697" t="s">
        <v>3864</v>
      </c>
      <c r="L281" s="558"/>
      <c r="M281" s="8">
        <v>2</v>
      </c>
      <c r="N281" s="250" t="s">
        <v>1762</v>
      </c>
      <c r="O281" s="1640"/>
      <c r="P281" s="85"/>
    </row>
    <row r="282" spans="1:18" s="132" customFormat="1" ht="12" customHeight="1">
      <c r="B282" s="551" t="s">
        <v>1763</v>
      </c>
      <c r="C282" s="724" t="s">
        <v>3749</v>
      </c>
      <c r="F282" s="697" t="s">
        <v>3751</v>
      </c>
      <c r="J282" s="1175">
        <f>'Part IV-Uses of Funds'!$B$39/'Part IV-Uses of Funds'!$G$123</f>
        <v>0.63986728485902333</v>
      </c>
      <c r="K282" s="1176"/>
      <c r="L282" s="558"/>
      <c r="M282" s="8">
        <v>2</v>
      </c>
      <c r="N282" s="250" t="s">
        <v>1763</v>
      </c>
      <c r="O282" s="1640"/>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4"/>
      <c r="P284" s="232"/>
      <c r="R284" s="558"/>
    </row>
    <row r="285" spans="1:18" s="51" customFormat="1" ht="12" customHeight="1">
      <c r="A285" s="189"/>
      <c r="B285" s="575" t="s">
        <v>3420</v>
      </c>
      <c r="C285" s="65" t="s">
        <v>3946</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t="s">
        <v>1469</v>
      </c>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48</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48</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The Groves Place</v>
      </c>
    </row>
    <row r="3" spans="1:6" ht="16.5">
      <c r="A3" s="576" t="str">
        <f>CONCATENATE('Part I-Project Information'!F24,", ", 'Part I-Project Information'!J25," County")</f>
        <v>Tifton, Tift County</v>
      </c>
    </row>
    <row r="4" spans="1:6" ht="12" customHeight="1"/>
    <row r="5" spans="1:6" ht="113.25" customHeight="1">
      <c r="A5" s="1216" t="s">
        <v>4047</v>
      </c>
      <c r="B5" s="1129" t="s">
        <v>3960</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The Groves Place</v>
      </c>
    </row>
    <row r="3" spans="1:6" ht="16.5">
      <c r="A3" s="576" t="str">
        <f>CONCATENATE('Part I-Project Information'!F24,", ", 'Part I-Project Information'!J25," County")</f>
        <v>Tifton, Tift County</v>
      </c>
    </row>
    <row r="4" spans="1:6" ht="12" customHeight="1"/>
    <row r="5" spans="1:6" ht="60" customHeight="1">
      <c r="A5" s="1216" t="s">
        <v>3959</v>
      </c>
      <c r="B5" s="1129" t="s">
        <v>3961</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8241184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9889432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9065294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2012-06-13T06:38:46Z</cp:lastPrinted>
  <dcterms:created xsi:type="dcterms:W3CDTF">2005-09-15T20:51:37Z</dcterms:created>
  <dcterms:modified xsi:type="dcterms:W3CDTF">2012-08-02T21:58:16Z</dcterms:modified>
</cp:coreProperties>
</file>