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codeName="ThisWorkbook" defaultThemeVersion="124226"/>
  <bookViews>
    <workbookView xWindow="-15" yWindow="3150" windowWidth="23070" windowHeight="306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M32" i="3"/>
  <c r="M33"/>
  <c r="H109" i="36" l="1"/>
  <c r="I109" s="1"/>
  <c r="J109" s="1"/>
  <c r="K109" s="1"/>
  <c r="L109" s="1"/>
  <c r="M109" s="1"/>
  <c r="N109" s="1"/>
  <c r="O109" s="1"/>
  <c r="P109" s="1"/>
  <c r="G119" s="1"/>
  <c r="H119" s="1"/>
  <c r="I119" s="1"/>
  <c r="J119" s="1"/>
  <c r="K119" s="1"/>
  <c r="L119" s="1"/>
  <c r="M119" s="1"/>
  <c r="N119" s="1"/>
  <c r="O119" s="1"/>
  <c r="P119" s="1"/>
  <c r="G129" s="1"/>
  <c r="H129" s="1"/>
  <c r="I129" s="1"/>
  <c r="J129" s="1"/>
  <c r="K129" s="1"/>
  <c r="L129" s="1"/>
  <c r="M129" s="1"/>
  <c r="N129" s="1"/>
  <c r="O129" s="1"/>
  <c r="P129" s="1"/>
  <c r="G109"/>
  <c r="BK11"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70" i="8" l="1"/>
  <c r="C100"/>
  <c r="P218" i="11"/>
  <c r="C40" i="8"/>
  <c r="O273" i="11"/>
  <c r="P273"/>
  <c r="D40" i="8" l="1"/>
  <c r="D100"/>
  <c r="D70"/>
  <c r="M291" i="11"/>
  <c r="M6" s="1"/>
  <c r="L277"/>
  <c r="A265"/>
  <c r="P246"/>
  <c r="O246"/>
  <c r="L233"/>
  <c r="K221"/>
  <c r="O242" l="1"/>
  <c r="P242"/>
  <c r="E70" i="8"/>
  <c r="O218" i="11"/>
  <c r="E100" i="8"/>
  <c r="E40"/>
  <c r="O264" i="11"/>
  <c r="P264"/>
  <c r="L211"/>
  <c r="F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100" l="1"/>
  <c r="G70"/>
  <c r="G40"/>
  <c r="Q20" i="36"/>
  <c r="Q21"/>
  <c r="Q22"/>
  <c r="Q23"/>
  <c r="Q24"/>
  <c r="Q25"/>
  <c r="Q26"/>
  <c r="Q27"/>
  <c r="Q28"/>
  <c r="Q29"/>
  <c r="Q30"/>
  <c r="Q31"/>
  <c r="Q32"/>
  <c r="Q33"/>
  <c r="Q34"/>
  <c r="Q35"/>
  <c r="Q36"/>
  <c r="Q37"/>
  <c r="Q38"/>
  <c r="Q39"/>
  <c r="Q40"/>
  <c r="Q41"/>
  <c r="Q42"/>
  <c r="Q43"/>
  <c r="Q44"/>
  <c r="Q45"/>
  <c r="Q46"/>
  <c r="Q47"/>
  <c r="J43" i="6"/>
  <c r="H49" i="3"/>
  <c r="O41" i="15"/>
  <c r="M17"/>
  <c r="A104" i="11"/>
  <c r="O90"/>
  <c r="O8"/>
  <c r="O132"/>
  <c r="O161"/>
  <c r="O254"/>
  <c r="G109" i="15"/>
  <c r="C109"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Q16" s="1"/>
  <c r="P17"/>
  <c r="Q17" s="1"/>
  <c r="P18"/>
  <c r="Q18" s="1"/>
  <c r="P19"/>
  <c r="Q19" s="1"/>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C28" i="8" l="1"/>
  <c r="D28" s="1"/>
  <c r="E28" s="1"/>
  <c r="F28" s="1"/>
  <c r="G28" s="1"/>
  <c r="H28" s="1"/>
  <c r="I28" s="1"/>
  <c r="J28" s="1"/>
  <c r="K28" s="1"/>
  <c r="B58" s="1"/>
  <c r="C58" s="1"/>
  <c r="D58" s="1"/>
  <c r="E58" s="1"/>
  <c r="F58" s="1"/>
  <c r="G58" s="1"/>
  <c r="H58" s="1"/>
  <c r="I58" s="1"/>
  <c r="J58" s="1"/>
  <c r="K58" s="1"/>
  <c r="B88" s="1"/>
  <c r="C88" s="1"/>
  <c r="D88" s="1"/>
  <c r="E88" s="1"/>
  <c r="F88" s="1"/>
  <c r="G88" s="1"/>
  <c r="H88" s="1"/>
  <c r="I88" s="1"/>
  <c r="J88" s="1"/>
  <c r="K88" s="1"/>
  <c r="I29"/>
  <c r="H29"/>
  <c r="E29"/>
  <c r="B29"/>
  <c r="D29"/>
  <c r="AS48" i="36"/>
  <c r="CS48"/>
  <c r="GG48"/>
  <c r="J87" s="1"/>
  <c r="FT48"/>
  <c r="L90" s="1"/>
  <c r="CT48"/>
  <c r="CV48"/>
  <c r="FW48"/>
  <c r="J85" s="1"/>
  <c r="CW48"/>
  <c r="GI48"/>
  <c r="L87" s="1"/>
  <c r="X48"/>
  <c r="J56" s="1"/>
  <c r="Z48"/>
  <c r="L56" s="1"/>
  <c r="V48"/>
  <c r="H56" s="1"/>
  <c r="GS48"/>
  <c r="AQ48"/>
  <c r="AU48"/>
  <c r="H65" s="1"/>
  <c r="AY48"/>
  <c r="L65" s="1"/>
  <c r="BC48"/>
  <c r="K64" s="1"/>
  <c r="AZ48"/>
  <c r="H64" s="1"/>
  <c r="AV48"/>
  <c r="I65" s="1"/>
  <c r="BB48"/>
  <c r="J64" s="1"/>
  <c r="AX48"/>
  <c r="K65" s="1"/>
  <c r="AO48"/>
  <c r="L59" s="1"/>
  <c r="AK48"/>
  <c r="H59" s="1"/>
  <c r="Y48"/>
  <c r="K56" s="1"/>
  <c r="W48"/>
  <c r="I56" s="1"/>
  <c r="AM48"/>
  <c r="J59" s="1"/>
  <c r="BD48"/>
  <c r="L64" s="1"/>
  <c r="F106" i="15"/>
  <c r="B39"/>
  <c r="F42" s="1"/>
  <c r="F34"/>
  <c r="F107"/>
  <c r="GH48" i="36"/>
  <c r="K87" s="1"/>
  <c r="GO48"/>
  <c r="K85" i="8"/>
  <c r="G85"/>
  <c r="C85"/>
  <c r="I55"/>
  <c r="E55"/>
  <c r="K25"/>
  <c r="G25"/>
  <c r="C25"/>
  <c r="B55"/>
  <c r="H25"/>
  <c r="J85"/>
  <c r="F85"/>
  <c r="B85"/>
  <c r="H55"/>
  <c r="D55"/>
  <c r="J25"/>
  <c r="F25"/>
  <c r="B25"/>
  <c r="H85"/>
  <c r="F55"/>
  <c r="I85"/>
  <c r="E85"/>
  <c r="K55"/>
  <c r="G55"/>
  <c r="C55"/>
  <c r="I25"/>
  <c r="E25"/>
  <c r="D85"/>
  <c r="J55"/>
  <c r="D25"/>
  <c r="BG48" i="36"/>
  <c r="AN48"/>
  <c r="K59" s="1"/>
  <c r="AE48"/>
  <c r="L57" s="1"/>
  <c r="AC48"/>
  <c r="J57" s="1"/>
  <c r="J58" s="1"/>
  <c r="J60" s="1"/>
  <c r="AA48"/>
  <c r="H57" s="1"/>
  <c r="D37" i="3"/>
  <c r="M123" i="15"/>
  <c r="M140" s="1"/>
  <c r="M142" s="1"/>
  <c r="M144" s="1"/>
  <c r="E17" i="8"/>
  <c r="FN48" i="36"/>
  <c r="K91" s="1"/>
  <c r="H17" i="8"/>
  <c r="B18"/>
  <c r="F18"/>
  <c r="D18"/>
  <c r="I86"/>
  <c r="E86"/>
  <c r="K56"/>
  <c r="G56"/>
  <c r="C56"/>
  <c r="I26"/>
  <c r="E26"/>
  <c r="J26"/>
  <c r="H86"/>
  <c r="D86"/>
  <c r="J56"/>
  <c r="F56"/>
  <c r="B56"/>
  <c r="H26"/>
  <c r="D26"/>
  <c r="J86"/>
  <c r="B86"/>
  <c r="H56"/>
  <c r="B26"/>
  <c r="K86"/>
  <c r="G86"/>
  <c r="C86"/>
  <c r="I56"/>
  <c r="E56"/>
  <c r="K26"/>
  <c r="G26"/>
  <c r="C26"/>
  <c r="F86"/>
  <c r="D56"/>
  <c r="F26"/>
  <c r="AT48" i="36"/>
  <c r="AP48"/>
  <c r="H40" i="8"/>
  <c r="H70"/>
  <c r="FY48" i="36"/>
  <c r="L85" s="1"/>
  <c r="FB48"/>
  <c r="I89" s="1"/>
  <c r="J18" i="8"/>
  <c r="FP48" i="36"/>
  <c r="H90" s="1"/>
  <c r="EX48"/>
  <c r="J17" i="8"/>
  <c r="G17"/>
  <c r="C17"/>
  <c r="GF48" i="36"/>
  <c r="I87" s="1"/>
  <c r="CU48"/>
  <c r="HF48"/>
  <c r="K29" i="8"/>
  <c r="G29"/>
  <c r="C29"/>
  <c r="BY48" i="36"/>
  <c r="H94" s="1"/>
  <c r="AL48"/>
  <c r="I59" s="1"/>
  <c r="AD48"/>
  <c r="K57" s="1"/>
  <c r="K58" s="1"/>
  <c r="K60" s="1"/>
  <c r="AB48"/>
  <c r="I57" s="1"/>
  <c r="F108" i="15"/>
  <c r="L254" i="11"/>
  <c r="J154" i="15"/>
  <c r="J155" s="1"/>
  <c r="J157" s="1"/>
  <c r="J159" s="1"/>
  <c r="FH48" i="36"/>
  <c r="J92" s="1"/>
  <c r="K17" i="8"/>
  <c r="D17"/>
  <c r="H18"/>
  <c r="I17"/>
  <c r="F17"/>
  <c r="B17"/>
  <c r="K18"/>
  <c r="I18"/>
  <c r="G18"/>
  <c r="E18"/>
  <c r="C18"/>
  <c r="GZ48" i="36"/>
  <c r="HL48"/>
  <c r="J29" i="8"/>
  <c r="F29"/>
  <c r="I84"/>
  <c r="E84"/>
  <c r="K54"/>
  <c r="G54"/>
  <c r="C54"/>
  <c r="I24"/>
  <c r="E24"/>
  <c r="B84"/>
  <c r="J24"/>
  <c r="B24"/>
  <c r="H84"/>
  <c r="D84"/>
  <c r="J54"/>
  <c r="F54"/>
  <c r="B54"/>
  <c r="H24"/>
  <c r="D24"/>
  <c r="J84"/>
  <c r="D54"/>
  <c r="F24"/>
  <c r="K84"/>
  <c r="G84"/>
  <c r="C84"/>
  <c r="I54"/>
  <c r="E54"/>
  <c r="K24"/>
  <c r="G24"/>
  <c r="C24"/>
  <c r="F84"/>
  <c r="H54"/>
  <c r="AW48" i="36"/>
  <c r="J65" s="1"/>
  <c r="BA48"/>
  <c r="I64" s="1"/>
  <c r="AR48"/>
  <c r="H100" i="8"/>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GN48"/>
  <c r="L88" s="1"/>
  <c r="GL48"/>
  <c r="J88" s="1"/>
  <c r="GJ48"/>
  <c r="H88" s="1"/>
  <c r="GD48"/>
  <c r="L86" s="1"/>
  <c r="GB48"/>
  <c r="J86" s="1"/>
  <c r="FZ48"/>
  <c r="H86" s="1"/>
  <c r="FX48"/>
  <c r="K85" s="1"/>
  <c r="FV48"/>
  <c r="I85" s="1"/>
  <c r="FO48"/>
  <c r="L91" s="1"/>
  <c r="FM48"/>
  <c r="J91" s="1"/>
  <c r="FI48"/>
  <c r="K92" s="1"/>
  <c r="FG48"/>
  <c r="I92" s="1"/>
  <c r="E33" i="15"/>
  <c r="B59" i="8"/>
  <c r="C59"/>
  <c r="D5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41" i="8" l="1"/>
  <c r="M89" i="36"/>
  <c r="Q89" s="1"/>
  <c r="K66"/>
  <c r="M87"/>
  <c r="M90"/>
  <c r="Q90" s="1"/>
  <c r="I66"/>
  <c r="J62"/>
  <c r="I84"/>
  <c r="I58"/>
  <c r="I60" s="1"/>
  <c r="I62" s="1"/>
  <c r="M56"/>
  <c r="L58"/>
  <c r="L60" s="1"/>
  <c r="L62" s="1"/>
  <c r="M72"/>
  <c r="Q72" s="1"/>
  <c r="M64"/>
  <c r="J70"/>
  <c r="K80"/>
  <c r="H58"/>
  <c r="H60" s="1"/>
  <c r="H62" s="1"/>
  <c r="L66"/>
  <c r="H66"/>
  <c r="K77"/>
  <c r="M79"/>
  <c r="Q79" s="1"/>
  <c r="M65"/>
  <c r="H74"/>
  <c r="M57"/>
  <c r="I77"/>
  <c r="M59"/>
  <c r="Q59" s="1"/>
  <c r="J66"/>
  <c r="L70"/>
  <c r="M75"/>
  <c r="Q75" s="1"/>
  <c r="L77"/>
  <c r="H70"/>
  <c r="I80"/>
  <c r="M76"/>
  <c r="Q76" s="1"/>
  <c r="M61"/>
  <c r="M99"/>
  <c r="M91"/>
  <c r="Q91" s="1"/>
  <c r="M69"/>
  <c r="Q69" s="1"/>
  <c r="M73"/>
  <c r="Q73" s="1"/>
  <c r="I40" i="8"/>
  <c r="M78" i="36"/>
  <c r="Q78" s="1"/>
  <c r="K70"/>
  <c r="J80"/>
  <c r="J77"/>
  <c r="J282" i="11"/>
  <c r="I70" i="8"/>
  <c r="L80" i="36"/>
  <c r="I100" i="8"/>
  <c r="I70" i="36"/>
  <c r="B14" i="8"/>
  <c r="D74" s="1"/>
  <c r="G104" i="36"/>
  <c r="H80"/>
  <c r="K84"/>
  <c r="M68"/>
  <c r="Q68" s="1"/>
  <c r="H77"/>
  <c r="I74"/>
  <c r="H50" i="3"/>
  <c r="O42" s="1"/>
  <c r="I213" i="11"/>
  <c r="I214" s="1"/>
  <c r="M85" i="36"/>
  <c r="J84"/>
  <c r="H84"/>
  <c r="L84"/>
  <c r="M88"/>
  <c r="M86"/>
  <c r="J74"/>
  <c r="L74"/>
  <c r="K74"/>
  <c r="K62"/>
  <c r="J96"/>
  <c r="J98" s="1"/>
  <c r="J100" s="1"/>
  <c r="K96"/>
  <c r="K98" s="1"/>
  <c r="K100" s="1"/>
  <c r="L96"/>
  <c r="L98" s="1"/>
  <c r="L100" s="1"/>
  <c r="M97"/>
  <c r="M92"/>
  <c r="Q92" s="1"/>
  <c r="N6"/>
  <c r="P6"/>
  <c r="M95"/>
  <c r="Q95" s="1"/>
  <c r="H96"/>
  <c r="I96"/>
  <c r="I98" s="1"/>
  <c r="I100" s="1"/>
  <c r="M94"/>
  <c r="Q94" s="1"/>
  <c r="F74" i="8" l="1"/>
  <c r="Q15" i="36"/>
  <c r="Q11"/>
  <c r="Q14"/>
  <c r="Q10"/>
  <c r="Q13"/>
  <c r="Q12"/>
  <c r="C41" i="8"/>
  <c r="I44"/>
  <c r="K14"/>
  <c r="H14"/>
  <c r="F44"/>
  <c r="E74"/>
  <c r="D14"/>
  <c r="B74"/>
  <c r="J44"/>
  <c r="B44"/>
  <c r="G14"/>
  <c r="H51" i="7"/>
  <c r="Q56" i="36"/>
  <c r="Q65"/>
  <c r="Q64"/>
  <c r="I51" i="7"/>
  <c r="H54"/>
  <c r="Q99" i="36"/>
  <c r="P52" i="7"/>
  <c r="Q61" i="36"/>
  <c r="H50" i="7"/>
  <c r="M60" i="36"/>
  <c r="M58"/>
  <c r="Q58" s="1"/>
  <c r="M66"/>
  <c r="Q66" s="1"/>
  <c r="M80"/>
  <c r="F45" i="7" s="1"/>
  <c r="H52"/>
  <c r="Q97" i="36"/>
  <c r="I50" i="7"/>
  <c r="Q57" i="36"/>
  <c r="M77"/>
  <c r="F44" i="7" s="1"/>
  <c r="M70" i="36"/>
  <c r="Q70" s="1"/>
  <c r="L214" i="11"/>
  <c r="J100" i="8"/>
  <c r="J40"/>
  <c r="M84" i="36"/>
  <c r="Q84" s="1"/>
  <c r="O201" i="11"/>
  <c r="J70" i="8"/>
  <c r="E44"/>
  <c r="I74"/>
  <c r="C14"/>
  <c r="J74"/>
  <c r="O104" i="36"/>
  <c r="J14" i="8"/>
  <c r="C44"/>
  <c r="K44"/>
  <c r="G74"/>
  <c r="B15"/>
  <c r="K75" s="1"/>
  <c r="E14"/>
  <c r="H44"/>
  <c r="H74"/>
  <c r="P50" i="7"/>
  <c r="F14" i="8"/>
  <c r="G44"/>
  <c r="C74"/>
  <c r="K74"/>
  <c r="I14"/>
  <c r="D44"/>
  <c r="O41" i="3"/>
  <c r="O43" s="1"/>
  <c r="H51"/>
  <c r="M74" i="36"/>
  <c r="M62"/>
  <c r="R13" i="24"/>
  <c r="R11"/>
  <c r="D125" i="15" s="1"/>
  <c r="R12" i="24"/>
  <c r="M96" i="36"/>
  <c r="H98"/>
  <c r="P201" i="11" l="1"/>
  <c r="D41" i="8"/>
  <c r="G15"/>
  <c r="G16" s="1"/>
  <c r="F75"/>
  <c r="C45"/>
  <c r="C46" s="1"/>
  <c r="C50" s="1"/>
  <c r="E75"/>
  <c r="E76" s="1"/>
  <c r="H49" i="7"/>
  <c r="H53" s="1"/>
  <c r="H55" s="1"/>
  <c r="L31" i="11"/>
  <c r="P140" i="7"/>
  <c r="P141"/>
  <c r="Q80" i="36"/>
  <c r="Q60"/>
  <c r="L32" i="11"/>
  <c r="Q77" i="36"/>
  <c r="O193" i="11"/>
  <c r="K40" i="8"/>
  <c r="D45"/>
  <c r="D46" s="1"/>
  <c r="J75"/>
  <c r="J76" s="1"/>
  <c r="E45"/>
  <c r="E46" s="1"/>
  <c r="I75"/>
  <c r="I76" s="1"/>
  <c r="K15"/>
  <c r="K16" s="1"/>
  <c r="F45"/>
  <c r="F46" s="1"/>
  <c r="J15"/>
  <c r="J16" s="1"/>
  <c r="K45"/>
  <c r="K46" s="1"/>
  <c r="B75"/>
  <c r="B76" s="1"/>
  <c r="K70"/>
  <c r="K100"/>
  <c r="I15"/>
  <c r="I16" s="1"/>
  <c r="J45"/>
  <c r="J46" s="1"/>
  <c r="D15"/>
  <c r="D16" s="1"/>
  <c r="B45"/>
  <c r="B46" s="1"/>
  <c r="C15"/>
  <c r="C16" s="1"/>
  <c r="D75"/>
  <c r="H15"/>
  <c r="H16" s="1"/>
  <c r="I45"/>
  <c r="I46" s="1"/>
  <c r="G75"/>
  <c r="G76" s="1"/>
  <c r="J177" i="11"/>
  <c r="L177" s="1"/>
  <c r="E93" i="15"/>
  <c r="B16" i="8"/>
  <c r="E15"/>
  <c r="E16" s="1"/>
  <c r="H45"/>
  <c r="H46" s="1"/>
  <c r="H75"/>
  <c r="H76" s="1"/>
  <c r="F15"/>
  <c r="F16" s="1"/>
  <c r="G45"/>
  <c r="G46" s="1"/>
  <c r="C75"/>
  <c r="C76" s="1"/>
  <c r="F42" i="7"/>
  <c r="Q74" i="36"/>
  <c r="K76" i="8"/>
  <c r="K80" s="1"/>
  <c r="J158" i="36"/>
  <c r="J157"/>
  <c r="P71" i="7"/>
  <c r="P69"/>
  <c r="Q62" i="36"/>
  <c r="G125" i="15"/>
  <c r="J159" i="36"/>
  <c r="P67" i="7"/>
  <c r="F115" i="15"/>
  <c r="P160" i="36"/>
  <c r="D38" i="15"/>
  <c r="M98" i="36"/>
  <c r="Q98" s="1"/>
  <c r="H100"/>
  <c r="M100" s="1"/>
  <c r="P49" i="7"/>
  <c r="P51" s="1"/>
  <c r="P53" s="1"/>
  <c r="P58" s="1"/>
  <c r="Q96" i="36"/>
  <c r="P193" i="11" l="1"/>
  <c r="J145" i="15"/>
  <c r="J146" s="1"/>
  <c r="J148" s="1"/>
  <c r="B50" i="8"/>
  <c r="E50"/>
  <c r="F20"/>
  <c r="K20"/>
  <c r="I50"/>
  <c r="G20"/>
  <c r="H20"/>
  <c r="H80"/>
  <c r="K50"/>
  <c r="D76"/>
  <c r="D80" s="1"/>
  <c r="B80"/>
  <c r="C80"/>
  <c r="J20"/>
  <c r="E80"/>
  <c r="E20"/>
  <c r="D20"/>
  <c r="H50"/>
  <c r="F76"/>
  <c r="F80" s="1"/>
  <c r="J80"/>
  <c r="F50"/>
  <c r="G50"/>
  <c r="G80"/>
  <c r="J50"/>
  <c r="B20"/>
  <c r="K7" s="1"/>
  <c r="I80"/>
  <c r="I20"/>
  <c r="C20"/>
  <c r="D50"/>
  <c r="E41"/>
  <c r="O30" i="11"/>
  <c r="P30"/>
  <c r="K5" i="8"/>
  <c r="P145" i="15"/>
  <c r="P146" s="1"/>
  <c r="P148" s="1"/>
  <c r="K6" i="8"/>
  <c r="M145" i="15"/>
  <c r="M146" s="1"/>
  <c r="M148" s="1"/>
  <c r="J152"/>
  <c r="M151"/>
  <c r="B21" i="8"/>
  <c r="Q100" i="36"/>
  <c r="Q53" s="1"/>
  <c r="D39" i="15"/>
  <c r="M125"/>
  <c r="P291" i="11" l="1"/>
  <c r="P6" s="1"/>
  <c r="L30"/>
  <c r="P147" i="36"/>
  <c r="F41" i="8"/>
  <c r="O291" i="11"/>
  <c r="O292" s="1"/>
  <c r="R30"/>
  <c r="J149" i="15"/>
  <c r="J161" s="1"/>
  <c r="M163" s="1"/>
  <c r="B81" i="8"/>
  <c r="J81"/>
  <c r="H81"/>
  <c r="F81"/>
  <c r="D81"/>
  <c r="C81"/>
  <c r="K51"/>
  <c r="I51"/>
  <c r="G51"/>
  <c r="E51"/>
  <c r="C51"/>
  <c r="D21"/>
  <c r="F21"/>
  <c r="H21"/>
  <c r="J21"/>
  <c r="K81"/>
  <c r="G81"/>
  <c r="J51"/>
  <c r="F51"/>
  <c r="E21"/>
  <c r="I81"/>
  <c r="E81"/>
  <c r="B51"/>
  <c r="H51"/>
  <c r="D51"/>
  <c r="C21"/>
  <c r="G21"/>
  <c r="I21"/>
  <c r="K21"/>
  <c r="P292" i="11" l="1"/>
  <c r="P157" i="36"/>
  <c r="N149"/>
  <c r="N148"/>
  <c r="G41" i="8"/>
  <c r="O6" i="11"/>
  <c r="J165" i="15"/>
  <c r="B19" i="8" l="1"/>
  <c r="N157" i="36"/>
  <c r="P165"/>
  <c r="H41" i="8"/>
  <c r="J6" i="7"/>
  <c r="J41" i="3"/>
  <c r="L41" s="1"/>
  <c r="E92" i="15"/>
  <c r="J40" i="3"/>
  <c r="L40" s="1"/>
  <c r="F79" i="8" l="1"/>
  <c r="I79"/>
  <c r="E79"/>
  <c r="K79"/>
  <c r="I19"/>
  <c r="C19"/>
  <c r="H49"/>
  <c r="J19"/>
  <c r="K19"/>
  <c r="E19"/>
  <c r="F49"/>
  <c r="D79"/>
  <c r="J79"/>
  <c r="F19"/>
  <c r="E49"/>
  <c r="G19"/>
  <c r="J49"/>
  <c r="H79"/>
  <c r="H19"/>
  <c r="C49"/>
  <c r="I49"/>
  <c r="C79"/>
  <c r="K49"/>
  <c r="D49"/>
  <c r="D19"/>
  <c r="G49"/>
  <c r="B49"/>
  <c r="G79"/>
  <c r="B79"/>
  <c r="B35"/>
  <c r="B22"/>
  <c r="I41"/>
  <c r="B23" l="1"/>
  <c r="B30" s="1"/>
  <c r="G95"/>
  <c r="G82"/>
  <c r="G83" s="1"/>
  <c r="G65"/>
  <c r="G52"/>
  <c r="G53" s="1"/>
  <c r="H35"/>
  <c r="H22"/>
  <c r="E65"/>
  <c r="E52"/>
  <c r="E53" s="1"/>
  <c r="F65"/>
  <c r="F52"/>
  <c r="F53" s="1"/>
  <c r="H65"/>
  <c r="H52"/>
  <c r="H53" s="1"/>
  <c r="E95"/>
  <c r="E82"/>
  <c r="E83" s="1"/>
  <c r="B95"/>
  <c r="B82"/>
  <c r="B83" s="1"/>
  <c r="D35"/>
  <c r="D22"/>
  <c r="C95"/>
  <c r="C82"/>
  <c r="C83" s="1"/>
  <c r="H95"/>
  <c r="H82"/>
  <c r="H83" s="1"/>
  <c r="F35"/>
  <c r="F22"/>
  <c r="E35"/>
  <c r="E22"/>
  <c r="C35"/>
  <c r="C22"/>
  <c r="I95"/>
  <c r="I82"/>
  <c r="I83" s="1"/>
  <c r="D65"/>
  <c r="D52"/>
  <c r="D53" s="1"/>
  <c r="I65"/>
  <c r="I52"/>
  <c r="I53" s="1"/>
  <c r="J65"/>
  <c r="J52"/>
  <c r="J53" s="1"/>
  <c r="J95"/>
  <c r="J82"/>
  <c r="J83" s="1"/>
  <c r="K35"/>
  <c r="K22"/>
  <c r="I35"/>
  <c r="I22"/>
  <c r="F95"/>
  <c r="F82"/>
  <c r="F83" s="1"/>
  <c r="B65"/>
  <c r="B52"/>
  <c r="B53" s="1"/>
  <c r="K65"/>
  <c r="K52"/>
  <c r="K53" s="1"/>
  <c r="C65"/>
  <c r="C52"/>
  <c r="C53" s="1"/>
  <c r="G35"/>
  <c r="G22"/>
  <c r="D95"/>
  <c r="D82"/>
  <c r="D83" s="1"/>
  <c r="J35"/>
  <c r="J22"/>
  <c r="K95"/>
  <c r="K82"/>
  <c r="K83" s="1"/>
  <c r="J41"/>
  <c r="D91" l="1"/>
  <c r="D93"/>
  <c r="D94"/>
  <c r="D92"/>
  <c r="B61"/>
  <c r="B62"/>
  <c r="B64"/>
  <c r="B63"/>
  <c r="J93"/>
  <c r="J91"/>
  <c r="J94"/>
  <c r="J92"/>
  <c r="I91"/>
  <c r="I94"/>
  <c r="I92"/>
  <c r="I93"/>
  <c r="H91"/>
  <c r="H93"/>
  <c r="H94"/>
  <c r="H92"/>
  <c r="E94"/>
  <c r="E93"/>
  <c r="E92"/>
  <c r="E91"/>
  <c r="H23"/>
  <c r="H30" s="1"/>
  <c r="G94"/>
  <c r="G93"/>
  <c r="G91"/>
  <c r="G92"/>
  <c r="I64"/>
  <c r="I63"/>
  <c r="I62"/>
  <c r="I61"/>
  <c r="E23"/>
  <c r="E30" s="1"/>
  <c r="G23"/>
  <c r="G30" s="1"/>
  <c r="F94"/>
  <c r="F93"/>
  <c r="F92"/>
  <c r="F91"/>
  <c r="J63"/>
  <c r="J61"/>
  <c r="J62"/>
  <c r="J64"/>
  <c r="C23"/>
  <c r="C30" s="1"/>
  <c r="C91"/>
  <c r="C92"/>
  <c r="C93"/>
  <c r="C94"/>
  <c r="H61"/>
  <c r="H63"/>
  <c r="H64"/>
  <c r="H62"/>
  <c r="B36"/>
  <c r="B33"/>
  <c r="B32"/>
  <c r="B31"/>
  <c r="B34"/>
  <c r="K91"/>
  <c r="K92"/>
  <c r="K93"/>
  <c r="K94"/>
  <c r="C62"/>
  <c r="C61"/>
  <c r="C63"/>
  <c r="C64"/>
  <c r="I23"/>
  <c r="I30" s="1"/>
  <c r="D23"/>
  <c r="F61"/>
  <c r="F62"/>
  <c r="F63"/>
  <c r="F64"/>
  <c r="J23"/>
  <c r="J30" s="1"/>
  <c r="K62"/>
  <c r="K61"/>
  <c r="K64"/>
  <c r="K63"/>
  <c r="K23"/>
  <c r="D61"/>
  <c r="D62"/>
  <c r="D64"/>
  <c r="D63"/>
  <c r="F30"/>
  <c r="F23"/>
  <c r="B92"/>
  <c r="B93"/>
  <c r="B91"/>
  <c r="B94"/>
  <c r="E61"/>
  <c r="E62"/>
  <c r="E64"/>
  <c r="E63"/>
  <c r="G63"/>
  <c r="G64"/>
  <c r="G62"/>
  <c r="G61"/>
  <c r="K41"/>
  <c r="B60"/>
  <c r="D33" l="1"/>
  <c r="D34"/>
  <c r="D32"/>
  <c r="D31"/>
  <c r="K33"/>
  <c r="K34"/>
  <c r="K31"/>
  <c r="K32"/>
  <c r="F34"/>
  <c r="F33"/>
  <c r="F31"/>
  <c r="F32"/>
  <c r="E31"/>
  <c r="E34"/>
  <c r="E32"/>
  <c r="E33"/>
  <c r="K30"/>
  <c r="I33"/>
  <c r="I32"/>
  <c r="I34"/>
  <c r="I31"/>
  <c r="J31"/>
  <c r="J33"/>
  <c r="J34"/>
  <c r="J32"/>
  <c r="C33"/>
  <c r="C31"/>
  <c r="C34"/>
  <c r="C32"/>
  <c r="C36"/>
  <c r="G32"/>
  <c r="G31"/>
  <c r="G34"/>
  <c r="G33"/>
  <c r="H31"/>
  <c r="H32"/>
  <c r="H33"/>
  <c r="H34"/>
  <c r="D30"/>
  <c r="B71"/>
  <c r="C60"/>
  <c r="D36" l="1"/>
  <c r="C71"/>
  <c r="D60"/>
  <c r="E36" l="1"/>
  <c r="D71"/>
  <c r="E60"/>
  <c r="F36" l="1"/>
  <c r="E71"/>
  <c r="F60"/>
  <c r="G36" l="1"/>
  <c r="F71"/>
  <c r="G60"/>
  <c r="H36" l="1"/>
  <c r="G71"/>
  <c r="H60"/>
  <c r="I36" l="1"/>
  <c r="H71"/>
  <c r="I60"/>
  <c r="J36" l="1"/>
  <c r="I71"/>
  <c r="J60"/>
  <c r="K36" l="1"/>
  <c r="J71"/>
  <c r="K60"/>
  <c r="B66" l="1"/>
  <c r="K71"/>
  <c r="B90"/>
  <c r="C66" l="1"/>
  <c r="B101"/>
  <c r="C90"/>
  <c r="D66" l="1"/>
  <c r="C101"/>
  <c r="D90"/>
  <c r="E66" l="1"/>
  <c r="D101"/>
  <c r="E90"/>
  <c r="F66" l="1"/>
  <c r="E101"/>
  <c r="F90"/>
  <c r="G66" l="1"/>
  <c r="F101"/>
  <c r="G90"/>
  <c r="H66" l="1"/>
  <c r="G101"/>
  <c r="H90"/>
  <c r="I66" l="1"/>
  <c r="H101"/>
  <c r="I90"/>
  <c r="J66" l="1"/>
  <c r="I101"/>
  <c r="J90"/>
  <c r="K66" l="1"/>
  <c r="J101"/>
  <c r="K90"/>
  <c r="B96" l="1"/>
  <c r="K101"/>
  <c r="C96" l="1"/>
  <c r="D96" l="1"/>
  <c r="E96" l="1"/>
  <c r="F96" l="1"/>
  <c r="G96" l="1"/>
  <c r="H96" l="1"/>
  <c r="I96" l="1"/>
  <c r="J96" l="1"/>
  <c r="K96" l="1"/>
</calcChain>
</file>

<file path=xl/sharedStrings.xml><?xml version="1.0" encoding="utf-8"?>
<sst xmlns="http://schemas.openxmlformats.org/spreadsheetml/2006/main" count="7899" uniqueCount="4095">
  <si>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</si>
  <si>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</si>
  <si>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</si>
  <si>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</si>
  <si>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</si>
  <si>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</si>
  <si>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</si>
  <si>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</si>
  <si>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</si>
  <si>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</si>
  <si>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</si>
  <si>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</si>
  <si>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</si>
  <si>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</si>
  <si>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</si>
  <si>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</si>
  <si>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</si>
  <si>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</si>
  <si>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</si>
  <si>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</si>
  <si>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</si>
  <si>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</si>
  <si>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</si>
  <si>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</si>
  <si>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</si>
  <si>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</si>
  <si>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</si>
  <si>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</si>
  <si>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</si>
  <si>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</si>
  <si>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</si>
  <si>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</si>
  <si>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</si>
  <si>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</si>
  <si>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</si>
  <si>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</si>
  <si>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</si>
  <si>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</si>
  <si>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</si>
  <si>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</si>
  <si>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</si>
  <si>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</si>
  <si>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</si>
  <si>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</si>
  <si>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</si>
  <si>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</si>
  <si>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</si>
  <si>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</si>
  <si>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</si>
  <si>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</si>
  <si>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</si>
  <si>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</si>
  <si>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</si>
  <si>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</si>
  <si>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</si>
  <si>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</si>
  <si>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</si>
  <si>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</si>
  <si>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</si>
  <si>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</si>
  <si>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</si>
  <si>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</si>
  <si>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</si>
  <si>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</si>
  <si>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</si>
  <si>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</si>
  <si>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</si>
  <si>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</si>
  <si>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</si>
  <si>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</si>
  <si>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</si>
  <si>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</si>
  <si>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</si>
  <si>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</si>
  <si>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</si>
  <si>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</si>
  <si>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</si>
  <si>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</si>
  <si>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</si>
  <si>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</si>
  <si>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</si>
  <si>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</si>
  <si>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</si>
  <si>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</si>
  <si>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</si>
  <si>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</si>
  <si>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</si>
  <si>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</si>
  <si>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</si>
  <si>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</si>
  <si>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</si>
  <si>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</si>
  <si>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</si>
  <si>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</si>
  <si>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</si>
  <si>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</si>
  <si>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</si>
  <si>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</si>
  <si>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</si>
  <si>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</si>
  <si>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</si>
  <si>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</si>
  <si>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</si>
  <si>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</si>
  <si>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</si>
  <si>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</si>
  <si>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</si>
  <si>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</si>
  <si>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</si>
  <si>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</si>
  <si>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</si>
  <si>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</si>
  <si>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</si>
  <si>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</si>
  <si>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</si>
  <si>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</si>
  <si>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</si>
  <si>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</si>
  <si>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</si>
  <si>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</si>
  <si>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</si>
  <si>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</si>
  <si>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</si>
  <si>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</si>
  <si>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</si>
  <si>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</si>
  <si>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</si>
  <si>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</si>
  <si>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</si>
  <si>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</si>
  <si>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</si>
  <si>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</si>
  <si>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</si>
  <si>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</si>
  <si>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</si>
  <si>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</si>
  <si>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</si>
  <si>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</si>
  <si>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</si>
  <si>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</si>
  <si>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</si>
  <si>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</si>
  <si>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</si>
  <si>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</si>
  <si>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</si>
  <si>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</si>
  <si>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</si>
  <si>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</si>
  <si>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</si>
  <si>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</si>
  <si>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</si>
  <si>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</si>
  <si>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</si>
  <si>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</si>
  <si>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</si>
  <si>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</si>
  <si>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</si>
  <si>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</si>
  <si>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</si>
  <si>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</si>
  <si>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</si>
  <si>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</si>
  <si>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</si>
  <si>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</si>
  <si>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</si>
  <si>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</si>
  <si>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</si>
  <si>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</si>
  <si>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</si>
  <si>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</si>
  <si>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</si>
  <si>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</si>
  <si>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</si>
  <si>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</si>
  <si>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</si>
  <si>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</si>
  <si>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</si>
  <si>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</si>
  <si>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</si>
  <si>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</si>
  <si>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</si>
  <si>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</si>
  <si>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</si>
  <si>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</si>
  <si>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</si>
  <si>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</si>
  <si>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</si>
  <si>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</si>
  <si>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</si>
  <si>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</si>
  <si>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</si>
  <si>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</si>
  <si>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</si>
  <si>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</si>
  <si>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</si>
  <si>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</si>
  <si>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</si>
  <si>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</si>
  <si>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</si>
  <si>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</si>
  <si>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</si>
  <si>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</si>
  <si>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</si>
  <si>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</si>
  <si>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</si>
  <si>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</si>
  <si>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</si>
  <si>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</si>
  <si>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</si>
  <si>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</si>
  <si>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</si>
  <si>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</si>
  <si>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</si>
  <si>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</si>
  <si>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</si>
  <si>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</si>
  <si>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</si>
  <si>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</si>
  <si>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</si>
  <si>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</si>
  <si>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</si>
  <si>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</si>
  <si>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</si>
  <si>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</si>
  <si>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</si>
  <si>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</si>
  <si>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</si>
  <si>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</si>
  <si>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</si>
  <si>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</si>
  <si>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</si>
  <si>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</si>
  <si>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</si>
  <si>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</si>
  <si>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</si>
  <si>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</si>
  <si>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</si>
  <si>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</si>
  <si>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</si>
  <si>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</si>
  <si>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</si>
  <si>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</si>
  <si>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</si>
  <si>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</si>
  <si>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</si>
  <si>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</si>
  <si>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</si>
  <si>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</si>
  <si>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</si>
  <si>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</si>
  <si>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</si>
  <si>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</si>
  <si>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</si>
  <si>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</si>
  <si>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</si>
  <si>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</si>
  <si>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</si>
  <si>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</si>
  <si>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</si>
  <si>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</si>
  <si>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</si>
  <si>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</si>
  <si>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</si>
  <si>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</si>
  <si>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</si>
  <si>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</si>
  <si>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</si>
  <si>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</si>
  <si>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</si>
  <si>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</si>
  <si>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</si>
  <si>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</si>
  <si>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</si>
  <si>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</si>
  <si>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</si>
  <si>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</si>
  <si>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</si>
  <si>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</si>
  <si>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</si>
  <si>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</si>
  <si>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</si>
  <si>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</si>
  <si>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</si>
  <si>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</si>
  <si>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</si>
  <si>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</si>
  <si>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</si>
  <si>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</si>
  <si>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</si>
  <si>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</si>
  <si>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</si>
  <si>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</si>
  <si>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</si>
  <si>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</si>
  <si>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</si>
  <si>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</si>
  <si>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</si>
  <si>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</si>
  <si>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</si>
  <si>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</si>
  <si>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</si>
  <si>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</si>
  <si>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</si>
  <si>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</si>
  <si>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</si>
  <si>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</si>
  <si>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</si>
  <si>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</si>
  <si>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</si>
  <si>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</si>
  <si>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</si>
  <si>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</si>
  <si>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</si>
  <si>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</si>
  <si>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</si>
  <si>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</si>
  <si>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</si>
  <si>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</si>
  <si>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</si>
  <si>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</si>
  <si>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</si>
  <si>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</si>
  <si>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</si>
  <si>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</si>
  <si>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</si>
  <si>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</si>
  <si>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</si>
  <si>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</si>
  <si>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</si>
  <si>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</si>
  <si>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</si>
  <si>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</si>
  <si>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</si>
  <si>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</si>
  <si>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</si>
  <si>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</si>
  <si>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</si>
  <si>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</si>
  <si>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</si>
  <si>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</si>
  <si>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</si>
  <si>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</si>
  <si>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</si>
  <si>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</si>
  <si>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</si>
  <si>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</si>
  <si>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</si>
  <si>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</si>
  <si>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</si>
  <si>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</si>
  <si>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</si>
  <si>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</si>
  <si>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</si>
  <si>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</si>
  <si>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</si>
  <si>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</si>
  <si>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</si>
  <si>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</si>
  <si>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</si>
  <si>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</si>
  <si>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</si>
  <si>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</si>
  <si>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</si>
  <si>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</si>
  <si>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</si>
  <si>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</si>
  <si>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</si>
  <si>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</si>
  <si>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</si>
  <si>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</si>
  <si>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</si>
  <si>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</si>
  <si>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</si>
  <si>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</si>
  <si>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</si>
  <si>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</si>
  <si>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</si>
  <si>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</si>
  <si>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</si>
  <si>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</si>
  <si>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</si>
  <si>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</si>
  <si>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</si>
  <si>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</si>
  <si>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</si>
  <si>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</si>
  <si>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</si>
  <si>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</si>
  <si>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</si>
  <si>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</si>
  <si>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</si>
  <si>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</si>
  <si>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</si>
  <si>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</si>
  <si>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</si>
  <si>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</si>
  <si>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</si>
  <si>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</si>
  <si>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</si>
  <si>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</si>
  <si>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</si>
  <si>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</si>
  <si>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</si>
  <si>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</si>
  <si>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</si>
  <si>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</si>
  <si>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</si>
  <si>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</si>
  <si>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</si>
  <si>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</si>
  <si>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</si>
  <si>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</si>
  <si>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</si>
  <si>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</si>
  <si>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</si>
  <si>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</si>
  <si>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</si>
  <si>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</si>
  <si>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</si>
  <si>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</si>
  <si>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</si>
  <si>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</si>
  <si>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</si>
  <si>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</si>
  <si>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</si>
  <si>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</si>
  <si>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</si>
  <si>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</si>
  <si>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</si>
  <si>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</si>
  <si>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</si>
  <si>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</si>
  <si>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</si>
  <si>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</si>
  <si>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</si>
  <si>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</si>
  <si>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</si>
  <si>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</si>
  <si>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</si>
  <si>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</si>
  <si>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</si>
  <si>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</si>
  <si>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</si>
  <si>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</si>
  <si>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</si>
  <si>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</si>
  <si>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</si>
  <si>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</si>
  <si>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</si>
  <si>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</si>
  <si>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</si>
  <si>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</si>
  <si>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</si>
  <si>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</si>
  <si>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</si>
  <si>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</si>
  <si>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</si>
  <si>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</si>
  <si>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</si>
  <si>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</si>
  <si>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</si>
  <si>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</si>
  <si>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</si>
  <si>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</si>
  <si>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</si>
  <si>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</si>
  <si>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</si>
  <si>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</si>
  <si>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</si>
  <si>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</si>
  <si>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</si>
  <si>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</si>
  <si>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</si>
  <si>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</si>
  <si>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</si>
  <si>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</si>
  <si>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</si>
  <si>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</si>
  <si>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</si>
  <si>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</si>
  <si>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</si>
  <si>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</si>
  <si>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</si>
  <si>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</si>
  <si>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</si>
  <si>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</si>
  <si>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</si>
  <si>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</si>
  <si>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</si>
  <si>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</si>
  <si>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</si>
  <si>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</si>
  <si>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</si>
  <si>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</si>
  <si>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</si>
  <si>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</si>
  <si>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</si>
  <si>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</si>
  <si>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</si>
  <si>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</si>
  <si>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</si>
  <si>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</si>
  <si>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</si>
  <si>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</si>
  <si>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</si>
  <si>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</si>
  <si>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</si>
  <si>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</si>
  <si>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</si>
  <si>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</si>
  <si>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</si>
  <si>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</si>
  <si>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</si>
  <si>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</si>
  <si>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</si>
  <si>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</si>
  <si>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</si>
  <si>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</si>
  <si>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</si>
  <si>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</si>
  <si>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</si>
  <si>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</si>
  <si>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</si>
  <si>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</si>
  <si>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</si>
  <si>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</si>
  <si>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</si>
  <si>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</si>
  <si>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</si>
  <si>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</si>
  <si>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</si>
  <si>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</si>
  <si>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</si>
  <si>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</si>
  <si>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</si>
  <si>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</si>
  <si>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</si>
  <si>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</si>
  <si>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</si>
  <si>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</si>
  <si>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</si>
  <si>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</si>
  <si>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</si>
  <si>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</si>
  <si>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</si>
  <si>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</si>
  <si>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</si>
  <si>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</si>
  <si>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</si>
  <si>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</si>
  <si>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</si>
  <si>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</si>
  <si>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</si>
  <si>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</si>
  <si>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</si>
  <si>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</si>
  <si>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</si>
  <si>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</si>
  <si>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</si>
  <si>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</si>
  <si>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</si>
  <si>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</si>
  <si>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</si>
  <si>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</si>
  <si>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</si>
  <si>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</si>
  <si>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</si>
  <si>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</si>
  <si>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</si>
  <si>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</si>
  <si>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</si>
  <si>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</si>
  <si>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</si>
  <si>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</si>
  <si>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</si>
  <si>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</si>
  <si>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</si>
  <si>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</si>
  <si>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</si>
  <si>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</si>
  <si>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</si>
  <si>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</si>
  <si>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</si>
  <si>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</si>
  <si>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</si>
  <si>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</si>
  <si>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</si>
  <si>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</si>
  <si>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</si>
  <si>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</si>
  <si>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</si>
  <si>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</si>
  <si>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</si>
  <si>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</si>
  <si>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</si>
  <si>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</si>
  <si>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</si>
  <si>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</si>
  <si>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</si>
  <si>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</si>
  <si>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</si>
  <si>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</si>
  <si>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</si>
  <si>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</si>
  <si>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</si>
  <si>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</si>
  <si>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</si>
  <si>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</si>
  <si>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</si>
  <si>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</si>
  <si>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</si>
  <si>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</si>
  <si>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</si>
  <si>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</si>
  <si>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</si>
  <si>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</si>
  <si>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</si>
  <si>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</si>
  <si>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</si>
  <si>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</si>
  <si>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</si>
  <si>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</si>
  <si>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</si>
  <si>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</si>
  <si>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</si>
  <si>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</si>
  <si>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</si>
  <si>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</si>
  <si>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</si>
  <si>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</si>
  <si>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</si>
  <si>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</si>
  <si>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</si>
  <si>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</si>
  <si>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</si>
  <si>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</si>
  <si>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</si>
  <si>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</si>
  <si>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</si>
  <si>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</si>
  <si>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</si>
  <si>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</si>
  <si>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</si>
  <si>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</si>
  <si>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</si>
  <si>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</si>
  <si>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</si>
  <si>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</si>
  <si>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</si>
  <si>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</si>
  <si>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</si>
  <si>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</si>
  <si>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</si>
  <si>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</si>
  <si>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</si>
  <si>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</si>
  <si>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</si>
  <si>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</si>
  <si>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</si>
  <si>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</si>
  <si>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</si>
  <si>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</si>
  <si>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</si>
  <si>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</si>
  <si>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</si>
  <si>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</si>
  <si>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</si>
  <si>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</si>
  <si>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</si>
  <si>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</si>
  <si>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</si>
  <si>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</si>
  <si>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</si>
  <si>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</si>
  <si>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</si>
  <si>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</si>
  <si>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</si>
  <si>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</si>
  <si>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</si>
  <si>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</si>
  <si>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</si>
  <si>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</si>
  <si>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</si>
  <si>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</si>
  <si>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</si>
  <si>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</si>
  <si>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</si>
  <si>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</si>
  <si>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</si>
  <si>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</si>
  <si>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</si>
  <si>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</si>
  <si>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</si>
  <si>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</si>
  <si>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</si>
  <si>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</si>
  <si>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</si>
  <si>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</si>
  <si>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</si>
  <si>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</si>
  <si>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</si>
  <si>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</si>
  <si>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</si>
  <si>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</si>
  <si>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</si>
  <si>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</si>
  <si>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</si>
  <si>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</si>
  <si>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</si>
  <si>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</si>
  <si>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</si>
  <si>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</si>
  <si>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</si>
  <si>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</si>
  <si>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</si>
  <si>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</si>
  <si>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</si>
  <si>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</si>
  <si>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</si>
  <si>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</si>
  <si>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</si>
  <si>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</si>
  <si>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</si>
  <si>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</si>
  <si>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</si>
  <si>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</si>
  <si>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</si>
  <si>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</si>
  <si>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</si>
  <si>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</si>
  <si>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</si>
  <si>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</si>
  <si>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</si>
  <si>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</si>
  <si>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</si>
  <si>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</si>
  <si>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</si>
  <si>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</si>
  <si>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</si>
  <si>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</si>
  <si>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</si>
  <si>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</si>
  <si>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</si>
  <si>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</si>
  <si>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</si>
  <si>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</si>
  <si>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</si>
  <si>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</si>
  <si>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</si>
  <si>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</si>
  <si>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</si>
  <si>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</si>
  <si>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</si>
  <si>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</si>
  <si>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</si>
  <si>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</si>
  <si>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</si>
  <si>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</si>
  <si>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</si>
  <si>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</si>
  <si>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</si>
  <si>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</si>
  <si>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</si>
  <si>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</si>
  <si>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</si>
  <si>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</si>
  <si>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</si>
  <si>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</si>
  <si>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</si>
  <si>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</si>
  <si>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</si>
  <si>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</si>
  <si>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</si>
  <si>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</si>
  <si>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</si>
  <si>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</si>
  <si>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</si>
  <si>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</si>
  <si>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</si>
  <si>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</si>
  <si>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</si>
  <si>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</si>
  <si>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</si>
  <si>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</si>
  <si>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</si>
  <si>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</si>
  <si>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</si>
  <si>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</si>
  <si>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</si>
  <si>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</si>
  <si>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</si>
  <si>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</si>
  <si>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</si>
  <si>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</si>
  <si>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</si>
  <si>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</si>
  <si>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</si>
  <si>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</si>
  <si>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</si>
  <si>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</si>
  <si>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</si>
  <si>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</si>
  <si>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</si>
  <si>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</si>
  <si>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</si>
  <si>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</si>
  <si>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</si>
  <si>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</si>
  <si>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</si>
  <si>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</si>
  <si>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</si>
  <si>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</si>
  <si>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</si>
  <si>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</si>
  <si>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</si>
  <si>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</si>
  <si>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</si>
  <si>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</si>
  <si>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</si>
  <si>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</si>
  <si>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</si>
  <si>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</si>
  <si>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</si>
  <si>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</si>
  <si>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</si>
  <si>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</si>
  <si>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</si>
  <si>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</si>
  <si>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</si>
  <si>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</si>
  <si>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</si>
  <si>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</si>
  <si>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</si>
  <si>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</si>
  <si>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</si>
  <si>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</si>
  <si>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</si>
  <si>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</si>
  <si>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</si>
  <si>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</si>
  <si>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</si>
  <si>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</si>
  <si>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</si>
  <si>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</si>
  <si>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</si>
  <si>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</si>
  <si>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</si>
  <si>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</si>
  <si>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</si>
  <si>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</si>
  <si>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</si>
  <si>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</si>
  <si>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</si>
  <si>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</si>
  <si>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</si>
  <si>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</si>
  <si>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</si>
  <si>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</si>
  <si>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</si>
  <si>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</si>
  <si>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</si>
  <si>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</si>
  <si>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</si>
  <si>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</si>
  <si>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</si>
  <si>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</si>
  <si>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</si>
  <si>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</si>
  <si>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</si>
  <si>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</si>
  <si>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</si>
  <si>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</si>
  <si>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</si>
  <si>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</si>
  <si>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</si>
  <si>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</si>
  <si>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</si>
  <si>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</si>
  <si>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</si>
  <si>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</si>
  <si>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</si>
  <si>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</si>
  <si>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</si>
  <si>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</si>
  <si>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</si>
  <si>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</si>
  <si>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</si>
  <si>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</si>
  <si>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</si>
  <si>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</si>
  <si>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</si>
  <si>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</si>
  <si>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</si>
  <si>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</si>
  <si>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</si>
  <si>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</si>
  <si>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</si>
  <si>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</si>
  <si>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</si>
  <si>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</si>
  <si>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</si>
  <si>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</si>
  <si>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</si>
  <si>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</si>
  <si>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</si>
  <si>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</si>
  <si>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</si>
  <si>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</si>
  <si>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</si>
  <si>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</si>
  <si>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</si>
  <si>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</si>
  <si>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</si>
  <si>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</si>
  <si>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</si>
  <si>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</si>
  <si>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</si>
  <si>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</si>
  <si>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</si>
  <si>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</si>
  <si>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</si>
  <si>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</si>
  <si>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</si>
  <si>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</si>
  <si>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</si>
  <si>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</si>
  <si>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</si>
  <si>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</si>
  <si>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</si>
  <si>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</si>
  <si>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</si>
  <si>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</si>
  <si>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</si>
  <si>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</si>
  <si>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</si>
  <si>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</si>
  <si>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</si>
  <si>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</si>
  <si>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</si>
  <si>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</si>
  <si>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</si>
  <si>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</si>
  <si>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</si>
  <si>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</si>
  <si>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</si>
  <si>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</si>
  <si>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</si>
  <si>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</si>
  <si>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</si>
  <si>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</si>
  <si>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</si>
  <si>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</si>
  <si>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</si>
  <si>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</si>
  <si>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</si>
  <si>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</si>
  <si>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</si>
  <si>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</si>
  <si>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</si>
  <si>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</si>
  <si>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</si>
  <si>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</si>
  <si>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</si>
  <si>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</si>
  <si>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</si>
  <si>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</si>
  <si>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</si>
  <si>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</si>
  <si>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</si>
  <si>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</si>
  <si>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</si>
  <si>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</si>
  <si>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</si>
  <si>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</si>
  <si>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</si>
  <si>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</si>
  <si>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</si>
  <si>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</si>
  <si>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</si>
  <si>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</si>
  <si>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</si>
  <si>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</si>
  <si>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</si>
  <si>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</si>
  <si>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</si>
  <si>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</si>
  <si>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</si>
  <si>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</si>
  <si>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</si>
  <si>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</si>
  <si>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</si>
  <si>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</si>
  <si>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</si>
  <si>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</si>
  <si>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</si>
  <si>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</si>
  <si>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</si>
  <si>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</si>
  <si>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</si>
  <si>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</si>
  <si>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</si>
  <si>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</si>
  <si>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</si>
  <si>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</si>
  <si>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</si>
  <si>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</si>
  <si>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</si>
  <si>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</si>
  <si>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</si>
  <si>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</si>
  <si>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</si>
  <si>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</si>
  <si>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</si>
  <si>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</si>
  <si>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</si>
  <si>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</si>
  <si>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</si>
  <si>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</si>
  <si>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</si>
  <si>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</si>
  <si>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</si>
  <si>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</si>
  <si>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</si>
  <si>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</si>
  <si>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</si>
  <si>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</si>
  <si>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</si>
  <si>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</si>
  <si>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</si>
  <si>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</si>
  <si>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</si>
  <si>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</si>
  <si>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</si>
  <si>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</si>
  <si>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</si>
  <si>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</si>
  <si>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</si>
  <si>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</si>
  <si>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</si>
  <si>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</si>
  <si>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</si>
  <si>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</si>
  <si>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</si>
  <si>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</si>
  <si>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</si>
  <si>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</si>
  <si>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</si>
  <si>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</si>
  <si>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</si>
  <si>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</si>
  <si>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</si>
  <si>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</si>
  <si>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</si>
  <si>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</si>
  <si>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</si>
  <si>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</si>
  <si>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</si>
  <si>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</si>
  <si>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</si>
  <si>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</si>
  <si>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</si>
  <si>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</si>
  <si>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</si>
  <si>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</si>
  <si>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</si>
  <si>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</si>
  <si>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</si>
  <si>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</si>
  <si>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</si>
  <si>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</si>
  <si>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</si>
  <si>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</si>
  <si>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</si>
  <si>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</si>
  <si>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</si>
  <si>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</si>
  <si>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</si>
  <si>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</si>
  <si>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</si>
  <si>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</si>
  <si>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</si>
  <si>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</si>
  <si>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</si>
  <si>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</si>
  <si>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</si>
  <si>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</si>
  <si>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</si>
  <si>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</si>
  <si>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</si>
  <si>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</si>
  <si>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</si>
  <si>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</si>
  <si>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</si>
  <si>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</si>
  <si>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</si>
  <si>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</si>
  <si>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</si>
  <si>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</si>
  <si>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</si>
  <si>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</si>
  <si>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</si>
  <si>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</si>
  <si>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</si>
  <si>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</si>
  <si>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</si>
  <si>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</si>
  <si>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</si>
  <si>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</si>
  <si>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</si>
  <si>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</si>
  <si>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</si>
  <si>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</si>
  <si>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</si>
  <si>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</si>
  <si>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</si>
  <si>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</si>
  <si>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</si>
  <si>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</si>
  <si>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</si>
  <si>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</si>
  <si>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</si>
  <si>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</si>
  <si>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</si>
  <si>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</si>
  <si>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</si>
  <si>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</si>
  <si>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</si>
  <si>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</si>
  <si>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</si>
  <si>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</si>
  <si>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</si>
  <si>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</si>
  <si>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</si>
  <si>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</si>
  <si>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</si>
  <si>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</si>
  <si>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</si>
  <si>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</si>
  <si>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</si>
  <si>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</si>
  <si>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</si>
  <si>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</si>
  <si>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</si>
  <si>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</si>
  <si>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</si>
  <si>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</si>
  <si>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</si>
  <si>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</si>
  <si>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</si>
  <si>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</si>
  <si>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</si>
  <si>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</si>
  <si>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</si>
  <si>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</si>
  <si>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</si>
  <si>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</si>
  <si>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</si>
  <si>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</si>
  <si>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</si>
  <si>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</si>
  <si>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</si>
  <si>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</si>
  <si>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</si>
  <si>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</si>
  <si>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</si>
  <si>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</si>
  <si>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</si>
  <si>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</si>
  <si>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</si>
  <si>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</si>
  <si>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</si>
  <si>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</si>
  <si>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</si>
  <si>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</si>
  <si>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</si>
  <si>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</si>
  <si>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</si>
  <si>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</si>
  <si>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</si>
  <si>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</si>
  <si>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</si>
  <si>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</si>
  <si>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</si>
  <si>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</si>
  <si>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</si>
  <si>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</si>
  <si>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</si>
  <si>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</si>
  <si>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</si>
  <si>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</si>
  <si>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</si>
  <si>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</si>
  <si>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</si>
  <si>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</si>
  <si>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</si>
  <si>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</si>
  <si>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</si>
  <si>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</si>
  <si>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</si>
  <si>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</si>
  <si>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</si>
  <si>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</si>
  <si>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</si>
  <si>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</si>
  <si>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</si>
  <si>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</si>
  <si>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</si>
  <si>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</si>
  <si>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</si>
  <si>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</si>
  <si>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</si>
  <si>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</si>
  <si>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</si>
  <si>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</si>
  <si>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</si>
  <si>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</si>
  <si>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</si>
  <si>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</si>
  <si>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</si>
  <si>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</si>
  <si>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</si>
  <si>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</si>
  <si>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</si>
  <si>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</si>
  <si>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</si>
  <si>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</si>
  <si>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</si>
  <si>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</si>
  <si>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</si>
  <si>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</si>
  <si>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</si>
  <si>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</si>
  <si>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</si>
  <si>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</si>
  <si>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</si>
  <si>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</si>
  <si>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</si>
  <si>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</si>
  <si>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</si>
  <si>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</si>
  <si>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</si>
  <si>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</si>
  <si>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</si>
  <si>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</si>
  <si>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</si>
  <si>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</si>
  <si>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</si>
  <si>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</si>
  <si>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</si>
  <si>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</si>
  <si>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</si>
  <si>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</si>
  <si>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</si>
  <si>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</si>
  <si>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</si>
  <si>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</si>
  <si>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</si>
  <si>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</si>
  <si>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</si>
  <si>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</si>
  <si>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</si>
  <si>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</si>
  <si>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</si>
  <si>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</si>
  <si>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</si>
  <si>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</si>
  <si>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</si>
  <si>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</si>
  <si>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</si>
  <si>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</si>
  <si>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</si>
  <si>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</si>
  <si>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</si>
  <si>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</si>
  <si>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</si>
  <si>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</si>
  <si>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</si>
  <si>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</si>
  <si>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</si>
  <si>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</si>
  <si>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</si>
  <si>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</si>
  <si>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</si>
  <si>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</si>
  <si>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</si>
  <si>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</si>
  <si>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</si>
  <si>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</si>
  <si>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</si>
  <si>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</si>
  <si>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</si>
  <si>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</si>
  <si>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</si>
  <si>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</si>
  <si>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</si>
  <si>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</si>
  <si>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</si>
  <si>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</si>
  <si>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</si>
  <si>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</si>
  <si>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</si>
  <si>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</si>
  <si>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</si>
  <si>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</si>
  <si>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</si>
  <si>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</si>
  <si>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</si>
  <si>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</si>
  <si>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</si>
  <si>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</si>
  <si>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</si>
  <si>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</si>
  <si>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</si>
  <si>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</si>
  <si>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</si>
  <si>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</si>
  <si>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</si>
  <si>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</si>
  <si>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</si>
  <si>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</si>
  <si>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</si>
  <si>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</si>
  <si>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</si>
  <si>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</si>
  <si>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</si>
  <si>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</si>
  <si>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</si>
  <si>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</si>
  <si>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</si>
  <si>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</si>
  <si>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</si>
  <si>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</si>
  <si>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</si>
  <si>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</si>
  <si>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</si>
  <si>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</si>
  <si>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</si>
  <si>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</si>
  <si>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</si>
  <si>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</si>
  <si>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</si>
  <si>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</si>
  <si>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</si>
  <si>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</si>
  <si>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</si>
  <si>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</si>
  <si>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</si>
  <si>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</si>
  <si>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</si>
  <si>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</si>
  <si>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</si>
  <si>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</si>
  <si>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</si>
  <si>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</si>
  <si>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</si>
  <si>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</si>
  <si>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</si>
  <si>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</si>
  <si>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</si>
  <si>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</si>
  <si>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</si>
  <si>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</si>
  <si>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</si>
  <si>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</si>
  <si>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</si>
  <si>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</si>
  <si>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</si>
  <si>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</si>
  <si>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</si>
  <si>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</si>
  <si>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</si>
  <si>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</si>
  <si>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</si>
  <si>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</si>
  <si>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</si>
  <si>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</si>
  <si>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</si>
  <si>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</si>
  <si>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</si>
  <si>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</si>
  <si>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</si>
  <si>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</si>
  <si>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</si>
  <si>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</si>
  <si>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</si>
  <si>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</si>
  <si>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</si>
  <si>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</si>
  <si>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</si>
  <si>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</si>
  <si>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</si>
  <si>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</si>
  <si>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</si>
  <si>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</si>
  <si>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</si>
  <si>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</si>
  <si>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</si>
  <si>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</si>
  <si>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</si>
  <si>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</si>
  <si>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</si>
  <si>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</si>
  <si>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</si>
  <si>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</si>
  <si>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</si>
  <si>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</si>
  <si>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</si>
  <si>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</si>
  <si>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</si>
  <si>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</si>
  <si>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</si>
  <si>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</si>
  <si>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</si>
  <si>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</si>
  <si>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</si>
  <si>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</si>
  <si>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</si>
  <si>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</si>
  <si>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</si>
  <si>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</si>
  <si>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</si>
  <si>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</si>
  <si>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</si>
  <si>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</si>
  <si>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</si>
  <si>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</si>
  <si>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</si>
  <si>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</si>
  <si>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</si>
  <si>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</si>
  <si>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</si>
  <si>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</si>
  <si>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</si>
  <si>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</si>
  <si>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</si>
  <si>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</si>
  <si>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</si>
  <si>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</si>
  <si>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</si>
  <si>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</si>
  <si>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</si>
  <si>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</si>
  <si>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</si>
  <si>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</si>
  <si>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</si>
  <si>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</si>
  <si>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</si>
  <si>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</si>
  <si>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</si>
  <si>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</si>
  <si>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</si>
  <si>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</si>
  <si>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</si>
  <si>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</si>
  <si>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</si>
  <si>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</si>
  <si>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</si>
  <si>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</si>
  <si>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</si>
  <si>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</si>
  <si>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</si>
  <si>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</si>
  <si>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</si>
  <si>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</si>
  <si>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</si>
  <si>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</si>
  <si>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</si>
  <si>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</si>
  <si>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</si>
  <si>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</si>
  <si>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</si>
  <si>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</si>
  <si>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</si>
  <si>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</si>
  <si>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</si>
  <si>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</si>
  <si>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</si>
  <si>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</si>
  <si>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</si>
  <si>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</si>
  <si>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</si>
  <si>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</si>
  <si>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</si>
  <si>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</si>
  <si>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</si>
  <si>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</si>
  <si>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</si>
  <si>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</si>
  <si>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</si>
  <si>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</si>
  <si>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</si>
  <si>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</si>
  <si>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</si>
  <si>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</si>
  <si>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</si>
  <si>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</si>
  <si>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</si>
  <si>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</si>
  <si>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</si>
  <si>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</si>
  <si>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</si>
  <si>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</si>
  <si>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</si>
  <si>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</si>
  <si>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</si>
  <si>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</si>
  <si>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</si>
  <si>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</si>
  <si>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</si>
  <si>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</si>
  <si>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</si>
  <si>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</si>
  <si>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</si>
  <si>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</si>
  <si>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</si>
  <si>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</si>
  <si>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</si>
  <si>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</si>
  <si>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</si>
  <si>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</si>
  <si>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</si>
  <si>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</si>
  <si>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</si>
  <si>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</si>
  <si>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</si>
  <si>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</si>
  <si>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</si>
  <si>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</si>
  <si>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</si>
  <si>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</si>
  <si>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</si>
  <si>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</si>
  <si>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</si>
  <si>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</si>
  <si>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</si>
  <si>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</si>
  <si>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</si>
  <si>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</si>
  <si>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</si>
  <si>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</si>
  <si>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</si>
  <si>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</si>
  <si>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</si>
  <si>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</si>
  <si>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</si>
  <si>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</si>
  <si>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</si>
  <si>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</si>
  <si>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</si>
  <si>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</si>
  <si>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</si>
  <si>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</si>
  <si>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</si>
  <si>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</si>
  <si>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</si>
  <si>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</si>
  <si>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</si>
  <si>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</si>
  <si>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</si>
  <si>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</si>
  <si>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</si>
  <si>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</si>
  <si>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</si>
  <si>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</si>
  <si>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</si>
  <si>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</si>
  <si>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</si>
  <si>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</si>
  <si>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</si>
  <si>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</si>
  <si>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</si>
  <si>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</si>
  <si>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</si>
  <si>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</si>
  <si>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</si>
  <si>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</si>
  <si>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</si>
  <si>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</si>
  <si>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</si>
  <si>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</si>
  <si>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</si>
  <si>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</si>
  <si>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</si>
  <si>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</si>
  <si>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</si>
  <si>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</si>
  <si>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</si>
  <si>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</si>
  <si>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</si>
  <si>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</si>
  <si>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</si>
  <si>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</si>
  <si>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</si>
  <si>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</si>
  <si>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</si>
  <si>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</si>
  <si>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</si>
  <si>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</si>
  <si>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</si>
  <si>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</si>
  <si>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</si>
  <si>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</si>
  <si>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</si>
  <si>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</si>
  <si>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</si>
  <si>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</si>
  <si>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</si>
  <si>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</si>
  <si>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</si>
  <si>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</si>
  <si>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</si>
  <si>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</si>
  <si>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</si>
  <si>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</si>
  <si>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</si>
  <si>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</si>
  <si>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</si>
  <si>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</si>
  <si>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</si>
  <si>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</si>
  <si>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</si>
  <si>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</si>
  <si>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</si>
  <si>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</si>
  <si>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</si>
  <si>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</si>
  <si>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</si>
  <si>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</si>
  <si>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</si>
  <si>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</si>
  <si>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</si>
  <si>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</si>
  <si>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</si>
  <si>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</si>
  <si>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</si>
  <si>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</si>
  <si>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</si>
  <si>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</si>
  <si>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</si>
  <si>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</si>
  <si>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</si>
  <si>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</si>
  <si>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</si>
  <si>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</si>
  <si>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</si>
  <si>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</si>
  <si>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</si>
  <si>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</si>
  <si>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</si>
  <si>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</si>
  <si>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</si>
  <si>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</si>
  <si>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</si>
  <si>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</si>
  <si>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</si>
  <si>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</si>
  <si>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</si>
  <si>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</si>
  <si>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</si>
  <si>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</si>
  <si>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</si>
  <si>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</si>
  <si>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</si>
  <si>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</si>
  <si>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</si>
  <si>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</si>
  <si>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</si>
  <si>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</si>
  <si>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</si>
  <si>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</si>
  <si>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</si>
  <si>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</si>
  <si>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</si>
  <si>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</si>
  <si>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</si>
  <si>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</si>
  <si>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</si>
  <si>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</si>
  <si>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</si>
  <si>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</si>
  <si>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</si>
  <si>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</si>
  <si>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</si>
  <si>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</si>
  <si>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</si>
  <si>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</si>
  <si>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</si>
  <si>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</si>
  <si>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</si>
  <si>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</si>
  <si>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</si>
  <si>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</si>
  <si>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</si>
  <si>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</si>
  <si>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</si>
  <si>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</si>
  <si>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</si>
  <si>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</si>
  <si>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</si>
  <si>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</si>
  <si>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</si>
  <si>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</si>
  <si>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</si>
  <si>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</si>
  <si>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</si>
  <si>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</si>
  <si>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</si>
  <si>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</si>
  <si>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</si>
  <si>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</si>
  <si>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</si>
  <si>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</si>
  <si>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</si>
  <si>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</si>
  <si>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</si>
  <si>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</si>
  <si>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</si>
  <si>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</si>
  <si>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</si>
  <si>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</si>
  <si>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</si>
  <si>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</si>
  <si>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</si>
  <si>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</si>
  <si>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</si>
  <si>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</si>
  <si>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</si>
  <si>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</si>
  <si>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</si>
  <si>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</si>
  <si>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</si>
  <si>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</si>
  <si>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</si>
  <si>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</si>
  <si>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</si>
  <si>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</si>
  <si>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</si>
  <si>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</si>
  <si>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</si>
  <si>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</si>
  <si>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</si>
  <si>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</si>
  <si>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</si>
  <si>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</si>
  <si>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</si>
  <si>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</si>
  <si>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</si>
  <si>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</si>
  <si>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</si>
  <si>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</si>
  <si>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</si>
  <si>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</si>
  <si>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</si>
  <si>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</si>
  <si>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</si>
  <si>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</si>
  <si>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</si>
  <si>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</si>
  <si>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</si>
  <si>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</si>
  <si>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</si>
  <si>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</si>
  <si>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</si>
  <si>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</si>
  <si>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</si>
  <si>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</si>
  <si>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</si>
  <si>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</si>
  <si>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</si>
  <si>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</si>
  <si>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</si>
  <si>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</si>
  <si>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</si>
  <si>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</si>
  <si>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</si>
  <si>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</si>
  <si>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</si>
  <si>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</si>
  <si>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</si>
  <si>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</si>
  <si>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</si>
  <si>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</si>
  <si>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</si>
  <si>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</si>
  <si>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</si>
  <si>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</si>
  <si>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</si>
  <si>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</si>
  <si>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</si>
  <si>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</si>
  <si>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</si>
  <si>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</si>
  <si>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</si>
  <si>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</si>
  <si>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</si>
  <si>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</si>
  <si>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</si>
  <si>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</si>
  <si>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</si>
  <si>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</si>
  <si>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</si>
  <si>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</si>
  <si>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</si>
  <si>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</si>
  <si>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</si>
  <si>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</si>
  <si>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</si>
  <si>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</si>
  <si>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</si>
  <si>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</si>
  <si>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</si>
  <si>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</si>
  <si>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</si>
  <si>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</si>
  <si>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</si>
  <si>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</si>
  <si>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</si>
  <si>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</si>
  <si>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</si>
  <si>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</si>
  <si>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</si>
  <si>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</si>
  <si>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</si>
  <si>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</si>
  <si>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</si>
  <si>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</si>
  <si>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</si>
  <si>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</si>
  <si>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</si>
  <si>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</si>
  <si>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</si>
  <si>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</si>
  <si>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</si>
  <si>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</si>
  <si>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</si>
  <si>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</si>
  <si>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</si>
  <si>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</si>
  <si>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</si>
  <si>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</si>
  <si>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</si>
  <si>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</si>
  <si>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</si>
  <si>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</si>
  <si>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</si>
  <si>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</si>
  <si>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</si>
  <si>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</si>
  <si>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</si>
  <si>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</si>
  <si>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</si>
  <si>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</si>
  <si>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</si>
  <si>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</si>
  <si>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</si>
  <si>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</si>
  <si>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</si>
  <si>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</si>
  <si>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</si>
  <si>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</si>
  <si>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</si>
  <si>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</si>
  <si>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</si>
  <si>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</si>
  <si>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</si>
  <si>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</si>
  <si>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</si>
  <si>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</si>
  <si>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</si>
  <si>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</si>
  <si>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</si>
  <si>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</si>
  <si>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</si>
  <si>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</si>
  <si>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</si>
  <si>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</si>
  <si>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</si>
  <si>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</si>
  <si>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</si>
  <si>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</si>
  <si>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</si>
  <si>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</si>
  <si>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</si>
  <si>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</si>
  <si>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</si>
  <si>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</si>
  <si>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</si>
  <si>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</si>
  <si>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</si>
  <si>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</si>
  <si>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</si>
  <si>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</si>
  <si>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</si>
  <si>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</si>
  <si>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</si>
  <si>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</si>
  <si>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</si>
  <si>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</si>
  <si>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</si>
  <si>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</si>
  <si>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</si>
  <si>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</si>
  <si>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</si>
  <si>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</si>
  <si>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</si>
  <si>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</si>
  <si>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</si>
  <si>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</si>
  <si>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</si>
  <si>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</si>
  <si>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</si>
  <si>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</si>
  <si>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</si>
  <si>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</si>
  <si>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</si>
  <si>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</si>
  <si>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</si>
  <si>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</si>
  <si>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</si>
  <si>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</si>
  <si>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</si>
  <si>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</si>
  <si>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</si>
  <si>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</si>
  <si>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</si>
  <si>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</si>
  <si>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</si>
  <si>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</si>
  <si>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</si>
  <si>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</si>
  <si>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</si>
  <si>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</si>
  <si>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</si>
  <si>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</si>
  <si>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</si>
  <si>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</si>
  <si>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</si>
  <si>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</si>
  <si>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</si>
  <si>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</si>
  <si>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</si>
  <si>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</si>
  <si>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</si>
  <si>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</si>
  <si>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</si>
  <si>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</si>
  <si>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</si>
  <si>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</si>
  <si>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</si>
  <si>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</si>
  <si>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</si>
  <si>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</si>
  <si>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</si>
  <si>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</si>
  <si>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</si>
  <si>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</si>
  <si>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</si>
  <si>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</si>
  <si>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</si>
  <si>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</si>
  <si>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</si>
  <si>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</si>
  <si>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</si>
  <si>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</si>
  <si>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</si>
  <si>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</si>
  <si>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</si>
  <si>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</si>
  <si>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</si>
  <si>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</si>
  <si>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</si>
  <si>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</si>
  <si>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</si>
  <si>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</si>
  <si>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</si>
  <si>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</si>
  <si>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</si>
  <si>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</si>
  <si>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</si>
  <si>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</si>
  <si>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</si>
  <si>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</si>
  <si>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</si>
  <si>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</si>
  <si>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</si>
  <si>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</si>
  <si>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</si>
  <si>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</si>
  <si>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</si>
  <si>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</si>
  <si>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</si>
  <si>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</si>
  <si>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</si>
  <si>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</si>
  <si>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</si>
  <si>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</si>
  <si>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</si>
  <si>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</si>
  <si>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</si>
  <si>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</si>
  <si>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</si>
  <si>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</si>
  <si>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</si>
  <si>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</si>
  <si>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</si>
  <si>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</si>
  <si>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</si>
  <si>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</si>
  <si>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</si>
  <si>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</si>
  <si>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</si>
  <si>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</si>
  <si>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</si>
  <si>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</si>
  <si>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</si>
  <si>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</si>
  <si>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</si>
  <si>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</si>
  <si>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</si>
  <si>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</si>
  <si>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</si>
  <si>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</si>
  <si>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</si>
  <si>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</si>
  <si>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</si>
  <si>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</si>
  <si>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</si>
  <si>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</si>
  <si>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</si>
  <si>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</si>
  <si>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</si>
  <si>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</si>
  <si>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</si>
  <si>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</si>
  <si>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</si>
  <si>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</si>
  <si>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</si>
  <si>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</si>
  <si>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</si>
  <si>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</si>
  <si>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</si>
  <si>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</si>
  <si>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</si>
  <si>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</si>
  <si>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</si>
  <si>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</si>
  <si>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</si>
  <si>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</si>
  <si>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</si>
  <si>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</si>
  <si>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</si>
  <si>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</si>
  <si>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</si>
  <si>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</si>
  <si>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</si>
  <si>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</si>
  <si>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</si>
  <si>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</si>
  <si>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</si>
  <si>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</si>
  <si>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</si>
  <si>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</si>
  <si>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</si>
  <si>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</si>
  <si>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</si>
  <si>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</si>
  <si>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</si>
  <si>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</si>
  <si>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</si>
  <si>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</si>
  <si>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</si>
  <si>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</si>
  <si>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</si>
  <si>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</si>
  <si>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</si>
  <si>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</si>
  <si>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</si>
  <si>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</si>
  <si>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</si>
  <si>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</si>
  <si>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</si>
  <si>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</si>
  <si>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</si>
  <si>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</si>
  <si>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</si>
  <si>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</si>
  <si>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</si>
  <si>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</si>
  <si>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</si>
  <si>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</si>
  <si>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</si>
  <si>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</si>
  <si>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</si>
  <si>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</si>
  <si>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</si>
  <si>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</si>
  <si>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</si>
  <si>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</si>
  <si>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</si>
  <si>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</si>
  <si>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</si>
  <si>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</si>
  <si>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</si>
  <si>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</si>
  <si>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</si>
  <si>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</si>
  <si>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</si>
  <si>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</si>
  <si>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</si>
  <si>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</si>
  <si>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</si>
  <si>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</si>
  <si>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</si>
  <si>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</si>
  <si>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</si>
  <si>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</si>
  <si>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</si>
  <si>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</si>
  <si>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</si>
  <si>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</si>
  <si>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</si>
  <si>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</si>
  <si>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</si>
  <si>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</si>
  <si>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</si>
  <si>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</si>
  <si>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</si>
  <si>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</si>
  <si>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</si>
  <si>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</si>
  <si>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</si>
  <si>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</si>
  <si>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</si>
  <si>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</si>
  <si>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</si>
  <si>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</si>
  <si>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</si>
  <si>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</si>
  <si>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</si>
  <si>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</si>
  <si>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</si>
  <si>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</si>
  <si>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</si>
  <si>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</si>
  <si>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</si>
  <si>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</si>
  <si>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</si>
  <si>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</si>
  <si>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</si>
  <si>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</si>
  <si>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</si>
  <si>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</si>
  <si>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</si>
  <si>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</si>
  <si>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</si>
  <si>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</si>
  <si>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</si>
  <si>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</si>
  <si>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</si>
  <si>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</si>
  <si>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</si>
  <si>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</si>
  <si>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</si>
  <si>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</si>
  <si>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</si>
  <si>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</si>
  <si>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</si>
  <si>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</si>
  <si>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</si>
  <si>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</si>
  <si>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</si>
  <si>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</si>
  <si>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</si>
  <si>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</si>
  <si>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</si>
  <si>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</si>
  <si>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</si>
  <si>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</si>
  <si>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</si>
  <si>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</si>
  <si>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</si>
  <si>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</si>
  <si>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</si>
  <si>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</si>
  <si>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</si>
  <si>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</si>
  <si>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</si>
  <si>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</si>
  <si>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</si>
  <si>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</si>
  <si>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</si>
  <si>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</si>
  <si>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</si>
  <si>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</si>
  <si>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</si>
  <si>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</si>
  <si>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</si>
  <si>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</si>
  <si>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</si>
  <si>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</si>
  <si>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</si>
  <si>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</si>
  <si>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</si>
  <si>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</si>
  <si>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</si>
  <si>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</si>
  <si>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</si>
  <si>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</si>
  <si>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</si>
  <si>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</si>
  <si>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</si>
  <si>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</si>
  <si>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</si>
  <si>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</si>
  <si>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</si>
  <si>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</si>
  <si>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</si>
  <si>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</si>
  <si>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</si>
  <si>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</si>
  <si>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</si>
  <si>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</si>
  <si>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</si>
  <si>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</si>
  <si>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</si>
  <si>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</si>
  <si>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</si>
  <si>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</si>
  <si>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</si>
  <si>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</si>
  <si>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</si>
  <si>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</si>
  <si>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</si>
  <si>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</si>
  <si>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</si>
  <si>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</si>
  <si>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</si>
  <si>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</si>
  <si>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</si>
  <si>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</si>
  <si>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</si>
  <si>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</si>
  <si>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</si>
  <si>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</si>
  <si>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</si>
  <si>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</si>
  <si>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</si>
  <si>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</si>
  <si>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</si>
  <si>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</si>
  <si>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</si>
  <si>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</si>
  <si>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</si>
  <si>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</si>
  <si>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</si>
  <si>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</si>
  <si>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</si>
  <si>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</si>
  <si>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</si>
  <si>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</si>
  <si>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</si>
  <si>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</si>
  <si>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</si>
  <si>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</si>
  <si>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</si>
  <si>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</si>
  <si>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</si>
  <si>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</si>
  <si>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</si>
  <si>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</si>
  <si>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</si>
  <si>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</si>
  <si>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</si>
  <si>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</si>
  <si>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</si>
  <si>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</si>
  <si>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</si>
  <si>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</si>
  <si>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</si>
  <si>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</si>
  <si>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</si>
  <si>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</si>
  <si>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</si>
  <si>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</si>
  <si>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</si>
  <si>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</si>
  <si>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</si>
  <si>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</si>
  <si>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</si>
  <si>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</si>
  <si>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</si>
  <si>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</si>
  <si>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</si>
  <si>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</si>
  <si>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</si>
  <si>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</si>
  <si>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</si>
  <si>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</si>
  <si>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</si>
  <si>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</si>
  <si>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</si>
  <si>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</si>
  <si>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</si>
  <si>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</si>
  <si>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</si>
  <si>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</si>
  <si>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</si>
  <si>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</si>
  <si>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</si>
  <si>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</si>
  <si>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</si>
  <si>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</si>
  <si>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</si>
  <si>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</si>
  <si>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</si>
  <si>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</si>
  <si>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</si>
  <si>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</si>
  <si>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</si>
  <si>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</si>
  <si>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</si>
  <si>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</si>
  <si>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</si>
  <si>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</si>
  <si>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</si>
  <si>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</si>
  <si>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</si>
  <si>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</si>
  <si>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</si>
  <si>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</si>
  <si>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</si>
  <si>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</si>
  <si>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</si>
  <si>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</si>
  <si>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</si>
  <si>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</si>
  <si>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</si>
  <si>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</si>
  <si>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</si>
  <si>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</si>
  <si>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</si>
  <si>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</si>
  <si>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</si>
  <si>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</si>
  <si>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</si>
  <si>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</si>
  <si>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</si>
  <si>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</si>
  <si>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</si>
  <si>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</si>
  <si>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</si>
  <si>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</si>
  <si>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</si>
  <si>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</si>
  <si>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</si>
  <si>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</si>
  <si>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</si>
  <si>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</si>
  <si>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</si>
  <si>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</si>
  <si>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</si>
  <si>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</si>
  <si>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</si>
  <si>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</si>
  <si>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</si>
  <si>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</si>
  <si>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</si>
  <si>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</si>
  <si>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</si>
  <si>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</si>
  <si>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</si>
  <si>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</si>
  <si>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</si>
  <si>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</si>
  <si>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</si>
  <si>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</si>
  <si>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</si>
  <si>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</si>
  <si>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</si>
  <si>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</si>
  <si>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</si>
  <si>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</si>
  <si>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</si>
  <si>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</si>
  <si>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</si>
  <si>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</si>
  <si>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</si>
  <si>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</si>
  <si>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</si>
  <si>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</si>
  <si>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</si>
  <si>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</si>
  <si>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</si>
  <si>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</si>
  <si>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</si>
  <si>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</si>
  <si>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</si>
  <si>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</si>
  <si>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</si>
  <si>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</si>
  <si>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</si>
  <si>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</si>
  <si>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</si>
  <si>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</si>
  <si>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</si>
  <si>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</si>
  <si>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</si>
  <si>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</si>
  <si>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</si>
  <si>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</si>
  <si>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</si>
  <si>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</si>
  <si>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</si>
  <si>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</si>
  <si>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</si>
  <si>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</si>
  <si>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</si>
  <si>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</si>
  <si>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</si>
  <si>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</si>
  <si>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</si>
  <si>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</si>
  <si>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</si>
  <si>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</si>
  <si>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</si>
  <si>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</si>
  <si>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</si>
  <si>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</si>
  <si>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</si>
  <si>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</si>
  <si>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</si>
  <si>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</si>
  <si>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</si>
  <si>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</si>
  <si>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</si>
  <si>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</si>
  <si>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</si>
  <si>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</si>
  <si>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</si>
  <si>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</si>
  <si>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</si>
  <si>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</si>
  <si>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</si>
  <si>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</si>
  <si>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</si>
  <si>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</si>
  <si>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</si>
  <si>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</si>
  <si>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</si>
  <si>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</si>
  <si>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</si>
  <si>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</si>
  <si>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</si>
  <si>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</si>
  <si>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</si>
  <si>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</si>
  <si>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</si>
  <si>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</si>
  <si>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</si>
  <si>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</si>
  <si>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</si>
  <si>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</si>
  <si>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</si>
  <si>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</si>
  <si>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</si>
  <si>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</si>
  <si>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</si>
  <si>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</si>
  <si>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</si>
  <si>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</si>
  <si>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</si>
  <si>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</si>
  <si>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</si>
  <si>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</si>
  <si>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</si>
  <si>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</si>
  <si>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</si>
  <si>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</si>
  <si>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</si>
  <si>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</si>
  <si>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</si>
  <si>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</si>
  <si>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</si>
  <si>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</si>
  <si>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</si>
  <si>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</si>
  <si>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</si>
  <si>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</si>
  <si>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</si>
  <si>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</si>
  <si>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</si>
  <si>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</si>
  <si>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</si>
  <si>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</si>
  <si>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</si>
  <si>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</si>
  <si>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</si>
  <si>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</si>
  <si>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</si>
  <si>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</si>
  <si>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</si>
  <si>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</si>
  <si>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</si>
  <si>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</si>
  <si>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</si>
  <si>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</si>
  <si>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</si>
  <si>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</si>
  <si>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</si>
  <si>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</si>
  <si>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</si>
  <si>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</si>
  <si>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</si>
  <si>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</si>
  <si>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</si>
  <si>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</si>
  <si>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</si>
  <si>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</si>
  <si>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</si>
  <si>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</si>
  <si>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</si>
  <si>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</si>
  <si>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</si>
  <si>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</si>
  <si>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</si>
  <si>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</si>
  <si>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</si>
  <si>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</si>
  <si>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</si>
  <si>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</si>
  <si>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</si>
  <si>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</si>
  <si>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</si>
  <si>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</si>
  <si>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</si>
  <si>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</si>
  <si>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</si>
  <si>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</si>
  <si>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</si>
  <si>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</si>
  <si>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</si>
  <si>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</si>
  <si>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</si>
  <si>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</si>
  <si>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</si>
  <si>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</si>
  <si>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</si>
  <si>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</si>
  <si>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</si>
  <si>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</si>
  <si>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</si>
  <si>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</si>
  <si>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</si>
  <si>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</si>
  <si>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</si>
  <si>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</si>
  <si>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</si>
  <si>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</si>
  <si>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</si>
  <si>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</si>
  <si>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</si>
  <si>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</si>
  <si>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</si>
  <si>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</si>
  <si>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</si>
  <si>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</si>
  <si>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</si>
  <si>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</si>
  <si>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</si>
  <si>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</si>
  <si>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</si>
  <si>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</si>
  <si>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</si>
  <si>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</si>
  <si>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</si>
  <si>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</si>
  <si>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</si>
  <si>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</si>
  <si>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</si>
  <si>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</si>
  <si>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</si>
  <si>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</si>
  <si>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</si>
  <si>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</si>
  <si>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</si>
  <si>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</si>
  <si>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</si>
  <si>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</si>
  <si>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</si>
  <si>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</si>
  <si>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</si>
  <si>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</si>
  <si>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</si>
  <si>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</si>
  <si>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</si>
  <si>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</si>
  <si>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</si>
  <si>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</si>
  <si>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</si>
  <si>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</si>
  <si>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</si>
  <si>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</si>
  <si>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</si>
  <si>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</si>
  <si>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</si>
  <si>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</si>
  <si>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</si>
  <si>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</si>
  <si>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</si>
  <si>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</si>
  <si>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</si>
  <si>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</si>
  <si>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</si>
  <si>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</si>
  <si>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</si>
  <si>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</si>
  <si>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</si>
  <si>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</si>
  <si>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</si>
  <si>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</si>
  <si>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</si>
  <si>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</si>
  <si>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</si>
  <si>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</si>
  <si>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</si>
  <si>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</si>
  <si>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</si>
  <si>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</si>
  <si>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</si>
  <si>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</si>
  <si>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</si>
  <si>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</si>
  <si>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</si>
  <si>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</si>
  <si>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</si>
  <si>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</si>
  <si>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</si>
  <si>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</si>
  <si>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</si>
  <si>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</si>
  <si>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</si>
  <si>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</si>
  <si>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</si>
  <si>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</si>
  <si>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</si>
  <si>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</si>
  <si>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</si>
  <si>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</si>
  <si>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</si>
  <si>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</si>
  <si>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</si>
  <si>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</si>
  <si>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</si>
  <si>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</si>
  <si>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</si>
  <si>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</si>
  <si>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</si>
  <si>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</si>
  <si>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</si>
  <si>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</si>
  <si>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</si>
  <si>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</si>
  <si>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</si>
  <si>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</si>
  <si>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</si>
  <si>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</si>
  <si>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</si>
  <si>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</si>
  <si>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</si>
  <si>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</si>
  <si>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</si>
  <si>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</si>
  <si>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</si>
  <si>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</si>
  <si>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</si>
  <si>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</si>
  <si>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</si>
  <si>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</si>
  <si>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</si>
  <si>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</si>
  <si>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</si>
  <si>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</si>
  <si>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</si>
  <si>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</si>
  <si>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</si>
  <si>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</si>
  <si>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</si>
  <si>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</si>
  <si>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</si>
  <si>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</si>
  <si>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</si>
  <si>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</si>
  <si>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</si>
  <si>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</si>
  <si>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</si>
  <si>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</si>
  <si>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</si>
  <si>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</si>
  <si>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</si>
  <si>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</si>
  <si>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</si>
  <si>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</si>
  <si>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</si>
  <si>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</si>
  <si>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</si>
  <si>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</si>
  <si>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</si>
  <si>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</si>
  <si>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</si>
  <si>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</si>
  <si>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</si>
  <si>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</si>
  <si>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</si>
  <si>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</si>
  <si>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</si>
  <si>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</si>
  <si>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</si>
  <si>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</si>
  <si>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</si>
  <si>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</si>
  <si>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</si>
  <si>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</si>
  <si>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</si>
  <si>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</si>
  <si>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</si>
  <si>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</si>
  <si>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</si>
  <si>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</si>
  <si>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</si>
  <si>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</si>
  <si>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</si>
  <si>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</si>
  <si>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</si>
  <si>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</si>
  <si>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</si>
  <si>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</si>
  <si>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</si>
  <si>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</si>
  <si>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</si>
  <si>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</si>
  <si>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</si>
  <si>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</si>
  <si>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</si>
  <si>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</si>
  <si>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</si>
  <si>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</si>
  <si>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</si>
  <si>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</si>
  <si>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</si>
  <si>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</si>
  <si>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</si>
  <si>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</si>
  <si>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</si>
  <si>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</si>
  <si>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</si>
  <si>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</si>
  <si>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</si>
  <si>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</si>
  <si>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</si>
  <si>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</si>
  <si>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</si>
  <si>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</si>
  <si>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</si>
  <si>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</si>
  <si>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</si>
  <si>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</si>
  <si>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</si>
  <si>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</si>
  <si>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</si>
  <si>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</si>
  <si>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</si>
  <si>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</si>
  <si>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</si>
  <si>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</si>
  <si>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</si>
  <si>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</si>
  <si>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</si>
  <si>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</si>
  <si>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</si>
  <si>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</si>
  <si>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</si>
  <si>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</si>
  <si>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</si>
  <si>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</si>
  <si>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</si>
  <si>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</si>
  <si>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</si>
  <si>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</si>
  <si>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</si>
  <si>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</si>
  <si>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</si>
  <si>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</si>
  <si>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</si>
  <si>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</si>
  <si>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</si>
  <si>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</si>
  <si>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</si>
  <si>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</si>
  <si>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</si>
  <si>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</si>
  <si>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</si>
  <si>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</si>
  <si>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</si>
  <si>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</si>
  <si>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</si>
  <si>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</si>
  <si>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</si>
  <si>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</si>
  <si>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</si>
  <si>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</si>
  <si>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</si>
  <si>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</si>
  <si>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</si>
  <si>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</si>
  <si>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</si>
  <si>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</si>
  <si>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</si>
  <si>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</si>
  <si>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</si>
  <si>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</si>
  <si>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</si>
  <si>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</si>
  <si>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</si>
  <si>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</si>
  <si>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</si>
  <si>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</si>
  <si>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</si>
  <si>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</si>
  <si>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</si>
  <si>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</si>
  <si>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</si>
  <si>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</si>
  <si>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</si>
  <si>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</si>
  <si>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</si>
  <si>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</si>
  <si>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</si>
  <si>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</si>
  <si>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</si>
  <si>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</si>
  <si>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</si>
  <si>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</si>
  <si>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</si>
  <si>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</si>
  <si>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</si>
  <si>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</si>
  <si>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</si>
  <si>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</si>
  <si>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</si>
  <si>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</si>
  <si>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</si>
  <si>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</si>
  <si>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</si>
  <si>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</si>
  <si>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</si>
  <si>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</si>
  <si>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</si>
  <si>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</si>
  <si>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</si>
  <si>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</si>
  <si>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</si>
  <si>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</si>
  <si>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</si>
  <si>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</si>
  <si>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</si>
  <si>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</si>
  <si>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</si>
  <si>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</si>
  <si>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</si>
  <si>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</si>
  <si>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</si>
  <si>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</si>
  <si>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</si>
  <si>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</si>
  <si>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</si>
  <si>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</si>
  <si>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</si>
  <si>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</si>
  <si>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</si>
  <si>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</si>
  <si>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</si>
  <si>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</si>
  <si>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</si>
  <si>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</si>
  <si>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</si>
  <si>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</si>
  <si>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</si>
  <si>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</si>
  <si>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</si>
  <si>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</si>
  <si>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</si>
  <si>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</si>
  <si>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</si>
  <si>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</si>
  <si>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</si>
  <si>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</si>
  <si>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</si>
  <si>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</si>
  <si>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</si>
  <si>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</si>
  <si>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</si>
  <si>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</si>
  <si>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</si>
  <si>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</si>
  <si>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</si>
  <si>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</si>
  <si>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</si>
  <si>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</si>
  <si>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</si>
  <si>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</si>
  <si>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</si>
  <si>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</si>
  <si>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</si>
  <si>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</si>
  <si>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</si>
  <si>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</si>
  <si>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</si>
  <si>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</si>
  <si>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</si>
  <si>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</si>
  <si>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</si>
  <si>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</si>
  <si>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</si>
  <si>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</si>
  <si>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</si>
  <si>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</si>
  <si>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</si>
  <si>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</si>
  <si>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</si>
  <si>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</si>
  <si>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</si>
  <si>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</si>
  <si>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</si>
  <si>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</si>
  <si>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</si>
  <si>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</si>
  <si>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</si>
  <si>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</si>
  <si>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</si>
  <si>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</si>
  <si>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</si>
  <si>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</si>
  <si>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</si>
  <si>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</si>
  <si>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</si>
  <si>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</si>
  <si>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</si>
  <si>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</si>
  <si>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</si>
  <si>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</si>
  <si>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</si>
  <si>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</si>
  <si>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</si>
  <si>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</si>
  <si>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</si>
  <si>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</si>
  <si>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</si>
  <si>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</si>
  <si>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</si>
  <si>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</si>
  <si>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</si>
  <si>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</si>
  <si>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</si>
  <si>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</si>
  <si>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</si>
  <si>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</si>
  <si>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</si>
  <si>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</si>
  <si>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</si>
  <si>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</si>
  <si>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</si>
  <si>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</si>
  <si>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</si>
  <si>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</si>
  <si>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</si>
  <si>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</si>
  <si>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</si>
  <si>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</si>
  <si>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</si>
  <si>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</si>
  <si>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</si>
  <si>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</si>
  <si>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</si>
  <si>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</si>
  <si>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</si>
  <si>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</si>
  <si>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</si>
  <si>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</si>
  <si>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</si>
  <si>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</si>
  <si>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</si>
  <si>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</si>
  <si>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</si>
  <si>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</si>
  <si>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</si>
  <si>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</si>
  <si>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</si>
  <si>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</si>
  <si>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</si>
  <si>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</si>
  <si>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</si>
  <si>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</si>
  <si>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</si>
  <si>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</si>
  <si>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</si>
  <si>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</si>
  <si>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</si>
  <si>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</si>
  <si>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</si>
  <si>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</si>
  <si>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</si>
  <si>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</si>
  <si>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</si>
  <si>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</si>
  <si>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</si>
  <si>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</si>
  <si>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</si>
  <si>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</si>
  <si>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</si>
  <si>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</si>
  <si>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</si>
  <si>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</si>
  <si>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</si>
  <si>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</si>
  <si>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</si>
  <si>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</si>
  <si>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</si>
  <si>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</si>
  <si>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</si>
  <si>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</si>
  <si>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</si>
  <si>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</si>
  <si>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</si>
  <si>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</si>
  <si>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</si>
  <si>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</si>
  <si>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</si>
  <si>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</si>
  <si>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</si>
  <si>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</si>
  <si>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</si>
  <si>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</si>
  <si>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</si>
  <si>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</si>
  <si>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</si>
  <si>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</si>
  <si>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</si>
  <si>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</si>
  <si>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</si>
  <si>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</si>
  <si>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</si>
  <si>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</si>
  <si>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</si>
  <si>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</si>
  <si>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</si>
  <si>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</si>
  <si>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</si>
  <si>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</si>
  <si>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</si>
  <si>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</si>
  <si>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</si>
  <si>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</si>
  <si>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</si>
  <si>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</si>
  <si>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</si>
  <si>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</si>
  <si>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</si>
  <si>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</si>
  <si>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</si>
  <si>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</si>
  <si>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</si>
  <si>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</si>
  <si>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</si>
  <si>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</si>
  <si>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</si>
  <si>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</si>
  <si>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</si>
  <si>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</si>
  <si>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</si>
  <si>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</si>
  <si>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</si>
  <si>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</si>
  <si>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</si>
  <si>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</si>
  <si>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</si>
  <si>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</si>
  <si>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</si>
  <si>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</si>
  <si>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</si>
  <si>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</si>
  <si>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</si>
  <si>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</si>
  <si>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</si>
  <si>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</si>
  <si>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</si>
  <si>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</si>
  <si>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</si>
  <si>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</si>
  <si>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</si>
  <si>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</si>
  <si>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</si>
  <si>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</si>
  <si>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</si>
  <si>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</si>
  <si>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</si>
  <si>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</si>
  <si>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</si>
  <si>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</si>
  <si>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</si>
  <si>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</si>
  <si>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</si>
  <si>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</si>
  <si>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</si>
  <si>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</si>
  <si>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</si>
  <si>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</si>
  <si>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</si>
  <si>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</si>
  <si>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</si>
  <si>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</si>
  <si>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</si>
  <si>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</si>
  <si>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</si>
  <si>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</si>
  <si>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</si>
  <si>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</si>
  <si>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</si>
  <si>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</si>
  <si>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</si>
  <si>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</si>
  <si>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</si>
  <si>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</si>
  <si>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</si>
  <si>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</si>
  <si>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</si>
  <si>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</si>
  <si>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</si>
  <si>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</si>
  <si>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</si>
  <si>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</si>
  <si>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</si>
  <si>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</si>
  <si>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</si>
  <si>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</si>
  <si>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</si>
  <si>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</si>
  <si>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</si>
  <si>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</si>
  <si>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</si>
  <si>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</si>
  <si>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</si>
  <si>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</si>
  <si>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</si>
  <si>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</si>
  <si>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</si>
  <si>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</si>
  <si>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</si>
  <si>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</si>
  <si>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</si>
  <si>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</si>
  <si>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</si>
  <si>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</si>
  <si>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</si>
  <si>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</si>
  <si>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</si>
  <si>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</si>
  <si>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</si>
  <si>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</si>
  <si>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</si>
  <si>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</si>
  <si>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</si>
  <si>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</si>
  <si>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</si>
  <si>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</si>
  <si>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</si>
  <si>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</si>
  <si>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</si>
  <si>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</si>
  <si>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</si>
  <si>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</si>
  <si>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</si>
  <si>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</si>
  <si>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</si>
  <si>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</si>
  <si>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</si>
  <si>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</si>
  <si>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</si>
  <si>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</si>
  <si>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</si>
  <si>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</si>
  <si>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</si>
  <si>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</si>
  <si>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</si>
  <si>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</si>
  <si>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</si>
  <si>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</si>
  <si>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</si>
  <si>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</si>
  <si>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</si>
  <si>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</si>
  <si>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</si>
  <si>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</si>
  <si>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</si>
  <si>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</si>
  <si>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</si>
  <si>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</si>
  <si>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</si>
  <si>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</si>
  <si>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</si>
  <si>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</si>
  <si>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</si>
  <si>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</si>
  <si>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</si>
  <si>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</si>
  <si>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</si>
  <si>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</si>
  <si>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</si>
  <si>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</si>
  <si>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</si>
  <si>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</si>
  <si>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</si>
  <si>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</si>
  <si>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</si>
  <si>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</si>
  <si>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</si>
  <si>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</si>
  <si>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</si>
  <si>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</si>
  <si>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</si>
  <si>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</si>
  <si>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</si>
  <si>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</si>
  <si>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</si>
  <si>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</si>
  <si>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</si>
  <si>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</si>
  <si>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</si>
  <si>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</si>
  <si>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</si>
  <si>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</si>
  <si>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</si>
  <si>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</si>
  <si>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</si>
  <si>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</si>
  <si>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</si>
  <si>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</si>
  <si>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</si>
  <si>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</si>
  <si>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</si>
  <si>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</si>
  <si>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</si>
  <si>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</si>
  <si>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</si>
  <si>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</si>
  <si>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</si>
  <si>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</si>
  <si>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</si>
  <si>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</si>
  <si>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</si>
  <si>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</si>
  <si>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</si>
  <si>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</si>
  <si>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</si>
  <si>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</si>
  <si>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</si>
  <si>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</si>
  <si>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</si>
  <si>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</si>
  <si>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</si>
  <si>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</si>
  <si>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</si>
  <si>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</si>
  <si>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</si>
  <si>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</si>
  <si>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</si>
  <si>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</si>
  <si>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</si>
  <si>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</si>
  <si>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</si>
  <si>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</si>
  <si>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</si>
  <si>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</si>
  <si>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</si>
  <si>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</si>
  <si>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</si>
  <si>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</si>
  <si>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</si>
  <si>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</si>
  <si>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</si>
  <si>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</si>
  <si>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</si>
  <si>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</si>
  <si>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</si>
  <si>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</si>
  <si>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</si>
  <si>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</si>
  <si>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</si>
  <si>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</si>
  <si>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</si>
  <si>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</si>
  <si>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</si>
  <si>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</si>
  <si>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</si>
  <si>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</si>
  <si>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</si>
  <si>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</si>
  <si>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</si>
  <si>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</si>
  <si>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</si>
  <si>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</si>
  <si>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</si>
  <si>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</si>
  <si>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</si>
  <si>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</si>
  <si>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</si>
  <si>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</si>
  <si>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</si>
  <si>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</si>
  <si>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</si>
  <si>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</si>
  <si>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</si>
  <si>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</si>
  <si>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</si>
  <si>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</si>
  <si>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</si>
  <si>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</si>
  <si>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</si>
  <si>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</si>
  <si>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</si>
  <si>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</si>
  <si>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</si>
  <si>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</si>
  <si>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</si>
  <si>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</si>
  <si>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</si>
  <si>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</si>
  <si>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</si>
  <si>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</si>
  <si>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</si>
  <si>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</si>
  <si>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</si>
  <si>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</si>
  <si>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</si>
  <si>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</si>
  <si>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</si>
  <si>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</si>
  <si>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</si>
  <si>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</si>
  <si>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</si>
  <si>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</si>
  <si>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</si>
  <si>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</si>
  <si>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</si>
  <si>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</si>
  <si>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</si>
  <si>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</si>
  <si>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</si>
  <si>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</si>
  <si>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</si>
  <si>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</si>
  <si>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</si>
  <si>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</si>
  <si>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</si>
  <si>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</si>
  <si>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</si>
  <si>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</si>
  <si>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</si>
  <si>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</si>
  <si>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</si>
  <si>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</si>
  <si>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</si>
  <si>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</si>
  <si>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</si>
  <si>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</si>
  <si>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</si>
  <si>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</si>
  <si>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</si>
  <si>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</si>
  <si>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</si>
  <si>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</si>
  <si>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</si>
  <si>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</si>
  <si>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</si>
  <si>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</si>
  <si>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</si>
  <si>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</si>
  <si>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</si>
  <si>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</si>
  <si>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</si>
  <si>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</si>
  <si>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</si>
  <si>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</si>
  <si>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</si>
  <si>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</si>
  <si>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</si>
  <si>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</si>
  <si>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</si>
  <si>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</si>
  <si>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</si>
  <si>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</si>
  <si>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</si>
  <si>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</si>
  <si>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</si>
  <si>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</si>
  <si>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</si>
  <si>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</si>
  <si>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</si>
  <si>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</si>
  <si>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</si>
  <si>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</si>
  <si>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</si>
  <si>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</si>
  <si>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</si>
  <si>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</si>
  <si>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</si>
  <si>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</si>
  <si>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</si>
  <si>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</si>
  <si>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</si>
  <si>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</si>
  <si>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</si>
  <si>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</si>
  <si>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</si>
  <si>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</si>
  <si>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</si>
  <si>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</si>
  <si>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</si>
  <si>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</si>
  <si>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</si>
  <si>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</si>
  <si>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</si>
  <si>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</si>
  <si>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</si>
  <si>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</si>
  <si>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</si>
  <si>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</si>
  <si>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</si>
  <si>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</si>
  <si>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</si>
  <si>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</si>
  <si>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</si>
  <si>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</si>
  <si>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</si>
  <si>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</si>
  <si>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</si>
  <si>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</si>
  <si>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</si>
  <si>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</si>
  <si>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</si>
  <si>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</si>
  <si>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</si>
  <si>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</si>
  <si>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</si>
  <si>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</si>
  <si>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</si>
  <si>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</si>
  <si>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</si>
  <si>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</si>
  <si>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</si>
  <si>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</si>
  <si>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</si>
  <si>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</si>
  <si>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</si>
  <si>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</si>
  <si>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</si>
  <si>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</si>
  <si>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</si>
  <si>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</si>
  <si>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</si>
  <si>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</si>
  <si>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</si>
  <si>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</si>
  <si>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</si>
  <si>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</si>
  <si>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</si>
  <si>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</si>
  <si>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</si>
  <si>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</si>
  <si>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</si>
  <si>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</si>
  <si>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</si>
  <si>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</si>
  <si>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</si>
  <si>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</si>
  <si>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</si>
  <si>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</si>
  <si>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</si>
  <si>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</si>
  <si>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</si>
  <si>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</si>
  <si>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</si>
  <si>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</si>
  <si>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</si>
  <si>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</si>
  <si>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</si>
  <si>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</si>
  <si>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</si>
  <si>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</si>
  <si>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</si>
  <si>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</si>
  <si>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</si>
  <si>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</si>
  <si>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</si>
  <si>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</si>
  <si>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</si>
  <si>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</si>
  <si>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</si>
  <si>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</si>
  <si>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</si>
  <si>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</si>
  <si>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</si>
  <si>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</si>
  <si>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</si>
  <si>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</si>
  <si>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</si>
  <si>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</si>
  <si>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</si>
  <si>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</si>
  <si>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</si>
  <si>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</si>
  <si>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</si>
  <si>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</si>
  <si>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</si>
  <si>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</si>
  <si>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</si>
  <si>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</si>
  <si>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</si>
  <si>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</si>
  <si>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</si>
  <si>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</si>
  <si>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</si>
  <si>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</si>
  <si>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</si>
  <si>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</si>
  <si>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</si>
  <si>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</si>
  <si>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</si>
  <si>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</si>
  <si>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</si>
  <si>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</si>
  <si>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</si>
  <si>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</si>
  <si>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</si>
  <si>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</si>
  <si>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</si>
  <si>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</si>
  <si>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</si>
  <si>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</si>
  <si>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</si>
  <si>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</si>
  <si>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</si>
  <si>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</si>
  <si>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</si>
  <si>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</si>
  <si>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</si>
  <si>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</si>
  <si>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</si>
  <si>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</si>
  <si>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</si>
  <si>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</si>
  <si>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</si>
  <si>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</si>
  <si>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</si>
  <si>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</si>
  <si>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</si>
  <si>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</si>
  <si>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</si>
  <si>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</si>
  <si>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</si>
  <si>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</si>
  <si>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</si>
  <si>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</si>
  <si>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</si>
  <si>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</si>
  <si>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</si>
  <si>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</si>
  <si>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</si>
  <si>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</si>
  <si>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</si>
  <si>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</si>
  <si>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</si>
  <si>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</si>
  <si>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</si>
  <si>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</si>
  <si>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</si>
  <si>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</si>
  <si>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</si>
  <si>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</si>
  <si>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</si>
  <si>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</si>
  <si>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</si>
  <si>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</si>
  <si>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</si>
  <si>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</si>
  <si>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</si>
  <si>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</si>
  <si>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</si>
  <si>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</si>
  <si>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</si>
  <si>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</si>
  <si>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</si>
  <si>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</si>
  <si>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</si>
  <si>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</si>
  <si>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</si>
  <si>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</si>
  <si>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</si>
  <si>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</si>
  <si>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</si>
  <si>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</si>
  <si>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</si>
  <si>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</si>
  <si>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</si>
  <si>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</si>
  <si>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</si>
  <si>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</si>
  <si>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</si>
  <si>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</si>
  <si>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</si>
  <si>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</si>
  <si>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</si>
  <si>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</si>
  <si>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</si>
  <si>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</si>
  <si>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</si>
  <si>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</si>
  <si>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</si>
  <si>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</si>
  <si>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</si>
  <si>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</si>
  <si>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</si>
  <si>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</si>
  <si>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</si>
  <si>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</si>
  <si>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</si>
  <si>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</si>
  <si>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</si>
  <si>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</si>
  <si>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</si>
  <si>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</si>
  <si>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</si>
  <si>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</si>
  <si>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</si>
  <si>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</si>
  <si>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</si>
  <si>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</si>
  <si>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</si>
  <si>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</si>
  <si>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</si>
  <si>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</si>
  <si>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</si>
  <si>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</si>
  <si>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</si>
  <si>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</si>
  <si>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</si>
  <si>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</si>
  <si>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</si>
  <si>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</si>
  <si>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</si>
  <si>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</si>
  <si>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</si>
  <si>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</si>
  <si>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</si>
  <si>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</si>
  <si>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</si>
  <si>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</si>
  <si>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</si>
  <si>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</si>
  <si>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</si>
  <si>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</si>
  <si>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</si>
  <si>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</si>
  <si>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</si>
  <si>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</si>
  <si>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</si>
  <si>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</si>
  <si>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</si>
  <si>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</si>
  <si>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</si>
  <si>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</si>
  <si>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</si>
  <si>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</si>
  <si>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</si>
  <si>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</si>
  <si>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</si>
  <si>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</si>
  <si>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</si>
  <si>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</si>
  <si>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</si>
  <si>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</si>
  <si>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</si>
  <si>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</si>
  <si>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</si>
  <si>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</si>
  <si>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</si>
  <si>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</si>
  <si>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</si>
  <si>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</si>
  <si>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</si>
  <si>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</si>
  <si>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</si>
  <si>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</si>
  <si>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</si>
  <si>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</si>
  <si>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</si>
  <si>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</si>
  <si>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</si>
  <si>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</si>
  <si>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</si>
  <si>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</si>
  <si>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</si>
  <si>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</si>
  <si>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</si>
  <si>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</si>
  <si>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</si>
  <si>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</si>
  <si>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</si>
  <si>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</si>
  <si>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</si>
  <si>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</si>
  <si>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</si>
  <si>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</si>
  <si>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</si>
  <si>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</si>
  <si>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</si>
  <si>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</si>
  <si>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</si>
  <si>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</si>
  <si>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</si>
  <si>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</si>
  <si>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</si>
  <si>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</si>
  <si>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</si>
  <si>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</si>
  <si>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</si>
  <si>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</si>
  <si>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</si>
  <si>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</si>
  <si>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</si>
  <si>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</si>
  <si>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</si>
  <si>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</si>
  <si>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</si>
  <si>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</si>
  <si>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</si>
  <si>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</si>
  <si>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</si>
  <si>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</si>
  <si>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</si>
  <si>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</si>
  <si>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</si>
  <si>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</si>
  <si>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</si>
  <si>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</si>
  <si>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</si>
  <si>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</si>
  <si>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</si>
  <si>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</si>
  <si>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</si>
  <si>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</si>
  <si>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</si>
  <si>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</si>
  <si>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</si>
  <si>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</si>
  <si>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</si>
  <si>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</si>
  <si>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</si>
  <si>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</si>
  <si>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</si>
  <si>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</si>
  <si>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</si>
  <si>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</si>
  <si>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</si>
  <si>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</si>
  <si>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</si>
  <si>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</si>
  <si>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</si>
  <si>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</si>
  <si>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</si>
  <si>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</si>
  <si>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</si>
  <si>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</si>
  <si>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</si>
  <si>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</si>
  <si>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</si>
  <si>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</si>
  <si>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</si>
  <si>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</si>
  <si>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</si>
  <si>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</si>
  <si>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</si>
  <si>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</si>
  <si>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</si>
  <si>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</si>
  <si>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</si>
  <si>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</si>
  <si>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</si>
  <si>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</si>
  <si>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</si>
  <si>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</si>
  <si>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</si>
  <si>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</si>
  <si>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</si>
  <si>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</si>
  <si>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</si>
  <si>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</si>
  <si>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</si>
  <si>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</si>
  <si>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</si>
  <si>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</si>
  <si>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</si>
  <si>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</si>
  <si>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</si>
  <si>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</si>
  <si>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</si>
  <si>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</si>
  <si>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</si>
  <si>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</si>
  <si>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</si>
  <si>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</si>
  <si>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</si>
  <si>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</si>
  <si>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</si>
  <si>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</si>
  <si>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</si>
  <si>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</si>
  <si>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</si>
  <si>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</si>
  <si>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</si>
  <si>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</si>
  <si>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</si>
  <si>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</si>
  <si>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</si>
  <si>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</si>
  <si>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</si>
  <si>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</si>
  <si>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</si>
  <si>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</si>
  <si>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</si>
  <si>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</si>
  <si>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</si>
  <si>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</si>
  <si>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</si>
  <si>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</si>
  <si>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</si>
  <si>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</si>
  <si>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</si>
  <si>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</si>
  <si>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</si>
  <si>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</si>
  <si>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</si>
  <si>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</si>
  <si>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</si>
  <si>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</si>
  <si>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</si>
  <si>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</si>
  <si>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</si>
  <si>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</si>
  <si>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</si>
  <si>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</si>
  <si>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</si>
  <si>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</si>
  <si>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</si>
  <si>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</si>
  <si>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</si>
  <si>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</si>
  <si>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</si>
  <si>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</si>
  <si>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</si>
  <si>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</si>
  <si>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</si>
  <si>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</si>
  <si>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</si>
  <si>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</si>
  <si>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</si>
  <si>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</si>
  <si>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</si>
  <si>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</si>
  <si>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</si>
  <si>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</si>
  <si>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</si>
  <si>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</si>
  <si>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</si>
  <si>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</si>
  <si>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</si>
  <si>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</si>
  <si>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</si>
  <si>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</si>
  <si>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</si>
  <si>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</si>
  <si>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</si>
  <si>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</si>
  <si>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</si>
  <si>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</si>
  <si>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</si>
  <si>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</si>
  <si>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</si>
  <si>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</si>
  <si>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</si>
  <si>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</si>
  <si>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</si>
  <si>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</si>
  <si>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</si>
  <si>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</si>
  <si>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</si>
  <si>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</si>
  <si>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</si>
  <si>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</si>
  <si>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</si>
  <si>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</si>
  <si>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</si>
  <si>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</si>
  <si>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</si>
  <si>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</si>
  <si>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</si>
  <si>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</si>
  <si>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</si>
  <si>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</si>
  <si>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</si>
  <si>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</si>
  <si>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</si>
  <si>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</si>
  <si>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</si>
  <si>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</si>
  <si>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</si>
  <si>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</si>
  <si>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</si>
  <si>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</si>
  <si>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</si>
  <si>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</si>
  <si>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</si>
  <si>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</si>
  <si>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</si>
  <si>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</si>
  <si>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</si>
  <si>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</si>
  <si>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</si>
  <si>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</si>
  <si>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</si>
  <si>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</si>
  <si>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</si>
  <si>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</si>
  <si>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</si>
  <si>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</si>
  <si>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</si>
  <si>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</si>
  <si>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</si>
  <si>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</si>
  <si>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</si>
  <si>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</si>
  <si>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</si>
  <si>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</si>
  <si>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</si>
  <si>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</si>
  <si>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</si>
  <si>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</si>
  <si>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</si>
  <si>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</si>
  <si>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</si>
  <si>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</si>
  <si>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</si>
  <si>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</si>
  <si>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</si>
  <si>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</si>
  <si>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</si>
  <si>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</si>
  <si>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</si>
  <si>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</si>
  <si>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</si>
  <si>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</si>
  <si>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</si>
  <si>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</si>
  <si>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</si>
  <si>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</si>
  <si>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</si>
  <si>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Yes</t>
  </si>
  <si>
    <t>No</t>
  </si>
  <si>
    <t>Competitive Round</t>
  </si>
  <si>
    <t>Dave Loeffel</t>
  </si>
  <si>
    <t>Mg Dir of Affordable Housing</t>
  </si>
  <si>
    <t>2181 Newmarket Parkway</t>
  </si>
  <si>
    <t>dloeffel@waltoncommunities.com</t>
  </si>
  <si>
    <t>Walton Oaks Family 2</t>
  </si>
  <si>
    <t>Yes- w/Master Plan</t>
  </si>
  <si>
    <t>401 Fairhope Street</t>
  </si>
  <si>
    <t>City of Augusta</t>
  </si>
  <si>
    <t>Deke Copenhaver</t>
  </si>
  <si>
    <t>530 Greene Street</t>
  </si>
  <si>
    <t>Mayor</t>
  </si>
  <si>
    <t>NA</t>
  </si>
  <si>
    <t>Family</t>
  </si>
  <si>
    <t>Poplar Pointe</t>
  </si>
  <si>
    <t>1 Barry Teague</t>
  </si>
  <si>
    <t>2 Lynda Ausburn</t>
  </si>
  <si>
    <t>3 David Knight</t>
  </si>
  <si>
    <t>4 Keith Davidson</t>
  </si>
  <si>
    <t>5 Tom Wilkes</t>
  </si>
  <si>
    <t>6 Dave Loeffel</t>
  </si>
  <si>
    <t>The Housing Authority of the City of Augusta, Georgia</t>
  </si>
  <si>
    <t>Jacob Oglesby</t>
  </si>
  <si>
    <t>1425 Walton Way</t>
  </si>
  <si>
    <t>joglesby@augustapha.org</t>
  </si>
  <si>
    <t>Sustainable Communities</t>
  </si>
  <si>
    <t>Walton Oaks Family 2, L.P.</t>
  </si>
  <si>
    <t>Oaks Family 2 GP, LLC</t>
  </si>
  <si>
    <t>Executive Director</t>
  </si>
  <si>
    <t>Temporary: Augusta Affordable Housing Corporation</t>
  </si>
  <si>
    <t>Walton Oaks Family 2 State Credit, LLC</t>
  </si>
  <si>
    <t>Keith Davidson</t>
  </si>
  <si>
    <t>Co-Manager</t>
  </si>
  <si>
    <t>kdavidson@waltoncommunities.com</t>
  </si>
  <si>
    <t>Augusta Affordable Housing Corporation</t>
  </si>
  <si>
    <t>KDTA Development, Inc.</t>
  </si>
  <si>
    <t>For Profit</t>
  </si>
  <si>
    <t>The entities above share some of the same partners.  The partners in the entities indicated above to have an identity of interest are:
Walton Members of the GP: L. Barry Teague, Lynda T. Ausburn, W. David Knight, Keith A. Davidson, David K. Loeffel
Co-Developer: L. Barry Teague, Lynda T. Ausburn, W. David Knight, Keith A. Davidson
Contractor: L. Barry Teague, Lynda T. Ausburn, W. David Knight, Keith A. Davidson, Mark Stovall
Management Company: L. Barry Teague, Lynda T. Ausburn, W. David Knight, Keith A. Davidson</t>
  </si>
  <si>
    <t>Walton Construction Services</t>
  </si>
  <si>
    <t>6640 Akers Mill Road; Bldg 1700</t>
  </si>
  <si>
    <t>Mark Stovall</t>
  </si>
  <si>
    <t>President</t>
  </si>
  <si>
    <t>Walton Communities, LLC.</t>
  </si>
  <si>
    <t>Keith A. Davidson</t>
  </si>
  <si>
    <t>Arnall Golden Gregory</t>
  </si>
  <si>
    <t>171 17th Street NW; Suite 2100</t>
  </si>
  <si>
    <t>Jeff Adams</t>
  </si>
  <si>
    <t>Attorney</t>
  </si>
  <si>
    <t>The Reznick Group</t>
  </si>
  <si>
    <t>Pucciano &amp; English</t>
    <phoneticPr fontId="7" type="noConversion"/>
  </si>
  <si>
    <t>3084 Mercer University Drive; Ste 110</t>
  </si>
  <si>
    <t>Fred Pucciano</t>
  </si>
  <si>
    <t>fpucciano@pucciano-english.com</t>
  </si>
  <si>
    <t>RHF Funds</t>
  </si>
  <si>
    <t>TBD</t>
    <phoneticPr fontId="7" type="noConversion"/>
  </si>
  <si>
    <t>TBD</t>
  </si>
  <si>
    <t>Blue Prints, Copes, FedEx</t>
  </si>
  <si>
    <t>DDA/QCT</t>
  </si>
  <si>
    <t>GP Legal Fees</t>
  </si>
  <si>
    <t>Electric Heat Pump</t>
  </si>
  <si>
    <t>Augusta Housing Authority</t>
  </si>
  <si>
    <t>3+ Story</t>
  </si>
  <si>
    <t>PHA Oper Sub</t>
  </si>
  <si>
    <t>PA12-70</t>
  </si>
  <si>
    <t>Augusta Housing Authority - RHF Funds</t>
  </si>
  <si>
    <t>Aug Housing Auth - RHF Funds</t>
  </si>
  <si>
    <t>Agree</t>
  </si>
  <si>
    <t>Ground lease/Option</t>
  </si>
  <si>
    <t>Ordinance allows 1 unit per 2,500 sq ft, 107 units would require 267,500 sq ft or 6.14 acres.  Our site exceeds 6.14 acres and therefore conforms.  See 17-5(a) of the ordinance.</t>
  </si>
  <si>
    <t>3560 Lenox Road; Suite 2800</t>
  </si>
  <si>
    <t>Wendy R. Langlais</t>
  </si>
  <si>
    <t>Tax Principal</t>
  </si>
  <si>
    <t>wendy.langlais@reznickgroup.com</t>
  </si>
  <si>
    <t>Not applicable</t>
  </si>
  <si>
    <t>Georgia Power</t>
  </si>
  <si>
    <t>Augusta Utilities Department</t>
  </si>
  <si>
    <t>Room</t>
  </si>
  <si>
    <t>On-site laundry</t>
  </si>
  <si>
    <t>Covered Pavilion with Picnic/barbecue Facilities</t>
  </si>
  <si>
    <t>Documentation of local government requirements for greenspace</t>
  </si>
  <si>
    <t>Documentation of local government engagement and constribution</t>
  </si>
  <si>
    <t>Documentation of Transit Oriented Development</t>
  </si>
  <si>
    <t>Documentation of Sustainable Communities</t>
  </si>
  <si>
    <t>Documentation of designation as a high priority by the local government</t>
  </si>
  <si>
    <t>Documentation of meetings with local government officials</t>
  </si>
  <si>
    <t>Covered Porch</t>
  </si>
  <si>
    <t xml:space="preserve">Description of Proposed Project
Overview
Walton Oaks is a 30-acre mixed-use and master planned community developed and built by Walton Communities, LLC in association with the Augusta Housing Authority.  The community consists of multiple phases:
• Family Phases I, II &amp; III – 225 apartment  units (Affordable)
   o Walton Oaks Phase 2 will include 75 units
• Senior Phase – 75 age-restricted (55+) apartments (Affordable)
The attached site plan indicates all four phases – the Senior Phase and the Family Phases I, II and III.
The mission of the developer in the creation of Walton Oaks is to utilize the support of civic organizations, governmental authorities and residential neighbors in proving that this concept works when it is executed in such a way as to provide mixed income and mixed tenure housing with first-class amenities in an aesthetically superior combination of land planning, architectural elements and landscaping.  
Qualification for Preservation Set-Aside
As the project will be financed in part by RHF funds, this project qualifies for a preservation set-aside.  Documentation to this affect can be found in tab 2.
Description of Proposed Project
General Description
Walton Oaks Phase 2 will be developed, built and managed through the joint efforts of Walton Communities and the Augusta Housing Authority.  This development will consist of 106 one-, two- and three-bedroom units displaying exceptional interior appointments with the highest quality elevations.  The community will be developed and constructed with low-income tax credits allocated by the Georgia Department of Community Affairs.  As such, the units serve moderate-income families earning 60% or less of the area median income.  These income restrictions allow for maximum household incomes approximately ranging from $23,000 for a family of one to $38,000 for a family of six.  In order to reach these potential residents, marketing efforts will reach out to work-force employment centers such as retail and service industries, local government employees, teachers and seniors.  
Walton Oaks Phase 2 will offer a laundry facility, a community room set aside for resident use and a covered porch as well as a playground.  Programs will also be available for adults such as Moms &amp; Tots and the Single Parent Night Out.   Additional community amenities will include a pavilion with picnic tables and grills for residential use.
Floorplans at Walton Oaks Phase 2 will include spacious one, two and three-bedroom homes with a host of elegant interior features such as crown molding, 9-ft. ceilings, Whirlpool appliances with self-cleaning ovens, separate laundry rooms with pantry shelving and convenient raised vanities in the baths.  Each home will be pre-wired for home office technology with high-speed internet and fax capabilities.  Some plans will also feature built-in computer stations and garden tubs.
Description of Proposed Project
Programs and Services
Walton Communities, Inc. serves the residents of all its communities with a number of special programs and social services.  Our Resident Service Programs help create an enriching environment for the families and individuals who choose Walton Communities as the place to call home.  These opportunities include:
• Kids’ Club program for children from kindergarten through 5th grade
• Moms &amp; Tots program for mothers and small children
• Single Parents program offering trips, seminars, fun and fellowship
• Family Life Library and computer-equipped Media/Business Center
• Advanced Cardio Fitness Center
• State-of-the-art playground park
• Book-of-the-Month Club offering free books to residents
• Camp scholarships
• Individual &amp; family counseling.  Walton Communities pays for four visits per family.
• Cultural Enrichment Program offers local cultural opportunities to residents on a monthly basis.  Walton Communities reimburses residents 90% of the cost of these activities.  Recent venues have included Fernbank Science Center, Atlanta Botanical Gardens, the Center for Puppetry Arts and Zoo Atlanta.
• Partners in Education.  Walton Communities partners with many of the schools that serve our apartment communities.
Description of Proposed Project
Architectural and Landscaping
Architectural Design
The project will be designed in an architectural style consistent with historic downtown Augusta, utilizing features which are present in neighboring properties.  These include the use of brick and hardi exteriors, standing seam metal roof accents, and attractive decks and patios with enlarged columns.  
Construction materials will include hardi siding in a neutral palette, accented with brick and masonry.  Tilt-out insulated aluminum windows will provide an attractive exterior appearance as well as excellent energy efficiency.  All ground floor units will be handicap accessible and as such will be fitted with all appropriate handicap features as required by local and federal building codes.  Several apartment units will be handicap adaptable and some will have features specifically designed for those with audio &amp;/or visual impairments.  
Landscaping and Site Design
Walton Communities places great emphasis on landscaping to provide lush streetscapes, mature trees and shrubs, colorful seasonal annual and perennial beds and impressive community entrances.  UWH Redevelopment will continue this tradition by insuring that all planted areas contain landscape materials of high-quality and above-average size.  All trees will be a minimum caliper size of 2” in diameter and shrubs shall have a minimum height of 24”.  Ground covers shall be a minimum size of 1 gallon and placed a minimum of 18” on center.  
Areas of central focal point will include the amazingly preserved large caliper oaks on the site, sodded lawns, seasonal planting beds and attractive fencing.  High-end entry signage will be comparable to other Walton communities.
Description of Proposed Project
Target Market
The residents are offered the peace of mind that comes with living in a gated community, along with first-class amenities including fitness center, a state-of-the-art playground, and picnic areas conveniently positioned throughout the neighborhood.
Walton Oaks will serve a workforce market and as such, these residents will derive a great value from the kid’s clubs programs.  These activities are specially planned with different age groups in mind and will include educational and enrichment programs, field trips and mentoring opportunities.  
The community will also serve the adult residents by sponsoring programs such as Moms &amp; Tots and the Single Parents Night Out.  Family outings to local cultural activities will be encouraged through the reimbursement of 90% of the costs.  Additionally, other field trips and social functions are sponsored throughout the year.  Many of these residents will use these functions as their primary opportunity for social interaction.
Unit Mix for Family Apartments (Walton Oaks – Phase I, II &amp; III)
   Total Units 
   In All Phases
 Unit Mix # Phase 2 Units (Proposed) Unit Size
 1-BR/1-BA 24 56 800 sq. ft.
 2-BR/2-BA 66 106 1150 sq. ft.
 3-BR/2-BA 16 63 1350 sq. ft.
The following phase was completed October 27, 2011.
Unit Mix for Senior Apartments (UWH Redevelopment Senior)
    Projected Unit Mix   # Units             Unit Size     
1-BR/1-BA        45     ± 750 sq. ft.  
2-BR/2-BA                    30                ± 1100 sq. ft.  
Description of Proposed Project
DCA Required Amenities
Standard Site Amenities
1. Community Room
2. Covered Porch Located in a central area
3. On-site laundry with a minimum of 3 washers and 3 dryers
4. Washer / Dryer Hookups in each unit
5. Equipped Playground
6. Covered Pavilion with Picnic / Bar B Que Facilities
Unit Amenities
1. HVAC Systems
2. Energy Star Refrigerators
3. Built in Energy Star Dishwasher
4. Stoves
5. Powder-based stovetop fire suppression canisters installed above the range cook top, or electronically controlled solid cover plates over stove top burners
Description of Proposed Project
Additional Amenities
Additional Amenities Descriptions
• Furnished library
• Equipped Computer Center
• Fully-equipped kitchens featuring Whirlpool electric range, dishwasher, refrigerator with icemaker, and disposal
• Traditional oak cabinetry with generous counter space
• Breakfast bar
• Double bowl stainless steel kitchen sink with spray
• Spacious walk-in closets with double rods for maximum efficiency
• Roomy master bath with linen closet and dressing table
• Ceiling fans
• Six-panel doors and 9’ ceilings
• Cable outlets in living room and all bedrooms
• Energy-efficient double-pane windows
• Computer desk with pre-wiring for home office technology and high-speed internet and fax capabilities
</t>
  </si>
  <si>
    <t>ED of NonProfit Sponsor</t>
  </si>
  <si>
    <t>HUD &amp; DCA Cost Review as a result of GC / GP Identity of Interest</t>
  </si>
  <si>
    <t>Amortizing</t>
  </si>
  <si>
    <t>The site being acquired by Walton Oaks Family 2, L.P. is owned by the owner of the private drive ("AHA").  There is an easement in tab 10 which grants access to the other phases of this development and a letter committing AHA to extend this easement to Walton Oaks Family 2, L.P. for the purpose of site access.</t>
  </si>
  <si>
    <t>Qualified without Conditions</t>
  </si>
  <si>
    <t>Minority concentration</t>
  </si>
  <si>
    <t>Earth Craft Communities</t>
  </si>
  <si>
    <t>Statutory Redevelopment Plan</t>
  </si>
  <si>
    <t>QCT</t>
  </si>
  <si>
    <t>2010-037</t>
  </si>
  <si>
    <t>Underwood Homes Redevelopment I, L.P.</t>
  </si>
  <si>
    <t>Pass</t>
  </si>
  <si>
    <t>mstovall@waltoncommunities.com</t>
  </si>
  <si>
    <t>Jeffrey.Adams@AGG.com</t>
  </si>
  <si>
    <t>Real Property Research Group - Tad Scepaniak</t>
  </si>
  <si>
    <t>Enercon</t>
  </si>
  <si>
    <t>This site is the redevelopment of a public housing site and is utilizing some of the pre-existing infrastructure.  In addition, we are leveraging substantial local government resources to help implement the governments place based strategy.</t>
  </si>
  <si>
    <t>The land is being leased at a nominal value to the partnership, therefore there is no appraisal included.</t>
  </si>
  <si>
    <t>ACC Transition Reserve at 2 years worth of subsidy at 350/unit/month</t>
  </si>
  <si>
    <t>* To all applicants: please provide methodology for determining applicable construction hard costs.
X) Although an appraisal is not needed for the applictation, the bank still requires an appraisal even though this is a nominal land lease deal.
X) Water and Sewer tap fees are zero as this is a site which was previsouly developed.  No water or sewer tap fees should be due.
X) Insurance is based on a quote which can be found in Tab 8 of our application.
X) The ACC Transition reserve is required by SunTrust and other underwriters.  In the past we have always used 24 months of rent for the PHA units.  For this deal that would equal $350 per unit per month x 32 units x 24 months.</t>
  </si>
  <si>
    <t>9 to 10 months at 10 units per month</t>
  </si>
  <si>
    <t>6.5 Percent</t>
  </si>
  <si>
    <t>2009-031</t>
  </si>
  <si>
    <t>Underwood Homes Development Senior, L.P.</t>
  </si>
  <si>
    <t>The above listed properties (Section 4.E.) are both phases of Walton Oaks and have been met with strong demand as referenced in the market study.</t>
  </si>
  <si>
    <t>We elected to have a phase 2 performed to investigate the potential for lead in soils.  No lead was found in the soil sample that exceeded background samples.
In regard to the 8-step process, according to http://www.fema.gov/plan/ehp/regionviii/8steps.shtm, if no floodplain or wetlands are identified, you are done after the first step.</t>
  </si>
  <si>
    <t>Georgia Tracts 0109.02, 0107.06, 0105.11, 0104.00, 0015.00, 0009.00, 0006.00, South Carolina 0209.00</t>
  </si>
  <si>
    <t>*To all Applicants: Real estate taxes shown in Operating Budget should be prior to any tax abatement.  Please provide methodology for real estate tax calculation. 
**To all Applicants: Please provide methodology for insurance calculation.
X) Insurance is quoted at $200 per unit per year, which is the average insurance expense level of our portfolio.  The quote from JSL is included in Tab 8.
X) Taxes are exempt.  This is based on several factors including the Private Enterprise Agreement and the fact that the land will be owned by the housing authority.  A more detailed explanation is given in Tab 5.</t>
  </si>
  <si>
    <t>The is information in tab 19 regarding the Marion Homes subdivision.  The problem homes have been identified and money has been allocated to remove some of the homes.  The remediation will continue until after the project's placed in service date.  Therefore this point is deducted.</t>
  </si>
  <si>
    <t>Although we do not have an original section 8 contract, we have included, in tab 2, evidence to a contract that was reduced in the form of the demo / dispo approval from HUD.  This shows a reduction to Augusta Housing Authority's Annual Contribution Contract due to the demolition of Underwood Homes, which is the site being redeveloped as Walton Oaks.</t>
  </si>
  <si>
    <t>2012-019</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</si>
</sst>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3">
    <font>
      <sz val="10"/>
      <name val="Arial"/>
    </font>
    <font>
      <sz val="11"/>
      <color theme="1"/>
      <name val="Calibri"/>
      <family val="2"/>
      <scheme val="minor"/>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
      <b/>
      <sz val="11"/>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
      <patternFill patternType="solid">
        <fgColor theme="4" tint="0.79998168889431442"/>
        <bgColor indexed="65"/>
      </patternFill>
    </fill>
    <fill>
      <patternFill patternType="solid">
        <fgColor theme="4" tint="0.59999389629810485"/>
        <bgColor indexed="65"/>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71">
    <xf numFmtId="0" fontId="0" fillId="0" borderId="0"/>
    <xf numFmtId="43" fontId="2" fillId="0" borderId="0" applyFont="0" applyFill="0" applyBorder="0" applyAlignment="0" applyProtection="0"/>
    <xf numFmtId="44" fontId="2" fillId="0" borderId="0" applyFont="0" applyFill="0" applyBorder="0" applyAlignment="0" applyProtection="0"/>
    <xf numFmtId="38" fontId="3" fillId="2" borderId="0" applyNumberFormat="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5" fillId="0" borderId="0" applyNumberFormat="0" applyFill="0" applyBorder="0" applyAlignment="0" applyProtection="0">
      <alignment vertical="top"/>
      <protection locked="0"/>
    </xf>
    <xf numFmtId="10" fontId="3" fillId="3" borderId="3" applyNumberFormat="0" applyBorder="0" applyAlignment="0" applyProtection="0"/>
    <xf numFmtId="172" fontId="2" fillId="0" borderId="0"/>
    <xf numFmtId="0" fontId="33" fillId="0" borderId="0"/>
    <xf numFmtId="9" fontId="2" fillId="0" borderId="0" applyFont="0" applyFill="0" applyBorder="0" applyAlignment="0" applyProtection="0"/>
    <xf numFmtId="10" fontId="2" fillId="0" borderId="0" applyFont="0" applyFill="0" applyBorder="0" applyAlignment="0" applyProtection="0"/>
    <xf numFmtId="0" fontId="2" fillId="0" borderId="0"/>
    <xf numFmtId="0" fontId="1" fillId="17" borderId="0" applyNumberFormat="0" applyBorder="0" applyAlignment="0" applyProtection="0"/>
    <xf numFmtId="0" fontId="1" fillId="18"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 fillId="0" borderId="88">
      <alignment horizontal="left" vertical="center"/>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32" fillId="0" borderId="95" applyNumberFormat="0" applyFill="0" applyAlignment="0" applyProtection="0"/>
  </cellStyleXfs>
  <cellXfs count="1714">
    <xf numFmtId="0" fontId="0" fillId="0" borderId="0" xfId="0"/>
    <xf numFmtId="0" fontId="7" fillId="0" borderId="0" xfId="0" applyFont="1" applyFill="1" applyBorder="1" applyAlignment="1" applyProtection="1">
      <alignment horizontal="center" vertical="center"/>
    </xf>
    <xf numFmtId="0" fontId="11" fillId="0" borderId="0" xfId="0" applyFont="1" applyFill="1" applyAlignment="1" applyProtection="1">
      <alignment vertical="center"/>
    </xf>
    <xf numFmtId="0" fontId="7" fillId="0" borderId="0" xfId="0" applyFont="1" applyFill="1" applyAlignment="1" applyProtection="1">
      <alignment horizontal="center" vertical="center"/>
    </xf>
    <xf numFmtId="38" fontId="7" fillId="0" borderId="0" xfId="0" applyNumberFormat="1" applyFont="1" applyFill="1" applyBorder="1" applyAlignment="1" applyProtection="1">
      <alignment horizontal="center" vertical="center"/>
    </xf>
    <xf numFmtId="0" fontId="7"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Fill="1" applyProtection="1"/>
    <xf numFmtId="38" fontId="11" fillId="0" borderId="0" xfId="0" applyNumberFormat="1" applyFont="1" applyFill="1" applyAlignment="1" applyProtection="1">
      <alignment horizontal="center" vertical="center"/>
    </xf>
    <xf numFmtId="0" fontId="7"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20" fillId="0" borderId="0" xfId="0" applyFont="1" applyFill="1" applyAlignment="1" applyProtection="1">
      <alignment horizontal="right" vertical="center"/>
    </xf>
    <xf numFmtId="38" fontId="11" fillId="0" borderId="0" xfId="1" applyNumberFormat="1" applyFont="1" applyFill="1" applyBorder="1" applyAlignment="1" applyProtection="1">
      <alignment horizontal="right" vertical="center"/>
    </xf>
    <xf numFmtId="0" fontId="11" fillId="0" borderId="0" xfId="0" applyFont="1" applyFill="1" applyAlignment="1" applyProtection="1">
      <alignment horizontal="right" vertical="center"/>
    </xf>
    <xf numFmtId="0" fontId="7" fillId="0" borderId="0" xfId="0" applyFont="1" applyFill="1" applyProtection="1"/>
    <xf numFmtId="0" fontId="7" fillId="0" borderId="0" xfId="0" applyFont="1" applyFill="1" applyAlignment="1" applyProtection="1">
      <alignment horizontal="right" vertical="center"/>
    </xf>
    <xf numFmtId="164" fontId="7" fillId="0" borderId="0" xfId="1" applyNumberFormat="1" applyFont="1" applyFill="1" applyProtection="1"/>
    <xf numFmtId="0" fontId="11" fillId="0" borderId="0" xfId="0" applyFont="1" applyFill="1" applyBorder="1" applyProtection="1"/>
    <xf numFmtId="164" fontId="11" fillId="0" borderId="0" xfId="1" applyNumberFormat="1" applyFont="1" applyFill="1" applyProtection="1"/>
    <xf numFmtId="0" fontId="11" fillId="0" borderId="5" xfId="0" applyFont="1" applyFill="1" applyBorder="1" applyProtection="1"/>
    <xf numFmtId="164" fontId="11" fillId="0" borderId="6" xfId="1" applyNumberFormat="1" applyFont="1" applyFill="1" applyBorder="1" applyProtection="1"/>
    <xf numFmtId="164" fontId="11" fillId="0" borderId="7" xfId="1" applyNumberFormat="1" applyFont="1" applyFill="1" applyBorder="1" applyProtection="1"/>
    <xf numFmtId="0" fontId="11" fillId="0" borderId="8" xfId="0" applyFont="1" applyFill="1" applyBorder="1" applyProtection="1"/>
    <xf numFmtId="164" fontId="11" fillId="0" borderId="0" xfId="1" applyNumberFormat="1" applyFont="1" applyFill="1" applyBorder="1" applyProtection="1"/>
    <xf numFmtId="164" fontId="11" fillId="0" borderId="9" xfId="1" applyNumberFormat="1" applyFont="1" applyFill="1" applyBorder="1" applyProtection="1"/>
    <xf numFmtId="43" fontId="11" fillId="0" borderId="0" xfId="1" applyNumberFormat="1" applyFont="1" applyFill="1" applyBorder="1" applyProtection="1"/>
    <xf numFmtId="43" fontId="11" fillId="0" borderId="9" xfId="1" applyNumberFormat="1" applyFont="1" applyFill="1" applyBorder="1" applyProtection="1"/>
    <xf numFmtId="0" fontId="11" fillId="0" borderId="10" xfId="0" applyFont="1" applyFill="1" applyBorder="1" applyProtection="1"/>
    <xf numFmtId="0" fontId="29" fillId="0" borderId="0" xfId="0" applyFont="1" applyFill="1" applyBorder="1" applyAlignment="1" applyProtection="1">
      <alignment vertical="center"/>
    </xf>
    <xf numFmtId="0" fontId="0" fillId="0" borderId="0" xfId="0" applyProtection="1"/>
    <xf numFmtId="0" fontId="7" fillId="0" borderId="0" xfId="0" applyFont="1" applyFill="1" applyBorder="1" applyProtection="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0" xfId="0" applyFont="1" applyFill="1" applyAlignment="1" applyProtection="1"/>
    <xf numFmtId="0" fontId="7" fillId="0" borderId="0" xfId="0" quotePrefix="1" applyFont="1" applyFill="1" applyAlignment="1" applyProtection="1">
      <alignment horizontal="center" vertical="center"/>
    </xf>
    <xf numFmtId="0" fontId="11"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164" fontId="11" fillId="0" borderId="3" xfId="1" applyNumberFormat="1" applyFont="1" applyFill="1" applyBorder="1" applyProtection="1"/>
    <xf numFmtId="0" fontId="0" fillId="0" borderId="0" xfId="0" applyAlignment="1" applyProtection="1">
      <alignment vertical="center"/>
    </xf>
    <xf numFmtId="9" fontId="11" fillId="0" borderId="0" xfId="10" applyFont="1" applyFill="1" applyBorder="1" applyProtection="1"/>
    <xf numFmtId="44" fontId="11" fillId="0" borderId="0" xfId="0" applyNumberFormat="1" applyFont="1" applyFill="1" applyProtection="1"/>
    <xf numFmtId="0" fontId="21" fillId="0" borderId="0" xfId="0" applyFont="1" applyFill="1" applyProtection="1"/>
    <xf numFmtId="0" fontId="3" fillId="0" borderId="0" xfId="0" applyFont="1" applyFill="1" applyAlignment="1" applyProtection="1">
      <alignment vertical="center"/>
    </xf>
    <xf numFmtId="1" fontId="3" fillId="0" borderId="0" xfId="0" applyNumberFormat="1"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3" fillId="0" borderId="0" xfId="0" applyFont="1" applyFill="1" applyAlignment="1" applyProtection="1">
      <alignment horizontal="left" vertical="center"/>
    </xf>
    <xf numFmtId="0" fontId="17" fillId="0" borderId="0" xfId="0" applyFont="1" applyFill="1" applyProtection="1"/>
    <xf numFmtId="0" fontId="21" fillId="0" borderId="0" xfId="0" applyFont="1" applyFill="1" applyAlignment="1" applyProtection="1">
      <alignment vertical="center"/>
    </xf>
    <xf numFmtId="0" fontId="18" fillId="0" borderId="0" xfId="0" applyFont="1" applyFill="1" applyProtection="1"/>
    <xf numFmtId="0" fontId="8" fillId="0" borderId="0" xfId="0" applyFont="1" applyFill="1" applyAlignment="1" applyProtection="1">
      <alignment vertical="center"/>
    </xf>
    <xf numFmtId="0" fontId="25" fillId="0" borderId="0" xfId="0" applyFont="1" applyFill="1" applyAlignment="1" applyProtection="1">
      <alignment vertical="center"/>
    </xf>
    <xf numFmtId="0" fontId="21" fillId="0" borderId="0" xfId="0" applyFont="1" applyFill="1" applyAlignment="1" applyProtection="1">
      <alignment horizontal="center" vertical="center"/>
    </xf>
    <xf numFmtId="0" fontId="13" fillId="0" borderId="0" xfId="0" applyFont="1" applyFill="1" applyAlignment="1" applyProtection="1">
      <alignment horizontal="right" vertical="center"/>
    </xf>
    <xf numFmtId="0" fontId="19" fillId="0" borderId="0" xfId="0" applyFont="1" applyFill="1" applyAlignment="1" applyProtection="1">
      <alignment vertical="center"/>
    </xf>
    <xf numFmtId="0" fontId="16" fillId="0" borderId="0" xfId="0" applyFont="1" applyFill="1" applyAlignment="1" applyProtection="1">
      <alignment vertical="center"/>
    </xf>
    <xf numFmtId="0" fontId="21" fillId="0" borderId="0" xfId="0" applyFont="1" applyFill="1" applyBorder="1" applyAlignment="1" applyProtection="1">
      <alignment vertical="center"/>
    </xf>
    <xf numFmtId="0" fontId="24" fillId="0" borderId="0" xfId="0" applyFont="1" applyFill="1" applyAlignment="1" applyProtection="1">
      <alignment horizontal="right"/>
    </xf>
    <xf numFmtId="0" fontId="9" fillId="0" borderId="0"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3"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Border="1" applyProtection="1"/>
    <xf numFmtId="0" fontId="3" fillId="0" borderId="0" xfId="0" applyFont="1" applyFill="1" applyProtection="1"/>
    <xf numFmtId="38" fontId="7" fillId="4" borderId="3"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0" fillId="0" borderId="0" xfId="0" applyFont="1" applyFill="1" applyBorder="1" applyAlignment="1" applyProtection="1">
      <alignment horizontal="right"/>
    </xf>
    <xf numFmtId="0" fontId="6" fillId="0" borderId="0" xfId="0" applyFont="1" applyFill="1" applyBorder="1" applyAlignment="1" applyProtection="1">
      <alignment vertical="center"/>
    </xf>
    <xf numFmtId="0" fontId="3" fillId="0" borderId="0" xfId="0" applyFont="1" applyFill="1" applyBorder="1" applyAlignment="1" applyProtection="1"/>
    <xf numFmtId="0" fontId="25"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25" fillId="0" borderId="0" xfId="0" applyFont="1" applyFill="1" applyAlignment="1" applyProtection="1">
      <alignment horizontal="left" vertical="center"/>
    </xf>
    <xf numFmtId="0" fontId="11" fillId="0" borderId="0" xfId="0" applyFont="1" applyFill="1" applyAlignment="1" applyProtection="1">
      <alignment horizontal="center"/>
    </xf>
    <xf numFmtId="0" fontId="24" fillId="0" borderId="0" xfId="0" applyFont="1" applyFill="1" applyProtection="1"/>
    <xf numFmtId="0" fontId="13" fillId="0" borderId="0" xfId="0" applyFont="1" applyFill="1" applyBorder="1" applyAlignment="1" applyProtection="1">
      <alignment horizontal="right" vertical="center"/>
    </xf>
    <xf numFmtId="38" fontId="7" fillId="0" borderId="3" xfId="0" applyNumberFormat="1"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6" fillId="0" borderId="0" xfId="0" applyFont="1" applyFill="1" applyAlignment="1" applyProtection="1">
      <alignment horizontal="right" vertical="center"/>
    </xf>
    <xf numFmtId="0" fontId="16" fillId="0" borderId="0" xfId="0" applyFont="1" applyFill="1" applyBorder="1" applyAlignment="1" applyProtection="1">
      <alignment vertical="center"/>
    </xf>
    <xf numFmtId="0" fontId="10" fillId="0" borderId="0" xfId="0" applyFont="1" applyFill="1" applyBorder="1" applyProtection="1"/>
    <xf numFmtId="0" fontId="21" fillId="0" borderId="0" xfId="0" applyFont="1" applyFill="1" applyAlignment="1" applyProtection="1"/>
    <xf numFmtId="0" fontId="4" fillId="0" borderId="0" xfId="0" applyFont="1" applyFill="1" applyAlignment="1" applyProtection="1">
      <alignment horizontal="center" vertical="center"/>
    </xf>
    <xf numFmtId="0" fontId="12" fillId="0" borderId="0" xfId="0" applyFont="1" applyFill="1" applyAlignment="1" applyProtection="1"/>
    <xf numFmtId="0" fontId="7" fillId="4" borderId="3" xfId="0" applyFont="1" applyFill="1" applyBorder="1" applyAlignment="1" applyProtection="1">
      <alignment horizontal="center" vertical="center"/>
    </xf>
    <xf numFmtId="0" fontId="7" fillId="0" borderId="0" xfId="0" applyFont="1" applyFill="1" applyBorder="1" applyAlignment="1" applyProtection="1">
      <alignment horizontal="center" vertical="top" wrapText="1"/>
    </xf>
    <xf numFmtId="0" fontId="7" fillId="0" borderId="0" xfId="0" applyFont="1" applyAlignment="1" applyProtection="1">
      <alignment horizontal="center"/>
    </xf>
    <xf numFmtId="38" fontId="7" fillId="0" borderId="0" xfId="0" applyNumberFormat="1" applyFont="1" applyFill="1" applyAlignment="1" applyProtection="1">
      <alignment horizontal="center"/>
    </xf>
    <xf numFmtId="0" fontId="2" fillId="0" borderId="0" xfId="0" applyFont="1" applyFill="1" applyAlignment="1" applyProtection="1">
      <alignment horizontal="center" vertical="center"/>
    </xf>
    <xf numFmtId="0" fontId="32" fillId="0" borderId="0" xfId="0" applyFont="1" applyFill="1" applyAlignment="1" applyProtection="1">
      <alignment horizontal="center" vertical="center"/>
    </xf>
    <xf numFmtId="0" fontId="11" fillId="0" borderId="0" xfId="0" applyFont="1" applyFill="1" applyBorder="1" applyAlignment="1" applyProtection="1">
      <alignment horizontal="center" vertical="top" wrapText="1"/>
    </xf>
    <xf numFmtId="0" fontId="21" fillId="0" borderId="0" xfId="0" applyFont="1" applyAlignment="1" applyProtection="1">
      <alignment horizontal="center"/>
    </xf>
    <xf numFmtId="0" fontId="7" fillId="0" borderId="3" xfId="0" applyFont="1" applyFill="1" applyBorder="1" applyAlignment="1" applyProtection="1">
      <alignment horizontal="center" vertical="center"/>
    </xf>
    <xf numFmtId="0" fontId="11" fillId="0" borderId="6" xfId="0" applyFont="1" applyFill="1" applyBorder="1" applyAlignment="1" applyProtection="1">
      <alignment vertical="center"/>
    </xf>
    <xf numFmtId="0" fontId="10" fillId="0" borderId="11"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top"/>
    </xf>
    <xf numFmtId="0" fontId="12" fillId="0" borderId="0" xfId="0" applyFont="1" applyFill="1" applyAlignment="1" applyProtection="1">
      <alignment vertical="top"/>
    </xf>
    <xf numFmtId="0" fontId="12" fillId="0" borderId="0" xfId="0" applyFont="1" applyFill="1" applyBorder="1" applyAlignment="1" applyProtection="1">
      <alignment vertical="top"/>
    </xf>
    <xf numFmtId="0" fontId="9" fillId="0" borderId="13" xfId="0" applyFont="1" applyFill="1" applyBorder="1" applyAlignment="1" applyProtection="1">
      <alignment horizontal="center" vertical="top"/>
    </xf>
    <xf numFmtId="10" fontId="11" fillId="0" borderId="0" xfId="0" applyNumberFormat="1" applyFont="1" applyFill="1" applyBorder="1" applyAlignment="1" applyProtection="1">
      <alignment horizontal="left"/>
    </xf>
    <xf numFmtId="0" fontId="11" fillId="0" borderId="0" xfId="0" applyFont="1" applyAlignment="1" applyProtection="1">
      <alignment vertical="center"/>
    </xf>
    <xf numFmtId="0" fontId="11" fillId="0" borderId="0" xfId="0" applyFont="1" applyBorder="1" applyAlignment="1" applyProtection="1">
      <alignment vertical="center"/>
    </xf>
    <xf numFmtId="0" fontId="0" fillId="0" borderId="0" xfId="0" applyAlignment="1" applyProtection="1">
      <alignment horizontal="center"/>
    </xf>
    <xf numFmtId="0" fontId="11" fillId="0" borderId="0" xfId="0" applyFont="1" applyFill="1" applyAlignment="1" applyProtection="1">
      <alignment horizontal="right"/>
    </xf>
    <xf numFmtId="0" fontId="28" fillId="0" borderId="0" xfId="0" applyFont="1" applyFill="1" applyProtection="1"/>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xf>
    <xf numFmtId="0" fontId="7" fillId="0" borderId="9" xfId="0" applyFont="1" applyFill="1" applyBorder="1" applyAlignment="1" applyProtection="1">
      <alignment vertical="center"/>
    </xf>
    <xf numFmtId="0" fontId="16" fillId="0" borderId="14" xfId="0" applyFont="1" applyFill="1" applyBorder="1" applyAlignment="1" applyProtection="1">
      <alignment vertical="top"/>
    </xf>
    <xf numFmtId="0" fontId="13" fillId="0" borderId="0" xfId="0" applyFont="1" applyFill="1" applyAlignment="1" applyProtection="1">
      <alignment vertical="center"/>
    </xf>
    <xf numFmtId="0" fontId="13" fillId="0" borderId="0" xfId="0" applyFont="1" applyFill="1" applyBorder="1" applyAlignment="1" applyProtection="1"/>
    <xf numFmtId="0" fontId="13" fillId="0" borderId="0" xfId="0" applyFont="1" applyFill="1" applyAlignment="1" applyProtection="1"/>
    <xf numFmtId="0" fontId="12" fillId="0" borderId="0" xfId="0" applyFont="1" applyFill="1" applyProtection="1"/>
    <xf numFmtId="0" fontId="28" fillId="0" borderId="0" xfId="0" applyFont="1" applyFill="1" applyAlignment="1" applyProtection="1">
      <alignment vertical="center"/>
    </xf>
    <xf numFmtId="0" fontId="28" fillId="0" borderId="0" xfId="0" applyFont="1" applyProtection="1"/>
    <xf numFmtId="0" fontId="7" fillId="0" borderId="0" xfId="0" applyFont="1" applyFill="1" applyAlignment="1" applyProtection="1">
      <alignment horizontal="center" wrapText="1"/>
    </xf>
    <xf numFmtId="0" fontId="6" fillId="0" borderId="0" xfId="0" quotePrefix="1" applyFont="1" applyFill="1" applyAlignment="1" applyProtection="1">
      <alignment horizontal="right" vertical="center"/>
    </xf>
    <xf numFmtId="0" fontId="18"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2" fillId="0" borderId="0" xfId="0" applyFont="1" applyFill="1" applyAlignment="1" applyProtection="1">
      <alignment vertical="center"/>
    </xf>
    <xf numFmtId="0" fontId="16" fillId="0" borderId="0" xfId="0" applyFont="1" applyFill="1" applyBorder="1" applyAlignment="1" applyProtection="1">
      <alignment horizontal="left" vertical="center"/>
    </xf>
    <xf numFmtId="0" fontId="11" fillId="0" borderId="0" xfId="0" applyFont="1" applyFill="1" applyAlignment="1" applyProtection="1">
      <alignment horizontal="left"/>
    </xf>
    <xf numFmtId="0" fontId="16" fillId="0" borderId="14" xfId="0" applyFont="1" applyFill="1" applyBorder="1" applyAlignment="1" applyProtection="1">
      <alignment vertical="center"/>
    </xf>
    <xf numFmtId="0" fontId="21" fillId="0" borderId="14" xfId="0" applyFont="1" applyFill="1" applyBorder="1" applyAlignment="1" applyProtection="1">
      <alignment vertical="center"/>
    </xf>
    <xf numFmtId="0" fontId="3" fillId="0" borderId="14" xfId="0" applyFont="1" applyFill="1" applyBorder="1" applyAlignment="1" applyProtection="1">
      <alignment horizontal="left" vertical="top" wrapText="1"/>
    </xf>
    <xf numFmtId="0" fontId="6" fillId="0" borderId="0" xfId="0" applyFont="1" applyProtection="1"/>
    <xf numFmtId="10" fontId="11" fillId="0" borderId="0" xfId="0" applyNumberFormat="1" applyFont="1" applyFill="1" applyAlignment="1" applyProtection="1">
      <alignment horizontal="center"/>
    </xf>
    <xf numFmtId="0" fontId="18" fillId="0" borderId="0" xfId="0" applyFont="1" applyFill="1" applyAlignment="1" applyProtection="1">
      <alignment vertical="center"/>
    </xf>
    <xf numFmtId="0" fontId="40" fillId="0" borderId="0" xfId="0" applyFont="1"/>
    <xf numFmtId="0" fontId="12" fillId="0" borderId="0" xfId="0" applyFont="1" applyFill="1" applyBorder="1" applyAlignment="1" applyProtection="1">
      <alignment vertical="center"/>
    </xf>
    <xf numFmtId="0" fontId="43" fillId="0" borderId="0" xfId="0" applyFont="1"/>
    <xf numFmtId="0" fontId="44" fillId="0" borderId="0" xfId="0" applyFont="1"/>
    <xf numFmtId="0" fontId="44" fillId="0" borderId="0" xfId="0" applyFont="1" applyAlignment="1">
      <alignment horizontal="left"/>
    </xf>
    <xf numFmtId="0" fontId="44" fillId="0" borderId="0" xfId="0" applyFont="1" applyAlignment="1">
      <alignment vertical="top"/>
    </xf>
    <xf numFmtId="0" fontId="45" fillId="0" borderId="0" xfId="0" applyFont="1" applyAlignment="1">
      <alignment vertical="top"/>
    </xf>
    <xf numFmtId="0" fontId="44" fillId="0" borderId="0" xfId="0" applyFont="1" applyAlignment="1"/>
    <xf numFmtId="0" fontId="0" fillId="0" borderId="0" xfId="0" applyAlignment="1" applyProtection="1">
      <alignment vertical="top" wrapText="1"/>
    </xf>
    <xf numFmtId="0" fontId="20" fillId="0" borderId="0" xfId="0" applyFont="1" applyFill="1" applyAlignment="1" applyProtection="1">
      <alignment vertical="center"/>
    </xf>
    <xf numFmtId="0" fontId="20" fillId="0" borderId="0" xfId="0" applyFont="1" applyFill="1" applyBorder="1" applyAlignment="1" applyProtection="1">
      <alignment vertical="center"/>
    </xf>
    <xf numFmtId="0" fontId="31" fillId="0" borderId="0" xfId="0" applyFont="1" applyFill="1" applyAlignment="1" applyProtection="1">
      <alignment horizontal="center" vertical="center"/>
    </xf>
    <xf numFmtId="0" fontId="12" fillId="0" borderId="0" xfId="0" applyFont="1" applyFill="1" applyAlignment="1" applyProtection="1">
      <alignment horizontal="left" indent="2"/>
    </xf>
    <xf numFmtId="0" fontId="27" fillId="0" borderId="0" xfId="0" applyFont="1" applyFill="1" applyAlignment="1" applyProtection="1">
      <alignment horizontal="center" vertical="center"/>
    </xf>
    <xf numFmtId="0" fontId="12" fillId="0" borderId="0" xfId="0" applyFont="1" applyFill="1" applyAlignment="1" applyProtection="1">
      <alignment vertical="center"/>
    </xf>
    <xf numFmtId="0" fontId="18" fillId="0" borderId="0" xfId="0" applyFont="1" applyFill="1" applyAlignment="1" applyProtection="1">
      <alignment horizontal="center"/>
    </xf>
    <xf numFmtId="0" fontId="50" fillId="0" borderId="0" xfId="0" applyFont="1" applyFill="1" applyProtection="1"/>
    <xf numFmtId="0" fontId="20" fillId="0" borderId="0" xfId="0" applyFont="1" applyFill="1" applyBorder="1" applyAlignment="1" applyProtection="1"/>
    <xf numFmtId="0" fontId="20" fillId="0" borderId="0" xfId="0" applyFont="1" applyFill="1" applyAlignment="1" applyProtection="1"/>
    <xf numFmtId="0" fontId="13" fillId="0" borderId="0" xfId="0" applyFont="1" applyFill="1" applyAlignment="1" applyProtection="1">
      <alignment horizontal="left" vertical="center"/>
    </xf>
    <xf numFmtId="0" fontId="13" fillId="0" borderId="0" xfId="0" applyFont="1" applyFill="1" applyBorder="1" applyAlignment="1" applyProtection="1">
      <alignment horizontal="left"/>
    </xf>
    <xf numFmtId="0" fontId="21" fillId="0" borderId="0" xfId="0" applyFont="1" applyProtection="1"/>
    <xf numFmtId="0" fontId="21" fillId="0" borderId="0" xfId="0" applyFont="1" applyAlignment="1" applyProtection="1">
      <alignment horizontal="center" vertical="center"/>
    </xf>
    <xf numFmtId="0" fontId="6" fillId="0" borderId="0" xfId="0" applyFont="1" applyAlignment="1" applyProtection="1">
      <alignment horizontal="left" vertical="center"/>
    </xf>
    <xf numFmtId="0" fontId="17" fillId="0" borderId="0" xfId="0" applyFont="1" applyFill="1" applyBorder="1" applyProtection="1"/>
    <xf numFmtId="0" fontId="0" fillId="0" borderId="0" xfId="0" applyBorder="1" applyProtection="1"/>
    <xf numFmtId="0" fontId="6" fillId="0" borderId="0" xfId="0" applyFont="1" applyAlignment="1" applyProtection="1">
      <alignment vertical="center"/>
    </xf>
    <xf numFmtId="0" fontId="6" fillId="0" borderId="0" xfId="0" applyFont="1" applyAlignment="1" applyProtection="1">
      <alignment horizontal="center"/>
    </xf>
    <xf numFmtId="164" fontId="11" fillId="0" borderId="6" xfId="1" applyNumberFormat="1" applyFont="1" applyFill="1" applyBorder="1" applyAlignment="1" applyProtection="1">
      <alignment vertical="center"/>
    </xf>
    <xf numFmtId="164" fontId="11" fillId="0" borderId="0" xfId="1" applyNumberFormat="1" applyFont="1" applyFill="1" applyBorder="1" applyAlignment="1" applyProtection="1">
      <alignment vertical="center"/>
    </xf>
    <xf numFmtId="0" fontId="26" fillId="0" borderId="0" xfId="0" applyFont="1" applyFill="1" applyAlignment="1" applyProtection="1">
      <alignment horizontal="right"/>
    </xf>
    <xf numFmtId="0" fontId="2" fillId="0" borderId="0" xfId="0" applyFont="1" applyAlignment="1" applyProtection="1">
      <alignment horizontal="center"/>
    </xf>
    <xf numFmtId="0" fontId="34" fillId="0" borderId="0" xfId="0" applyFont="1" applyProtection="1"/>
    <xf numFmtId="0" fontId="27" fillId="0" borderId="0" xfId="0" applyFont="1" applyFill="1" applyAlignment="1" applyProtection="1">
      <alignment vertical="center"/>
    </xf>
    <xf numFmtId="0" fontId="20" fillId="0" borderId="0" xfId="0" applyFont="1" applyFill="1" applyBorder="1" applyAlignment="1" applyProtection="1">
      <alignment horizontal="right" vertical="center"/>
    </xf>
    <xf numFmtId="164" fontId="12" fillId="0" borderId="3" xfId="1" applyNumberFormat="1" applyFont="1" applyFill="1" applyBorder="1" applyAlignment="1" applyProtection="1">
      <alignment horizontal="center" vertical="center"/>
    </xf>
    <xf numFmtId="164" fontId="12" fillId="0" borderId="13" xfId="1" applyNumberFormat="1" applyFont="1" applyFill="1" applyBorder="1" applyAlignment="1" applyProtection="1">
      <alignment horizontal="center" vertical="center"/>
    </xf>
    <xf numFmtId="164" fontId="12" fillId="0" borderId="15" xfId="1" applyNumberFormat="1" applyFont="1" applyFill="1" applyBorder="1" applyAlignment="1" applyProtection="1">
      <alignment horizontal="center" vertical="center"/>
    </xf>
    <xf numFmtId="0" fontId="30" fillId="0" borderId="0" xfId="0" applyFont="1" applyFill="1" applyProtection="1"/>
    <xf numFmtId="0" fontId="4" fillId="0" borderId="0" xfId="0" applyFont="1" applyFill="1" applyProtection="1"/>
    <xf numFmtId="0" fontId="29" fillId="0" borderId="0" xfId="0" applyFont="1" applyFill="1" applyBorder="1" applyAlignment="1" applyProtection="1">
      <alignment horizontal="left" vertical="top"/>
    </xf>
    <xf numFmtId="0" fontId="21" fillId="0" borderId="0" xfId="0" applyFont="1" applyFill="1" applyBorder="1" applyProtection="1"/>
    <xf numFmtId="0" fontId="7" fillId="0" borderId="0" xfId="0" applyFont="1" applyFill="1" applyAlignment="1" applyProtection="1">
      <alignment horizontal="left" vertical="top"/>
    </xf>
    <xf numFmtId="0" fontId="7" fillId="0" borderId="0" xfId="0" applyFont="1" applyFill="1" applyAlignment="1" applyProtection="1">
      <alignment vertical="top"/>
    </xf>
    <xf numFmtId="0" fontId="13" fillId="0" borderId="0" xfId="0" applyFont="1" applyFill="1" applyAlignment="1" applyProtection="1">
      <alignment vertical="top"/>
    </xf>
    <xf numFmtId="0" fontId="3" fillId="0" borderId="0" xfId="0" applyFont="1" applyFill="1" applyAlignment="1" applyProtection="1">
      <alignment horizontal="center" vertical="center"/>
    </xf>
    <xf numFmtId="0" fontId="13" fillId="0" borderId="0" xfId="0" applyFont="1" applyFill="1" applyBorder="1" applyAlignment="1" applyProtection="1">
      <alignment horizontal="right" vertical="top" wrapText="1"/>
    </xf>
    <xf numFmtId="0" fontId="21" fillId="0" borderId="0" xfId="0" applyFont="1" applyFill="1" applyAlignment="1" applyProtection="1">
      <alignment vertical="top"/>
    </xf>
    <xf numFmtId="0" fontId="3" fillId="0" borderId="0" xfId="0" applyFont="1" applyFill="1" applyBorder="1" applyAlignment="1" applyProtection="1">
      <alignment vertical="center" wrapText="1"/>
    </xf>
    <xf numFmtId="0" fontId="3" fillId="0" borderId="0" xfId="0" applyFont="1" applyAlignment="1" applyProtection="1">
      <alignment vertical="center"/>
    </xf>
    <xf numFmtId="0" fontId="0" fillId="0" borderId="0" xfId="0" applyBorder="1" applyAlignment="1" applyProtection="1"/>
    <xf numFmtId="0" fontId="36" fillId="0" borderId="0" xfId="0" applyFont="1" applyFill="1" applyAlignment="1" applyProtection="1">
      <alignment vertical="center"/>
    </xf>
    <xf numFmtId="0" fontId="16" fillId="0" borderId="0" xfId="0" applyFont="1" applyFill="1" applyBorder="1" applyAlignment="1" applyProtection="1">
      <alignment vertical="top"/>
    </xf>
    <xf numFmtId="0" fontId="16" fillId="0" borderId="0" xfId="0" applyFont="1" applyFill="1" applyBorder="1" applyAlignment="1" applyProtection="1">
      <alignment vertical="top" wrapText="1"/>
    </xf>
    <xf numFmtId="0" fontId="9" fillId="0" borderId="0" xfId="0" applyFont="1" applyFill="1" applyAlignment="1" applyProtection="1">
      <alignment horizontal="right" vertical="center"/>
    </xf>
    <xf numFmtId="0" fontId="3" fillId="0" borderId="0" xfId="0" applyFont="1" applyFill="1" applyBorder="1" applyAlignment="1" applyProtection="1">
      <alignment vertical="top"/>
    </xf>
    <xf numFmtId="0" fontId="16" fillId="0" borderId="14" xfId="0" applyFont="1" applyFill="1" applyBorder="1" applyAlignment="1" applyProtection="1">
      <alignment horizontal="left" vertical="center"/>
    </xf>
    <xf numFmtId="0" fontId="13" fillId="0" borderId="0" xfId="0" applyFont="1" applyFill="1" applyAlignment="1" applyProtection="1">
      <alignment horizontal="right" vertical="top"/>
    </xf>
    <xf numFmtId="0" fontId="6" fillId="0" borderId="0" xfId="0" applyFont="1" applyFill="1" applyAlignment="1" applyProtection="1">
      <alignment vertical="top" wrapText="1"/>
    </xf>
    <xf numFmtId="0" fontId="9" fillId="0" borderId="0" xfId="0" applyFont="1" applyFill="1" applyAlignment="1" applyProtection="1">
      <alignment horizontal="right" vertical="top"/>
    </xf>
    <xf numFmtId="0" fontId="6" fillId="0" borderId="0" xfId="0" applyFont="1" applyFill="1" applyProtection="1"/>
    <xf numFmtId="0" fontId="6" fillId="0" borderId="0" xfId="0" applyFont="1" applyFill="1" applyAlignment="1" applyProtection="1">
      <alignment horizontal="left" vertical="center"/>
    </xf>
    <xf numFmtId="0" fontId="3"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wrapText="1"/>
    </xf>
    <xf numFmtId="0" fontId="2" fillId="0" borderId="0" xfId="0" applyFont="1" applyFill="1" applyProtection="1"/>
    <xf numFmtId="0" fontId="7" fillId="0" borderId="0" xfId="0" applyFont="1" applyFill="1" applyBorder="1" applyAlignment="1" applyProtection="1">
      <alignment horizontal="left" vertical="top" wrapText="1"/>
    </xf>
    <xf numFmtId="0" fontId="6"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1" fillId="0" borderId="3" xfId="0" applyNumberFormat="1" applyFont="1" applyFill="1" applyBorder="1" applyAlignment="1" applyProtection="1">
      <alignment horizontal="center" vertical="center"/>
    </xf>
    <xf numFmtId="0" fontId="7" fillId="0" borderId="0" xfId="0" applyFont="1" applyAlignment="1" applyProtection="1">
      <alignment horizontal="center" vertical="center"/>
    </xf>
    <xf numFmtId="0" fontId="28" fillId="0" borderId="0" xfId="0" applyFont="1" applyFill="1" applyBorder="1" applyProtection="1"/>
    <xf numFmtId="0" fontId="51" fillId="0" borderId="0" xfId="0" applyFont="1" applyFill="1" applyBorder="1" applyProtection="1"/>
    <xf numFmtId="0" fontId="34" fillId="0" borderId="0" xfId="0" applyFont="1" applyFill="1" applyProtection="1"/>
    <xf numFmtId="0" fontId="20" fillId="0" borderId="0" xfId="0" quotePrefix="1" applyFont="1" applyFill="1" applyAlignment="1" applyProtection="1">
      <alignment vertical="center"/>
    </xf>
    <xf numFmtId="0" fontId="20" fillId="0" borderId="0" xfId="0" quotePrefix="1" applyFont="1" applyFill="1" applyBorder="1" applyAlignment="1" applyProtection="1">
      <alignment horizontal="left" vertical="center"/>
    </xf>
    <xf numFmtId="0" fontId="26" fillId="0" borderId="0" xfId="0" applyFont="1" applyFill="1" applyAlignment="1" applyProtection="1">
      <alignment vertical="center"/>
    </xf>
    <xf numFmtId="0" fontId="45" fillId="0" borderId="0" xfId="0" applyFont="1" applyFill="1" applyAlignment="1" applyProtection="1">
      <alignment vertical="center"/>
    </xf>
    <xf numFmtId="38" fontId="45" fillId="0" borderId="0" xfId="0" applyNumberFormat="1" applyFont="1" applyFill="1" applyAlignment="1" applyProtection="1">
      <alignment horizontal="center" vertical="center"/>
    </xf>
    <xf numFmtId="38" fontId="26" fillId="0" borderId="16" xfId="0" applyNumberFormat="1" applyFont="1" applyFill="1" applyBorder="1" applyAlignment="1" applyProtection="1">
      <alignment horizontal="center" vertical="center"/>
    </xf>
    <xf numFmtId="0" fontId="37" fillId="0" borderId="0" xfId="0" applyFont="1" applyFill="1" applyAlignment="1" applyProtection="1">
      <alignment vertical="center" wrapText="1"/>
    </xf>
    <xf numFmtId="0" fontId="2" fillId="0" borderId="0" xfId="0" applyFont="1" applyProtection="1"/>
    <xf numFmtId="0" fontId="0" fillId="0" borderId="0" xfId="0" applyAlignment="1" applyProtection="1">
      <alignment wrapText="1"/>
    </xf>
    <xf numFmtId="0" fontId="9" fillId="0" borderId="0" xfId="0" applyFont="1" applyFill="1" applyAlignment="1" applyProtection="1">
      <alignment horizontal="center" vertical="center" wrapText="1"/>
    </xf>
    <xf numFmtId="0" fontId="3" fillId="0" borderId="0" xfId="0" applyFont="1" applyFill="1" applyAlignment="1" applyProtection="1">
      <alignment horizontal="right" vertical="top"/>
    </xf>
    <xf numFmtId="164" fontId="11" fillId="0" borderId="3" xfId="1" applyNumberFormat="1" applyFont="1" applyFill="1" applyBorder="1" applyAlignment="1" applyProtection="1">
      <alignment vertical="center"/>
    </xf>
    <xf numFmtId="164" fontId="11" fillId="0" borderId="17" xfId="1" applyNumberFormat="1" applyFont="1" applyFill="1" applyBorder="1" applyAlignment="1" applyProtection="1">
      <alignment vertical="center"/>
    </xf>
    <xf numFmtId="164" fontId="12" fillId="0" borderId="0"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vertical="center"/>
    </xf>
    <xf numFmtId="164" fontId="12" fillId="0" borderId="17" xfId="1" applyNumberFormat="1" applyFont="1" applyFill="1" applyBorder="1" applyAlignment="1" applyProtection="1">
      <alignment horizontal="center" vertical="center"/>
    </xf>
    <xf numFmtId="164" fontId="12" fillId="0" borderId="18" xfId="1" applyNumberFormat="1" applyFont="1" applyFill="1" applyBorder="1" applyAlignment="1" applyProtection="1">
      <alignment horizontal="center" vertical="center"/>
    </xf>
    <xf numFmtId="164" fontId="12" fillId="0" borderId="19" xfId="1" applyNumberFormat="1"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vertical="center"/>
    </xf>
    <xf numFmtId="0" fontId="11" fillId="0" borderId="0" xfId="0" quotePrefix="1" applyFont="1" applyAlignment="1" applyProtection="1">
      <alignment horizontal="left" vertical="center"/>
    </xf>
    <xf numFmtId="0" fontId="6" fillId="0" borderId="0" xfId="0" applyFont="1" applyAlignment="1" applyProtection="1">
      <alignment horizontal="right"/>
    </xf>
    <xf numFmtId="0" fontId="13" fillId="4" borderId="3" xfId="0" applyFont="1" applyFill="1" applyBorder="1" applyAlignment="1" applyProtection="1">
      <alignment horizontal="center" vertical="center"/>
    </xf>
    <xf numFmtId="0" fontId="6" fillId="0" borderId="0" xfId="0" applyFont="1" applyBorder="1" applyProtection="1"/>
    <xf numFmtId="0" fontId="11" fillId="0" borderId="0" xfId="0" applyFont="1" applyProtection="1"/>
    <xf numFmtId="0" fontId="12" fillId="0" borderId="0" xfId="0" applyFont="1" applyFill="1" applyAlignment="1" applyProtection="1">
      <alignment horizontal="center" vertical="center"/>
    </xf>
    <xf numFmtId="0" fontId="9" fillId="0" borderId="0" xfId="0" applyFont="1" applyFill="1" applyAlignment="1" applyProtection="1">
      <alignment vertical="center"/>
    </xf>
    <xf numFmtId="0" fontId="54" fillId="0" borderId="0" xfId="0" applyFont="1" applyAlignment="1" applyProtection="1"/>
    <xf numFmtId="0" fontId="56" fillId="0" borderId="0" xfId="0" applyFont="1" applyFill="1" applyBorder="1" applyAlignment="1" applyProtection="1">
      <alignment horizontal="center"/>
    </xf>
    <xf numFmtId="0" fontId="58" fillId="0" borderId="0" xfId="0" applyFont="1" applyAlignment="1" applyProtection="1">
      <alignment vertical="center"/>
    </xf>
    <xf numFmtId="0" fontId="59" fillId="0" borderId="0" xfId="0" applyFont="1" applyFill="1" applyBorder="1" applyAlignment="1" applyProtection="1">
      <alignment horizontal="center" vertical="center"/>
    </xf>
    <xf numFmtId="0" fontId="55" fillId="0" borderId="0" xfId="0" applyFont="1" applyAlignment="1" applyProtection="1">
      <alignment vertical="center"/>
    </xf>
    <xf numFmtId="0" fontId="60" fillId="0" borderId="0" xfId="0" applyFont="1" applyAlignment="1" applyProtection="1">
      <alignment horizontal="center" vertical="center"/>
    </xf>
    <xf numFmtId="164" fontId="55" fillId="0" borderId="3" xfId="1" applyNumberFormat="1" applyFont="1" applyFill="1" applyBorder="1" applyAlignment="1" applyProtection="1">
      <alignment horizontal="center" vertical="center"/>
    </xf>
    <xf numFmtId="0" fontId="55" fillId="0" borderId="0" xfId="0" applyFont="1" applyFill="1" applyAlignment="1" applyProtection="1">
      <alignment vertical="center"/>
    </xf>
    <xf numFmtId="0" fontId="7" fillId="0" borderId="11" xfId="0" applyFont="1" applyFill="1" applyBorder="1" applyAlignment="1" applyProtection="1">
      <alignment horizontal="center"/>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wrapText="1"/>
    </xf>
    <xf numFmtId="0" fontId="65" fillId="0" borderId="0" xfId="0" applyFont="1" applyProtection="1"/>
    <xf numFmtId="0" fontId="65" fillId="0" borderId="0" xfId="0" applyFont="1" applyAlignment="1" applyProtection="1">
      <alignment horizontal="center"/>
    </xf>
    <xf numFmtId="0" fontId="3" fillId="0" borderId="0" xfId="0" quotePrefix="1" applyFont="1" applyFill="1" applyAlignment="1" applyProtection="1">
      <alignment horizontal="right" vertical="center"/>
    </xf>
    <xf numFmtId="0" fontId="2" fillId="0" borderId="0" xfId="0" applyFont="1" applyFill="1" applyAlignment="1" applyProtection="1">
      <alignment horizontal="right" vertical="center"/>
    </xf>
    <xf numFmtId="0" fontId="0" fillId="0" borderId="0" xfId="0" applyAlignment="1" applyProtection="1">
      <alignment horizontal="right"/>
    </xf>
    <xf numFmtId="0" fontId="6" fillId="0" borderId="0" xfId="0" applyFont="1" applyAlignment="1" applyProtection="1"/>
    <xf numFmtId="0" fontId="9" fillId="0" borderId="0" xfId="0" applyFont="1" applyAlignment="1" applyProtection="1">
      <alignment vertical="center"/>
    </xf>
    <xf numFmtId="0" fontId="9" fillId="0" borderId="0" xfId="0" applyFont="1" applyFill="1" applyBorder="1" applyAlignment="1" applyProtection="1">
      <alignment horizontal="right" vertical="center"/>
    </xf>
    <xf numFmtId="0" fontId="9" fillId="0" borderId="0" xfId="0" applyFont="1" applyFill="1" applyAlignment="1" applyProtection="1">
      <alignment horizontal="left" vertical="center"/>
    </xf>
    <xf numFmtId="0" fontId="7" fillId="0" borderId="0" xfId="0" applyFont="1" applyFill="1" applyBorder="1" applyAlignment="1" applyProtection="1">
      <alignment horizontal="center" vertical="center" wrapText="1"/>
    </xf>
    <xf numFmtId="0" fontId="3" fillId="0" borderId="14"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xf>
    <xf numFmtId="0" fontId="0" fillId="0" borderId="0" xfId="0" applyFill="1" applyProtection="1"/>
    <xf numFmtId="177" fontId="11" fillId="0" borderId="0" xfId="0" applyNumberFormat="1" applyFont="1" applyAlignment="1" applyProtection="1">
      <alignment horizontal="center"/>
    </xf>
    <xf numFmtId="0" fontId="0" fillId="0" borderId="20" xfId="0" applyBorder="1" applyAlignment="1" applyProtection="1">
      <alignment horizontal="center"/>
    </xf>
    <xf numFmtId="177" fontId="11"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1" fillId="0" borderId="0" xfId="0" applyNumberFormat="1" applyFont="1" applyBorder="1" applyAlignment="1" applyProtection="1">
      <alignment horizontal="center"/>
    </xf>
    <xf numFmtId="8" fontId="11"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1"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4" fillId="0" borderId="0" xfId="0" applyFont="1" applyFill="1" applyAlignment="1" applyProtection="1">
      <alignment horizontal="center"/>
    </xf>
    <xf numFmtId="0" fontId="66" fillId="0" borderId="0" xfId="0" applyFont="1" applyAlignment="1" applyProtection="1">
      <alignment horizontal="center"/>
    </xf>
    <xf numFmtId="0" fontId="66"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7" fillId="0" borderId="0" xfId="0" applyFont="1" applyBorder="1" applyAlignment="1" applyProtection="1">
      <alignment wrapText="1"/>
    </xf>
    <xf numFmtId="8" fontId="11" fillId="0" borderId="0" xfId="0" applyNumberFormat="1" applyFont="1" applyAlignment="1" applyProtection="1">
      <alignment horizontal="center"/>
    </xf>
    <xf numFmtId="170" fontId="7" fillId="0" borderId="14" xfId="0" applyNumberFormat="1" applyFont="1" applyBorder="1" applyAlignment="1" applyProtection="1">
      <alignment horizontal="center" vertical="center"/>
    </xf>
    <xf numFmtId="0" fontId="7" fillId="0" borderId="14" xfId="0" applyFont="1" applyBorder="1" applyAlignment="1" applyProtection="1">
      <alignment horizontal="center" vertical="center" wrapText="1"/>
    </xf>
    <xf numFmtId="8" fontId="11" fillId="0" borderId="21" xfId="0" applyNumberFormat="1" applyFont="1" applyBorder="1" applyAlignment="1" applyProtection="1">
      <alignment horizontal="center"/>
    </xf>
    <xf numFmtId="8" fontId="11"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1" fillId="0" borderId="0" xfId="0" applyNumberFormat="1" applyFont="1" applyFill="1" applyAlignment="1" applyProtection="1">
      <alignment horizontal="center"/>
    </xf>
    <xf numFmtId="0" fontId="13" fillId="4" borderId="24" xfId="0" applyFont="1" applyFill="1" applyBorder="1" applyAlignment="1" applyProtection="1">
      <alignment horizontal="center" vertical="center"/>
    </xf>
    <xf numFmtId="0" fontId="13" fillId="4" borderId="25" xfId="0" applyFont="1" applyFill="1" applyBorder="1" applyAlignment="1" applyProtection="1">
      <alignment horizontal="center" vertical="center"/>
    </xf>
    <xf numFmtId="0" fontId="3" fillId="0" borderId="0" xfId="0" applyFont="1" applyFill="1" applyBorder="1" applyAlignment="1" applyProtection="1">
      <alignment horizontal="center" vertical="top"/>
    </xf>
    <xf numFmtId="0" fontId="6" fillId="0" borderId="0" xfId="0" applyFont="1" applyFill="1" applyBorder="1" applyAlignment="1" applyProtection="1">
      <alignment vertical="top"/>
    </xf>
    <xf numFmtId="0" fontId="13" fillId="0" borderId="0" xfId="0" applyFont="1" applyFill="1" applyBorder="1" applyAlignment="1" applyProtection="1">
      <alignment vertical="center"/>
    </xf>
    <xf numFmtId="0" fontId="19" fillId="0" borderId="0" xfId="0" applyFont="1" applyAlignment="1" applyProtection="1">
      <alignment vertical="center"/>
    </xf>
    <xf numFmtId="0" fontId="3" fillId="0" borderId="0" xfId="0" applyFont="1" applyFill="1" applyBorder="1" applyAlignment="1" applyProtection="1">
      <alignment horizontal="right" vertical="top"/>
    </xf>
    <xf numFmtId="0" fontId="7" fillId="4" borderId="3" xfId="0" applyFont="1" applyFill="1" applyBorder="1" applyAlignment="1" applyProtection="1">
      <alignment horizontal="center" vertical="center" wrapText="1"/>
    </xf>
    <xf numFmtId="164" fontId="11" fillId="0" borderId="0" xfId="0" applyNumberFormat="1" applyFont="1" applyFill="1" applyBorder="1" applyAlignment="1" applyProtection="1">
      <alignment horizontal="left"/>
    </xf>
    <xf numFmtId="0" fontId="7"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9" fillId="0" borderId="0" xfId="0" applyFont="1" applyFill="1" applyBorder="1" applyAlignment="1" applyProtection="1">
      <alignment horizontal="left" vertical="center"/>
    </xf>
    <xf numFmtId="170" fontId="66" fillId="0" borderId="0" xfId="0" applyNumberFormat="1" applyFont="1" applyAlignment="1" applyProtection="1">
      <alignment horizontal="center"/>
    </xf>
    <xf numFmtId="0" fontId="7" fillId="4" borderId="24"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2" fillId="0" borderId="14" xfId="0" applyFont="1" applyFill="1" applyBorder="1" applyAlignment="1" applyProtection="1">
      <alignment vertical="top"/>
    </xf>
    <xf numFmtId="0" fontId="12" fillId="0" borderId="14" xfId="0" applyFont="1" applyFill="1" applyBorder="1" applyAlignment="1" applyProtection="1">
      <alignment vertical="center"/>
    </xf>
    <xf numFmtId="0" fontId="11" fillId="0" borderId="15" xfId="0" applyFont="1" applyFill="1" applyBorder="1" applyProtection="1"/>
    <xf numFmtId="0" fontId="0" fillId="0" borderId="8" xfId="0" applyBorder="1" applyAlignment="1" applyProtection="1">
      <alignment horizontal="center"/>
    </xf>
    <xf numFmtId="0" fontId="26" fillId="0" borderId="0" xfId="0" applyFont="1" applyFill="1" applyAlignment="1" applyProtection="1"/>
    <xf numFmtId="166" fontId="0" fillId="0" borderId="0" xfId="0" applyNumberFormat="1" applyAlignment="1" applyProtection="1">
      <alignment horizontal="center"/>
    </xf>
    <xf numFmtId="0" fontId="27" fillId="0" borderId="0" xfId="0" applyFont="1" applyAlignment="1" applyProtection="1">
      <alignment vertical="center" wrapText="1"/>
    </xf>
    <xf numFmtId="8" fontId="0" fillId="0" borderId="0" xfId="0" applyNumberFormat="1" applyFill="1" applyProtection="1"/>
    <xf numFmtId="8" fontId="11" fillId="0" borderId="0" xfId="0" applyNumberFormat="1" applyFont="1" applyAlignment="1" applyProtection="1"/>
    <xf numFmtId="170" fontId="7" fillId="0" borderId="0" xfId="0" applyNumberFormat="1" applyFont="1" applyAlignment="1" applyProtection="1">
      <alignment horizontal="center"/>
    </xf>
    <xf numFmtId="170" fontId="7" fillId="0" borderId="8" xfId="0" applyNumberFormat="1" applyFont="1" applyBorder="1" applyAlignment="1" applyProtection="1">
      <alignment horizontal="center"/>
    </xf>
    <xf numFmtId="0" fontId="19" fillId="0" borderId="0" xfId="0" applyFont="1" applyAlignment="1" applyProtection="1">
      <alignment horizontal="center"/>
    </xf>
    <xf numFmtId="0" fontId="19" fillId="0" borderId="8" xfId="0" applyFont="1" applyBorder="1" applyAlignment="1" applyProtection="1">
      <alignment horizontal="center"/>
    </xf>
    <xf numFmtId="0" fontId="19" fillId="0" borderId="20" xfId="0" applyFont="1" applyBorder="1" applyAlignment="1" applyProtection="1">
      <alignment horizontal="center"/>
    </xf>
    <xf numFmtId="0" fontId="19" fillId="0" borderId="27" xfId="0" applyFont="1" applyBorder="1" applyAlignment="1" applyProtection="1">
      <alignment horizontal="center"/>
    </xf>
    <xf numFmtId="0" fontId="19" fillId="0" borderId="0" xfId="0" applyFont="1" applyFill="1" applyBorder="1" applyAlignment="1" applyProtection="1">
      <alignment horizontal="center"/>
    </xf>
    <xf numFmtId="0" fontId="19" fillId="0" borderId="21" xfId="0" applyFont="1" applyFill="1" applyBorder="1" applyAlignment="1" applyProtection="1">
      <alignment horizontal="center"/>
    </xf>
    <xf numFmtId="0" fontId="19" fillId="0" borderId="28" xfId="0" applyFont="1" applyBorder="1" applyAlignment="1" applyProtection="1">
      <alignment horizontal="center"/>
    </xf>
    <xf numFmtId="0" fontId="19" fillId="0" borderId="0" xfId="0" applyFont="1" applyFill="1" applyAlignment="1" applyProtection="1">
      <alignment horizontal="center"/>
    </xf>
    <xf numFmtId="0" fontId="19" fillId="0" borderId="20" xfId="0" applyFont="1" applyFill="1" applyBorder="1" applyAlignment="1" applyProtection="1">
      <alignment horizontal="center"/>
    </xf>
    <xf numFmtId="0" fontId="26" fillId="0" borderId="0" xfId="0" applyFont="1" applyAlignment="1" applyProtection="1"/>
    <xf numFmtId="0" fontId="66"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7" fillId="0" borderId="0" xfId="0" applyFont="1" applyProtection="1"/>
    <xf numFmtId="0" fontId="7" fillId="0" borderId="14" xfId="0" applyFont="1" applyFill="1" applyBorder="1" applyAlignment="1" applyProtection="1">
      <alignment horizontal="center"/>
    </xf>
    <xf numFmtId="0" fontId="7" fillId="0" borderId="14" xfId="0" applyFont="1" applyBorder="1" applyAlignment="1" applyProtection="1">
      <alignment horizontal="center"/>
    </xf>
    <xf numFmtId="0" fontId="0" fillId="0" borderId="29" xfId="0" applyBorder="1" applyProtection="1"/>
    <xf numFmtId="0" fontId="11" fillId="0" borderId="30" xfId="0" applyFont="1" applyFill="1" applyBorder="1" applyProtection="1"/>
    <xf numFmtId="0" fontId="11" fillId="0" borderId="23" xfId="0" applyFont="1" applyFill="1" applyBorder="1" applyProtection="1"/>
    <xf numFmtId="0" fontId="0" fillId="0" borderId="31" xfId="0" applyBorder="1" applyProtection="1"/>
    <xf numFmtId="0" fontId="11" fillId="0" borderId="32" xfId="0" applyFont="1" applyFill="1" applyBorder="1" applyProtection="1"/>
    <xf numFmtId="0" fontId="11" fillId="0" borderId="18" xfId="0" applyFont="1" applyFill="1" applyBorder="1" applyProtection="1"/>
    <xf numFmtId="0" fontId="11" fillId="0" borderId="33" xfId="0" applyFont="1" applyFill="1" applyBorder="1" applyProtection="1"/>
    <xf numFmtId="0" fontId="0" fillId="0" borderId="34" xfId="0" applyBorder="1" applyProtection="1"/>
    <xf numFmtId="0" fontId="11" fillId="0" borderId="35" xfId="0" applyFont="1" applyFill="1" applyBorder="1" applyProtection="1"/>
    <xf numFmtId="0" fontId="11" fillId="0" borderId="19" xfId="0" applyFont="1" applyFill="1" applyBorder="1" applyProtection="1"/>
    <xf numFmtId="0" fontId="29" fillId="0" borderId="0" xfId="0" applyFont="1" applyProtection="1"/>
    <xf numFmtId="0" fontId="13" fillId="4" borderId="13" xfId="0" applyFont="1" applyFill="1" applyBorder="1" applyAlignment="1" applyProtection="1">
      <alignment horizontal="center" vertical="center"/>
    </xf>
    <xf numFmtId="9" fontId="13" fillId="4" borderId="13" xfId="0" applyNumberFormat="1" applyFont="1" applyFill="1" applyBorder="1" applyAlignment="1" applyProtection="1">
      <alignment horizontal="center" vertical="center"/>
    </xf>
    <xf numFmtId="0" fontId="13" fillId="4" borderId="3" xfId="0" applyFont="1" applyFill="1" applyBorder="1" applyAlignment="1" applyProtection="1">
      <alignment horizontal="center" vertical="top"/>
    </xf>
    <xf numFmtId="0" fontId="13" fillId="4" borderId="17" xfId="0" applyFont="1" applyFill="1" applyBorder="1" applyAlignment="1" applyProtection="1">
      <alignment horizontal="center" vertical="center"/>
    </xf>
    <xf numFmtId="0" fontId="13" fillId="4" borderId="19" xfId="0" applyFont="1" applyFill="1" applyBorder="1" applyAlignment="1" applyProtection="1">
      <alignment horizontal="center" vertical="center"/>
    </xf>
    <xf numFmtId="0" fontId="13" fillId="4" borderId="17" xfId="0" applyFont="1" applyFill="1" applyBorder="1" applyAlignment="1" applyProtection="1">
      <alignment horizontal="center" vertical="top"/>
    </xf>
    <xf numFmtId="0" fontId="13" fillId="4" borderId="19" xfId="0" applyFont="1" applyFill="1" applyBorder="1" applyAlignment="1" applyProtection="1">
      <alignment horizontal="center" vertical="top"/>
    </xf>
    <xf numFmtId="0" fontId="67" fillId="0" borderId="0" xfId="0" applyFont="1" applyAlignment="1" applyProtection="1">
      <alignment horizontal="left"/>
    </xf>
    <xf numFmtId="0" fontId="28" fillId="0" borderId="0" xfId="0" applyNumberFormat="1" applyFont="1" applyFill="1" applyProtection="1"/>
    <xf numFmtId="0" fontId="28" fillId="0" borderId="0" xfId="0" applyFont="1" applyFill="1" applyAlignment="1" applyProtection="1">
      <alignment horizontal="left" vertical="center"/>
    </xf>
    <xf numFmtId="0" fontId="28" fillId="0" borderId="0" xfId="0" applyNumberFormat="1" applyFont="1" applyAlignment="1" applyProtection="1">
      <alignment horizontal="left" vertical="center"/>
    </xf>
    <xf numFmtId="0" fontId="67" fillId="0" borderId="0" xfId="0" applyFont="1" applyProtection="1"/>
    <xf numFmtId="3" fontId="12" fillId="0" borderId="0" xfId="1" applyNumberFormat="1" applyFont="1" applyFill="1" applyAlignment="1" applyProtection="1">
      <alignment horizontal="center" vertical="center"/>
    </xf>
    <xf numFmtId="8" fontId="19" fillId="0" borderId="0" xfId="0" applyNumberFormat="1" applyFont="1" applyAlignment="1" applyProtection="1">
      <alignment horizontal="center"/>
    </xf>
    <xf numFmtId="8" fontId="19" fillId="0" borderId="0" xfId="0" applyNumberFormat="1" applyFont="1" applyFill="1" applyAlignment="1" applyProtection="1">
      <alignment horizontal="center"/>
    </xf>
    <xf numFmtId="8" fontId="19" fillId="0" borderId="21" xfId="0" applyNumberFormat="1" applyFont="1" applyBorder="1" applyAlignment="1" applyProtection="1">
      <alignment horizontal="center"/>
    </xf>
    <xf numFmtId="8" fontId="19" fillId="0" borderId="20" xfId="0" applyNumberFormat="1" applyFont="1" applyBorder="1" applyAlignment="1" applyProtection="1">
      <alignment horizontal="center"/>
    </xf>
    <xf numFmtId="8" fontId="19"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4" fillId="0" borderId="0" xfId="0" applyNumberFormat="1" applyFont="1" applyAlignment="1" applyProtection="1">
      <alignment vertical="center"/>
    </xf>
    <xf numFmtId="8" fontId="34"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1" fillId="0" borderId="0" xfId="1" applyNumberFormat="1" applyFont="1" applyFill="1" applyBorder="1" applyAlignment="1" applyProtection="1">
      <alignment horizontal="right"/>
    </xf>
    <xf numFmtId="39" fontId="11" fillId="0" borderId="15" xfId="1" applyNumberFormat="1" applyFont="1" applyFill="1" applyBorder="1" applyAlignment="1" applyProtection="1">
      <alignment horizontal="right"/>
    </xf>
    <xf numFmtId="164" fontId="11" fillId="0" borderId="17" xfId="1" applyNumberFormat="1" applyFont="1" applyFill="1" applyBorder="1" applyAlignment="1" applyProtection="1">
      <alignment horizontal="right" vertical="center"/>
    </xf>
    <xf numFmtId="164" fontId="11" fillId="0" borderId="18" xfId="1" applyNumberFormat="1" applyFont="1" applyFill="1" applyBorder="1" applyAlignment="1" applyProtection="1">
      <alignment horizontal="right" vertical="center"/>
    </xf>
    <xf numFmtId="164" fontId="11" fillId="0" borderId="3" xfId="1" applyNumberFormat="1" applyFont="1" applyFill="1" applyBorder="1" applyAlignment="1" applyProtection="1">
      <alignment horizontal="right" vertical="center"/>
    </xf>
    <xf numFmtId="164" fontId="11" fillId="0" borderId="23" xfId="1" applyNumberFormat="1" applyFont="1" applyFill="1" applyBorder="1" applyAlignment="1" applyProtection="1">
      <alignment horizontal="right" vertical="center"/>
    </xf>
    <xf numFmtId="164" fontId="11" fillId="0" borderId="19" xfId="1" applyNumberFormat="1" applyFont="1" applyFill="1" applyBorder="1" applyAlignment="1" applyProtection="1">
      <alignment horizontal="right" vertical="center"/>
    </xf>
    <xf numFmtId="0" fontId="3" fillId="0" borderId="8" xfId="0" applyFont="1" applyFill="1" applyBorder="1" applyAlignment="1" applyProtection="1">
      <alignment vertical="center" wrapText="1"/>
    </xf>
    <xf numFmtId="0" fontId="7" fillId="0" borderId="12" xfId="0" applyFont="1" applyFill="1" applyBorder="1" applyAlignment="1" applyProtection="1">
      <alignment horizontal="center" vertical="top"/>
    </xf>
    <xf numFmtId="0" fontId="7" fillId="0" borderId="12" xfId="0" applyFont="1" applyFill="1" applyBorder="1" applyAlignment="1" applyProtection="1">
      <alignment horizontal="center" vertical="center"/>
    </xf>
    <xf numFmtId="0" fontId="7" fillId="0" borderId="13" xfId="0" applyFont="1" applyFill="1" applyBorder="1" applyAlignment="1" applyProtection="1">
      <alignment horizontal="center" vertical="top"/>
    </xf>
    <xf numFmtId="38" fontId="7" fillId="0" borderId="0" xfId="0" applyNumberFormat="1" applyFont="1" applyFill="1" applyAlignment="1" applyProtection="1">
      <alignment horizontal="center" vertical="center"/>
    </xf>
    <xf numFmtId="0" fontId="57" fillId="0" borderId="0" xfId="0" applyFont="1" applyFill="1" applyBorder="1" applyAlignment="1" applyProtection="1">
      <alignment horizontal="left" vertical="top"/>
    </xf>
    <xf numFmtId="0" fontId="54" fillId="0" borderId="0" xfId="0" applyFont="1" applyFill="1" applyAlignment="1" applyProtection="1">
      <alignment vertical="top"/>
    </xf>
    <xf numFmtId="0" fontId="54" fillId="0" borderId="0" xfId="0" applyFont="1" applyFill="1" applyAlignment="1" applyProtection="1">
      <alignment horizontal="left" vertical="top"/>
    </xf>
    <xf numFmtId="0" fontId="57" fillId="0"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xf>
    <xf numFmtId="0" fontId="54" fillId="0" borderId="0" xfId="0" applyFont="1" applyFill="1" applyBorder="1" applyAlignment="1" applyProtection="1">
      <alignment vertical="top"/>
    </xf>
    <xf numFmtId="0" fontId="54" fillId="0" borderId="0" xfId="0" applyFont="1" applyFill="1" applyBorder="1" applyAlignment="1" applyProtection="1">
      <alignment vertical="center"/>
    </xf>
    <xf numFmtId="0" fontId="54" fillId="0" borderId="0" xfId="0" applyFont="1" applyFill="1" applyAlignment="1" applyProtection="1">
      <alignment vertical="center"/>
    </xf>
    <xf numFmtId="0" fontId="54" fillId="0" borderId="0" xfId="0" applyFont="1" applyFill="1" applyBorder="1" applyAlignment="1" applyProtection="1">
      <alignment horizontal="left" vertical="center" wrapText="1"/>
    </xf>
    <xf numFmtId="0" fontId="69" fillId="0" borderId="9" xfId="0" applyFont="1" applyFill="1" applyBorder="1" applyAlignment="1" applyProtection="1">
      <alignment vertical="top"/>
    </xf>
    <xf numFmtId="0" fontId="54" fillId="0" borderId="0" xfId="0" applyFont="1" applyFill="1" applyBorder="1" applyAlignment="1" applyProtection="1">
      <alignment horizontal="left" vertical="center"/>
    </xf>
    <xf numFmtId="0" fontId="54" fillId="0" borderId="9" xfId="0" applyFont="1" applyFill="1" applyBorder="1" applyAlignment="1" applyProtection="1">
      <alignment vertical="top"/>
    </xf>
    <xf numFmtId="0" fontId="57" fillId="0" borderId="1" xfId="0" applyFont="1" applyFill="1" applyBorder="1" applyAlignment="1" applyProtection="1">
      <alignment horizontal="left" vertical="center"/>
    </xf>
    <xf numFmtId="0" fontId="57" fillId="0" borderId="36" xfId="0" applyFont="1" applyFill="1" applyBorder="1" applyAlignment="1" applyProtection="1">
      <alignment horizontal="left" vertical="center"/>
    </xf>
    <xf numFmtId="0" fontId="68" fillId="0" borderId="0" xfId="0" applyFont="1" applyFill="1" applyAlignment="1" applyProtection="1">
      <alignment vertical="top"/>
    </xf>
    <xf numFmtId="0" fontId="57" fillId="0" borderId="0" xfId="0" applyFont="1" applyFill="1" applyAlignment="1" applyProtection="1">
      <alignment vertical="top"/>
    </xf>
    <xf numFmtId="0" fontId="68" fillId="0" borderId="0" xfId="0" applyFont="1" applyFill="1" applyBorder="1" applyAlignment="1" applyProtection="1">
      <alignment horizontal="left" vertical="top"/>
    </xf>
    <xf numFmtId="0" fontId="57" fillId="0" borderId="37" xfId="0" applyFont="1" applyFill="1" applyBorder="1" applyAlignment="1" applyProtection="1">
      <alignment horizontal="left" vertical="center"/>
    </xf>
    <xf numFmtId="0" fontId="54" fillId="0" borderId="2" xfId="0" applyFont="1" applyFill="1" applyBorder="1" applyAlignment="1" applyProtection="1">
      <alignment vertical="top"/>
    </xf>
    <xf numFmtId="0" fontId="54" fillId="0" borderId="38" xfId="0" applyFont="1" applyFill="1" applyBorder="1" applyAlignment="1" applyProtection="1">
      <alignment vertical="top"/>
    </xf>
    <xf numFmtId="0" fontId="68" fillId="0" borderId="0" xfId="0" applyFont="1" applyFill="1" applyAlignment="1" applyProtection="1">
      <alignment horizontal="left" vertical="top"/>
    </xf>
    <xf numFmtId="0" fontId="69" fillId="0" borderId="0" xfId="0" applyFont="1" applyFill="1" applyBorder="1" applyAlignment="1" applyProtection="1">
      <alignment vertical="top"/>
    </xf>
    <xf numFmtId="0" fontId="68" fillId="0" borderId="0" xfId="0" applyFont="1" applyFill="1" applyBorder="1" applyAlignment="1" applyProtection="1">
      <alignment vertical="top"/>
    </xf>
    <xf numFmtId="0" fontId="57" fillId="0" borderId="0" xfId="0" applyFont="1" applyFill="1" applyBorder="1" applyAlignment="1" applyProtection="1">
      <alignment vertical="top"/>
    </xf>
    <xf numFmtId="0" fontId="54" fillId="0" borderId="0" xfId="0" applyFont="1" applyFill="1" applyBorder="1" applyAlignment="1" applyProtection="1">
      <alignment horizontal="right" vertical="top"/>
    </xf>
    <xf numFmtId="0" fontId="54" fillId="0" borderId="8" xfId="0" applyFont="1" applyFill="1" applyBorder="1" applyAlignment="1" applyProtection="1">
      <alignment horizontal="left" vertical="top"/>
    </xf>
    <xf numFmtId="0" fontId="58" fillId="0" borderId="0" xfId="0" applyFont="1" applyProtection="1"/>
    <xf numFmtId="0" fontId="60" fillId="0" borderId="0" xfId="0" applyFont="1" applyAlignment="1" applyProtection="1">
      <alignment vertical="center"/>
    </xf>
    <xf numFmtId="0" fontId="60" fillId="0" borderId="0" xfId="0" applyFont="1" applyAlignment="1" applyProtection="1">
      <alignment horizontal="right" vertical="center"/>
    </xf>
    <xf numFmtId="0" fontId="60" fillId="0" borderId="0" xfId="0" applyFont="1" applyAlignment="1" applyProtection="1">
      <alignment horizontal="left" vertical="center"/>
    </xf>
    <xf numFmtId="0" fontId="60" fillId="0" borderId="0" xfId="0" applyFont="1" applyProtection="1"/>
    <xf numFmtId="0" fontId="61" fillId="0" borderId="0" xfId="0" applyFont="1" applyAlignment="1" applyProtection="1">
      <alignment vertical="center"/>
    </xf>
    <xf numFmtId="3" fontId="55" fillId="0" borderId="3" xfId="10" applyNumberFormat="1" applyFont="1" applyBorder="1" applyAlignment="1" applyProtection="1">
      <alignment horizontal="center" vertical="center"/>
    </xf>
    <xf numFmtId="0" fontId="60" fillId="0" borderId="0" xfId="0" applyFont="1" applyAlignment="1" applyProtection="1">
      <alignment horizontal="center"/>
    </xf>
    <xf numFmtId="0" fontId="55" fillId="0" borderId="0" xfId="0" applyFont="1" applyAlignment="1" applyProtection="1">
      <alignment vertical="center" wrapText="1"/>
    </xf>
    <xf numFmtId="0" fontId="55" fillId="0" borderId="0" xfId="0" applyFont="1" applyAlignment="1" applyProtection="1">
      <alignment horizontal="center"/>
    </xf>
    <xf numFmtId="0" fontId="55" fillId="0" borderId="0" xfId="0" applyFont="1" applyAlignment="1" applyProtection="1">
      <alignment horizontal="center" vertical="center"/>
    </xf>
    <xf numFmtId="3" fontId="55" fillId="0" borderId="0" xfId="10" applyNumberFormat="1" applyFont="1" applyBorder="1" applyAlignment="1" applyProtection="1">
      <alignment horizontal="center" vertical="center"/>
    </xf>
    <xf numFmtId="38" fontId="55" fillId="0" borderId="3" xfId="0" applyNumberFormat="1" applyFont="1" applyBorder="1" applyAlignment="1" applyProtection="1">
      <alignment horizontal="center" vertical="center"/>
    </xf>
    <xf numFmtId="38" fontId="62" fillId="0" borderId="0" xfId="0" applyNumberFormat="1" applyFont="1" applyBorder="1" applyAlignment="1" applyProtection="1">
      <alignment horizontal="center" vertical="center"/>
    </xf>
    <xf numFmtId="38" fontId="55" fillId="0" borderId="0" xfId="0" applyNumberFormat="1" applyFont="1" applyBorder="1" applyAlignment="1" applyProtection="1">
      <alignment horizontal="center" vertical="center"/>
    </xf>
    <xf numFmtId="0" fontId="55" fillId="0" borderId="3" xfId="0" applyFont="1" applyBorder="1" applyAlignment="1" applyProtection="1">
      <alignment horizontal="center" vertical="center"/>
    </xf>
    <xf numFmtId="0" fontId="55" fillId="0" borderId="0" xfId="0" applyFont="1" applyProtection="1"/>
    <xf numFmtId="164" fontId="55" fillId="0" borderId="3" xfId="1" applyNumberFormat="1" applyFont="1" applyBorder="1" applyAlignment="1" applyProtection="1">
      <alignment horizontal="center" vertical="center"/>
    </xf>
    <xf numFmtId="9" fontId="55" fillId="0" borderId="3" xfId="10" applyFont="1" applyBorder="1" applyAlignment="1" applyProtection="1">
      <alignment horizontal="center" vertical="center"/>
    </xf>
    <xf numFmtId="0" fontId="55" fillId="0" borderId="3" xfId="0" applyNumberFormat="1" applyFont="1" applyBorder="1" applyAlignment="1" applyProtection="1">
      <alignment horizontal="center" vertical="center"/>
    </xf>
    <xf numFmtId="0" fontId="63" fillId="0" borderId="0" xfId="0" applyFont="1" applyBorder="1" applyAlignment="1" applyProtection="1">
      <alignment vertical="center"/>
    </xf>
    <xf numFmtId="0" fontId="63" fillId="0" borderId="3" xfId="0" applyFont="1" applyBorder="1" applyAlignment="1" applyProtection="1">
      <alignment horizontal="center" vertical="top" wrapText="1"/>
    </xf>
    <xf numFmtId="9" fontId="63" fillId="0" borderId="3" xfId="0" applyNumberFormat="1" applyFont="1" applyBorder="1" applyAlignment="1" applyProtection="1">
      <alignment horizontal="center" vertical="top" wrapText="1"/>
    </xf>
    <xf numFmtId="0" fontId="63" fillId="0" borderId="0" xfId="0" applyFont="1" applyBorder="1" applyAlignment="1" applyProtection="1">
      <alignment vertical="top" wrapText="1"/>
    </xf>
    <xf numFmtId="0" fontId="54" fillId="0" borderId="0" xfId="0" applyFont="1" applyFill="1" applyAlignment="1" applyProtection="1">
      <alignment horizontal="left" vertical="center"/>
    </xf>
    <xf numFmtId="0" fontId="30" fillId="0" borderId="0" xfId="0" applyFont="1" applyFill="1" applyAlignment="1" applyProtection="1">
      <alignment vertical="center"/>
    </xf>
    <xf numFmtId="3" fontId="30" fillId="0" borderId="0" xfId="0" applyNumberFormat="1" applyFont="1" applyFill="1" applyAlignment="1" applyProtection="1">
      <alignment horizontal="center"/>
    </xf>
    <xf numFmtId="0" fontId="55" fillId="0" borderId="0" xfId="0" applyFont="1" applyAlignment="1" applyProtection="1">
      <alignment horizontal="left" vertical="center"/>
    </xf>
    <xf numFmtId="0" fontId="55" fillId="0" borderId="0" xfId="0" applyFont="1" applyFill="1" applyBorder="1" applyAlignment="1" applyProtection="1">
      <alignment horizontal="center" vertical="center"/>
    </xf>
    <xf numFmtId="0" fontId="55" fillId="0" borderId="14" xfId="0" applyFont="1" applyFill="1" applyBorder="1" applyAlignment="1" applyProtection="1">
      <alignment vertical="center"/>
    </xf>
    <xf numFmtId="0" fontId="55" fillId="0" borderId="0" xfId="0" applyFont="1" applyFill="1" applyBorder="1" applyAlignment="1" applyProtection="1">
      <alignment horizontal="right" vertical="center"/>
    </xf>
    <xf numFmtId="0" fontId="13" fillId="4" borderId="30" xfId="0" applyFont="1" applyFill="1" applyBorder="1" applyAlignment="1" applyProtection="1">
      <alignment horizontal="center" vertical="center"/>
    </xf>
    <xf numFmtId="165" fontId="13" fillId="4" borderId="13" xfId="0" applyNumberFormat="1" applyFont="1" applyFill="1" applyBorder="1" applyAlignment="1" applyProtection="1">
      <alignment horizontal="center" vertical="center"/>
    </xf>
    <xf numFmtId="0" fontId="58" fillId="0" borderId="0" xfId="0" applyFont="1" applyFill="1" applyAlignment="1" applyProtection="1">
      <alignment vertical="center"/>
    </xf>
    <xf numFmtId="0" fontId="68" fillId="0" borderId="0"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0" borderId="0" xfId="0" applyFont="1" applyFill="1" applyAlignment="1" applyProtection="1">
      <alignment vertical="center"/>
    </xf>
    <xf numFmtId="0" fontId="68" fillId="6" borderId="3" xfId="0" applyFont="1" applyFill="1" applyBorder="1" applyAlignment="1" applyProtection="1">
      <alignment horizontal="center" vertical="center"/>
    </xf>
    <xf numFmtId="0" fontId="58" fillId="0" borderId="0" xfId="0" applyFont="1" applyFill="1" applyAlignment="1" applyProtection="1">
      <alignment horizontal="centerContinuous" vertical="center"/>
    </xf>
    <xf numFmtId="0" fontId="58" fillId="0" borderId="0" xfId="0" applyFont="1" applyFill="1" applyAlignment="1" applyProtection="1">
      <alignment horizontal="left" vertical="center"/>
    </xf>
    <xf numFmtId="0" fontId="68" fillId="0" borderId="0" xfId="0" applyFont="1" applyFill="1" applyAlignment="1" applyProtection="1">
      <alignment horizontal="left" vertical="center"/>
    </xf>
    <xf numFmtId="0" fontId="58" fillId="0" borderId="0" xfId="0" applyFont="1" applyFill="1" applyBorder="1" applyAlignment="1" applyProtection="1">
      <alignment horizontal="right" vertical="center"/>
    </xf>
    <xf numFmtId="0" fontId="58" fillId="0" borderId="0" xfId="0" applyFont="1" applyFill="1" applyBorder="1" applyAlignment="1" applyProtection="1">
      <alignment horizontal="centerContinuous" vertical="center"/>
    </xf>
    <xf numFmtId="0" fontId="58" fillId="0" borderId="0" xfId="0" applyFont="1" applyFill="1" applyBorder="1" applyProtection="1"/>
    <xf numFmtId="0" fontId="58" fillId="0" borderId="0" xfId="0" applyNumberFormat="1" applyFont="1" applyFill="1" applyBorder="1" applyAlignment="1" applyProtection="1">
      <alignment horizontal="center" vertical="center"/>
    </xf>
    <xf numFmtId="0" fontId="68" fillId="0" borderId="0" xfId="0" applyFont="1" applyFill="1" applyBorder="1" applyAlignment="1" applyProtection="1">
      <alignment vertical="center"/>
    </xf>
    <xf numFmtId="0" fontId="68" fillId="0" borderId="0" xfId="0" applyFont="1" applyFill="1" applyAlignment="1" applyProtection="1">
      <alignment horizontal="right" vertical="center"/>
    </xf>
    <xf numFmtId="0" fontId="58" fillId="0" borderId="0" xfId="0" applyFont="1" applyFill="1" applyAlignment="1" applyProtection="1">
      <alignment horizontal="right" vertical="center"/>
    </xf>
    <xf numFmtId="0" fontId="58" fillId="0" borderId="0" xfId="0" quotePrefix="1" applyFont="1" applyFill="1" applyBorder="1" applyAlignment="1" applyProtection="1">
      <alignment horizontal="center" vertical="center"/>
    </xf>
    <xf numFmtId="0" fontId="58" fillId="0" borderId="0" xfId="0" applyNumberFormat="1" applyFont="1" applyFill="1" applyBorder="1" applyAlignment="1" applyProtection="1">
      <alignment horizontal="left" vertical="center"/>
    </xf>
    <xf numFmtId="38" fontId="58" fillId="0" borderId="0" xfId="0" applyNumberFormat="1" applyFont="1" applyFill="1" applyBorder="1" applyAlignment="1" applyProtection="1">
      <alignment vertical="center"/>
    </xf>
    <xf numFmtId="0" fontId="58" fillId="0" borderId="12" xfId="0" applyFont="1" applyFill="1" applyBorder="1" applyAlignment="1" applyProtection="1">
      <alignment horizontal="center" vertical="center"/>
    </xf>
    <xf numFmtId="0" fontId="58" fillId="0" borderId="13" xfId="0" applyFont="1" applyFill="1" applyBorder="1" applyAlignment="1" applyProtection="1">
      <alignment horizontal="center" vertical="center"/>
    </xf>
    <xf numFmtId="0" fontId="68" fillId="0" borderId="0" xfId="0" applyFont="1" applyFill="1" applyBorder="1" applyAlignment="1" applyProtection="1">
      <alignment horizontal="center"/>
    </xf>
    <xf numFmtId="0" fontId="58" fillId="0" borderId="0" xfId="0" applyFont="1" applyFill="1" applyBorder="1" applyAlignment="1" applyProtection="1">
      <alignment horizontal="center"/>
    </xf>
    <xf numFmtId="0" fontId="64" fillId="0" borderId="0" xfId="0" applyFont="1" applyFill="1" applyAlignment="1" applyProtection="1">
      <alignment vertical="center"/>
    </xf>
    <xf numFmtId="0" fontId="58" fillId="0" borderId="0" xfId="0" applyFont="1" applyFill="1" applyProtection="1"/>
    <xf numFmtId="1" fontId="58" fillId="0" borderId="3" xfId="1" applyNumberFormat="1" applyFont="1" applyFill="1" applyBorder="1" applyAlignment="1" applyProtection="1">
      <alignment horizontal="center" vertical="center"/>
    </xf>
    <xf numFmtId="0" fontId="58" fillId="0" borderId="0" xfId="1" applyNumberFormat="1" applyFont="1" applyFill="1" applyBorder="1" applyAlignment="1" applyProtection="1">
      <alignment horizontal="left" vertical="center"/>
    </xf>
    <xf numFmtId="0" fontId="68" fillId="0" borderId="0" xfId="0" applyFont="1" applyFill="1" applyBorder="1" applyProtection="1"/>
    <xf numFmtId="3" fontId="58" fillId="0" borderId="3" xfId="1" applyNumberFormat="1" applyFont="1" applyFill="1" applyBorder="1" applyAlignment="1" applyProtection="1">
      <alignment horizontal="center" vertical="center"/>
    </xf>
    <xf numFmtId="0" fontId="58" fillId="0" borderId="0" xfId="0" applyFont="1" applyFill="1" applyBorder="1" applyAlignment="1" applyProtection="1"/>
    <xf numFmtId="0" fontId="68" fillId="0" borderId="0" xfId="0" applyFont="1" applyFill="1" applyBorder="1" applyAlignment="1" applyProtection="1"/>
    <xf numFmtId="0" fontId="58" fillId="0" borderId="0" xfId="0" applyFont="1" applyFill="1" applyBorder="1" applyAlignment="1" applyProtection="1">
      <alignment horizontal="right"/>
    </xf>
    <xf numFmtId="165" fontId="58" fillId="0" borderId="3" xfId="1" applyNumberFormat="1" applyFont="1" applyFill="1" applyBorder="1" applyAlignment="1" applyProtection="1">
      <alignment horizontal="center" vertical="center"/>
    </xf>
    <xf numFmtId="0" fontId="68" fillId="0" borderId="0" xfId="0" applyFont="1" applyFill="1" applyProtection="1"/>
    <xf numFmtId="166" fontId="68" fillId="0" borderId="0" xfId="10" applyNumberFormat="1" applyFont="1" applyFill="1" applyBorder="1" applyAlignment="1" applyProtection="1">
      <alignment horizontal="center" vertical="center"/>
    </xf>
    <xf numFmtId="0" fontId="58" fillId="0" borderId="6" xfId="0" applyFont="1" applyFill="1" applyBorder="1" applyAlignment="1" applyProtection="1">
      <alignment horizontal="center" vertical="center"/>
    </xf>
    <xf numFmtId="0" fontId="58" fillId="0" borderId="0" xfId="0" applyFont="1" applyAlignment="1" applyProtection="1">
      <alignment wrapText="1"/>
    </xf>
    <xf numFmtId="0" fontId="58" fillId="0" borderId="0" xfId="0" applyFont="1" applyAlignment="1" applyProtection="1">
      <alignment horizontal="left" wrapText="1"/>
    </xf>
    <xf numFmtId="0" fontId="58" fillId="0" borderId="0" xfId="0" applyFont="1" applyFill="1" applyBorder="1" applyAlignment="1" applyProtection="1">
      <alignment vertical="top"/>
    </xf>
    <xf numFmtId="9" fontId="58" fillId="0" borderId="3" xfId="1" applyNumberFormat="1" applyFont="1" applyFill="1" applyBorder="1" applyAlignment="1" applyProtection="1">
      <alignment horizontal="center" vertical="center"/>
    </xf>
    <xf numFmtId="0" fontId="58" fillId="0" borderId="12" xfId="0" applyFont="1" applyFill="1" applyBorder="1" applyAlignment="1" applyProtection="1">
      <alignment horizontal="left" vertical="center"/>
    </xf>
    <xf numFmtId="0" fontId="58" fillId="0" borderId="11" xfId="0" applyFont="1" applyFill="1" applyBorder="1" applyAlignment="1" applyProtection="1">
      <alignment horizontal="center" vertical="center"/>
    </xf>
    <xf numFmtId="0" fontId="58" fillId="0" borderId="9" xfId="0" applyFont="1" applyFill="1" applyBorder="1" applyAlignment="1" applyProtection="1">
      <alignment horizontal="left" vertical="center"/>
    </xf>
    <xf numFmtId="167" fontId="58" fillId="0" borderId="0" xfId="0" applyNumberFormat="1" applyFont="1" applyFill="1" applyBorder="1" applyAlignment="1" applyProtection="1">
      <alignment horizontal="center" vertical="center"/>
    </xf>
    <xf numFmtId="0" fontId="58" fillId="0" borderId="0" xfId="0" applyFont="1" applyAlignment="1" applyProtection="1">
      <alignment horizontal="center"/>
    </xf>
    <xf numFmtId="10" fontId="68" fillId="0" borderId="3" xfId="10" applyNumberFormat="1" applyFont="1" applyFill="1" applyBorder="1" applyAlignment="1" applyProtection="1">
      <alignment horizontal="center" vertical="center"/>
    </xf>
    <xf numFmtId="0" fontId="58" fillId="0" borderId="0" xfId="0" quotePrefix="1" applyFont="1" applyFill="1" applyBorder="1" applyAlignment="1" applyProtection="1">
      <alignment horizontal="left" vertical="center"/>
    </xf>
    <xf numFmtId="0" fontId="57" fillId="0" borderId="0" xfId="0" applyFont="1" applyFill="1" applyBorder="1" applyAlignment="1" applyProtection="1">
      <alignment vertical="center"/>
    </xf>
    <xf numFmtId="0" fontId="68" fillId="0" borderId="0" xfId="0" applyFont="1" applyFill="1" applyAlignment="1" applyProtection="1"/>
    <xf numFmtId="0" fontId="74" fillId="0" borderId="0" xfId="0" applyFont="1" applyProtection="1"/>
    <xf numFmtId="0" fontId="68" fillId="0" borderId="0" xfId="0" quotePrefix="1" applyFont="1" applyFill="1" applyAlignment="1" applyProtection="1">
      <alignment horizontal="center" vertical="center"/>
    </xf>
    <xf numFmtId="0" fontId="68" fillId="0" borderId="0" xfId="0" applyFont="1" applyFill="1" applyAlignment="1" applyProtection="1">
      <alignment horizontal="right"/>
    </xf>
    <xf numFmtId="0" fontId="68" fillId="0" borderId="0" xfId="0" quotePrefix="1" applyFont="1" applyFill="1" applyAlignment="1" applyProtection="1"/>
    <xf numFmtId="0" fontId="58" fillId="0" borderId="0" xfId="0" applyFont="1" applyFill="1" applyAlignment="1" applyProtection="1"/>
    <xf numFmtId="0" fontId="68" fillId="0" borderId="0" xfId="0" quotePrefix="1" applyFont="1" applyFill="1" applyAlignment="1" applyProtection="1">
      <alignment horizontal="right"/>
    </xf>
    <xf numFmtId="0" fontId="68" fillId="0" borderId="0" xfId="0" quotePrefix="1" applyFont="1" applyFill="1" applyBorder="1" applyAlignment="1" applyProtection="1">
      <alignment horizontal="center" vertical="center"/>
    </xf>
    <xf numFmtId="0" fontId="58" fillId="0" borderId="15" xfId="0" applyFont="1" applyFill="1" applyBorder="1" applyAlignment="1" applyProtection="1">
      <alignment vertical="center"/>
    </xf>
    <xf numFmtId="0" fontId="68" fillId="0" borderId="0" xfId="0" applyNumberFormat="1" applyFont="1" applyFill="1" applyBorder="1" applyAlignment="1" applyProtection="1">
      <alignment horizontal="center" vertical="center"/>
    </xf>
    <xf numFmtId="0" fontId="54" fillId="0" borderId="0" xfId="0" applyFont="1" applyFill="1" applyProtection="1"/>
    <xf numFmtId="0" fontId="57" fillId="0" borderId="0" xfId="0" applyFont="1" applyFill="1" applyAlignment="1" applyProtection="1">
      <alignment vertical="center"/>
    </xf>
    <xf numFmtId="0" fontId="57" fillId="0" borderId="0" xfId="0" applyFont="1" applyFill="1" applyAlignment="1" applyProtection="1">
      <alignment horizontal="center" vertical="center"/>
    </xf>
    <xf numFmtId="0" fontId="57" fillId="0" borderId="0" xfId="0" applyFont="1" applyFill="1" applyAlignment="1" applyProtection="1"/>
    <xf numFmtId="0" fontId="57" fillId="0" borderId="0" xfId="0" applyFont="1" applyFill="1" applyAlignment="1" applyProtection="1">
      <alignment horizontal="left" vertical="center"/>
    </xf>
    <xf numFmtId="0" fontId="57" fillId="0" borderId="0" xfId="0" quotePrefix="1" applyFont="1" applyFill="1" applyAlignment="1" applyProtection="1">
      <alignment horizontal="center" vertical="center"/>
    </xf>
    <xf numFmtId="164" fontId="58" fillId="0" borderId="0" xfId="1" applyNumberFormat="1" applyFont="1" applyFill="1" applyAlignment="1" applyProtection="1">
      <alignment vertical="center"/>
    </xf>
    <xf numFmtId="0" fontId="77" fillId="0" borderId="0" xfId="0" applyFont="1" applyFill="1" applyAlignment="1" applyProtection="1">
      <alignment horizontal="right" vertical="center"/>
    </xf>
    <xf numFmtId="164" fontId="68" fillId="0" borderId="0" xfId="1" applyNumberFormat="1" applyFont="1" applyFill="1" applyAlignment="1" applyProtection="1">
      <alignment horizontal="center" vertical="center"/>
    </xf>
    <xf numFmtId="164" fontId="58" fillId="0" borderId="0" xfId="1" applyNumberFormat="1" applyFont="1" applyFill="1" applyAlignment="1" applyProtection="1">
      <alignment horizontal="center" vertical="center"/>
    </xf>
    <xf numFmtId="164" fontId="77" fillId="0" borderId="0" xfId="1" applyNumberFormat="1" applyFont="1" applyFill="1" applyBorder="1" applyAlignment="1" applyProtection="1">
      <alignment horizontal="right" vertical="center"/>
    </xf>
    <xf numFmtId="10" fontId="58" fillId="0" borderId="0" xfId="0" applyNumberFormat="1" applyFont="1" applyFill="1" applyAlignment="1" applyProtection="1">
      <alignment horizontal="center"/>
    </xf>
    <xf numFmtId="164" fontId="58" fillId="0" borderId="0" xfId="1" applyNumberFormat="1" applyFont="1" applyFill="1" applyAlignment="1" applyProtection="1">
      <alignment horizontal="center"/>
    </xf>
    <xf numFmtId="0" fontId="58" fillId="0" borderId="0" xfId="0" applyFont="1" applyFill="1" applyAlignment="1" applyProtection="1">
      <alignment horizontal="left" vertical="top"/>
    </xf>
    <xf numFmtId="0" fontId="58" fillId="0" borderId="0" xfId="0" applyFont="1" applyBorder="1" applyAlignment="1" applyProtection="1">
      <alignment horizontal="left" vertical="top"/>
    </xf>
    <xf numFmtId="0" fontId="78" fillId="0" borderId="5" xfId="0" applyFont="1" applyFill="1" applyBorder="1" applyAlignment="1" applyProtection="1">
      <alignment vertical="top"/>
    </xf>
    <xf numFmtId="0" fontId="78" fillId="0" borderId="6" xfId="0" applyFont="1" applyFill="1" applyBorder="1" applyAlignment="1" applyProtection="1">
      <alignment vertical="center"/>
    </xf>
    <xf numFmtId="4" fontId="78" fillId="0" borderId="6" xfId="1" applyNumberFormat="1" applyFont="1" applyFill="1" applyBorder="1" applyAlignment="1" applyProtection="1">
      <alignment horizontal="right" vertical="center"/>
    </xf>
    <xf numFmtId="171" fontId="78" fillId="0" borderId="7" xfId="0" applyNumberFormat="1" applyFont="1" applyFill="1" applyBorder="1" applyAlignment="1" applyProtection="1">
      <alignment horizontal="left" vertical="center"/>
    </xf>
    <xf numFmtId="4" fontId="78" fillId="0" borderId="14" xfId="1" applyNumberFormat="1" applyFont="1" applyFill="1" applyBorder="1" applyAlignment="1" applyProtection="1">
      <alignment horizontal="right" vertical="center"/>
    </xf>
    <xf numFmtId="0" fontId="78" fillId="0" borderId="15" xfId="0" applyFont="1" applyFill="1" applyBorder="1" applyAlignment="1" applyProtection="1">
      <alignment vertical="center"/>
    </xf>
    <xf numFmtId="164" fontId="77" fillId="0" borderId="0" xfId="1" applyNumberFormat="1" applyFont="1" applyFill="1" applyAlignment="1" applyProtection="1">
      <alignment horizontal="right" vertical="center"/>
    </xf>
    <xf numFmtId="6" fontId="58" fillId="0" borderId="0" xfId="0" applyNumberFormat="1" applyFont="1" applyFill="1" applyBorder="1" applyAlignment="1" applyProtection="1">
      <alignment horizontal="center" vertical="center"/>
    </xf>
    <xf numFmtId="0" fontId="78" fillId="0" borderId="0" xfId="0" applyFont="1" applyFill="1" applyAlignment="1" applyProtection="1">
      <alignment horizontal="right" vertical="center"/>
    </xf>
    <xf numFmtId="164" fontId="58" fillId="0" borderId="0" xfId="1" applyNumberFormat="1" applyFont="1" applyFill="1" applyBorder="1" applyProtection="1"/>
    <xf numFmtId="164" fontId="58" fillId="0" borderId="0" xfId="1" applyNumberFormat="1" applyFont="1" applyFill="1" applyProtection="1"/>
    <xf numFmtId="0" fontId="77" fillId="0" borderId="0" xfId="0" applyFont="1" applyFill="1" applyAlignment="1" applyProtection="1">
      <alignment horizontal="center" vertical="center"/>
    </xf>
    <xf numFmtId="38" fontId="68" fillId="0" borderId="0" xfId="0" applyNumberFormat="1" applyFont="1" applyFill="1" applyBorder="1" applyAlignment="1" applyProtection="1">
      <alignment horizontal="right" vertical="center"/>
    </xf>
    <xf numFmtId="164" fontId="58" fillId="0" borderId="0" xfId="1" applyNumberFormat="1" applyFont="1" applyFill="1" applyBorder="1" applyAlignment="1" applyProtection="1">
      <alignment horizontal="left" vertical="center"/>
    </xf>
    <xf numFmtId="0" fontId="79" fillId="0" borderId="0" xfId="0" applyFont="1" applyFill="1" applyBorder="1" applyAlignment="1" applyProtection="1">
      <alignment horizontal="right" vertical="center"/>
    </xf>
    <xf numFmtId="0" fontId="58" fillId="0" borderId="0" xfId="0" quotePrefix="1" applyFont="1" applyFill="1" applyAlignment="1" applyProtection="1">
      <alignment horizontal="right" vertical="center"/>
    </xf>
    <xf numFmtId="38" fontId="68" fillId="0" borderId="0" xfId="0" applyNumberFormat="1" applyFont="1" applyFill="1" applyBorder="1" applyAlignment="1" applyProtection="1">
      <alignment horizontal="center" vertical="center"/>
    </xf>
    <xf numFmtId="38" fontId="58" fillId="0" borderId="0" xfId="0" applyNumberFormat="1" applyFont="1" applyFill="1" applyBorder="1" applyAlignment="1" applyProtection="1">
      <alignment horizontal="center" vertical="center"/>
    </xf>
    <xf numFmtId="0" fontId="71" fillId="0" borderId="8" xfId="0" applyFont="1" applyFill="1" applyBorder="1" applyAlignment="1" applyProtection="1">
      <alignment horizontal="left" vertical="center"/>
    </xf>
    <xf numFmtId="0" fontId="71" fillId="0" borderId="0" xfId="0" applyFont="1" applyFill="1" applyAlignment="1" applyProtection="1">
      <alignment vertical="center"/>
    </xf>
    <xf numFmtId="0" fontId="13" fillId="4" borderId="18" xfId="0" applyFont="1" applyFill="1" applyBorder="1" applyAlignment="1" applyProtection="1">
      <alignment horizontal="center" vertical="center"/>
    </xf>
    <xf numFmtId="0" fontId="58" fillId="0" borderId="0" xfId="0" applyFont="1" applyFill="1" applyAlignment="1" applyProtection="1">
      <alignment horizontal="center"/>
    </xf>
    <xf numFmtId="10" fontId="58" fillId="0" borderId="3" xfId="0" applyNumberFormat="1" applyFont="1" applyFill="1" applyBorder="1" applyAlignment="1" applyProtection="1">
      <alignment horizontal="center" vertical="center"/>
    </xf>
    <xf numFmtId="0" fontId="58" fillId="0" borderId="0" xfId="0" applyFont="1" applyBorder="1" applyAlignment="1" applyProtection="1">
      <alignment vertical="center"/>
    </xf>
    <xf numFmtId="0" fontId="58" fillId="0" borderId="0" xfId="0" applyFont="1" applyFill="1" applyBorder="1" applyAlignment="1" applyProtection="1">
      <alignment vertical="center" wrapText="1"/>
    </xf>
    <xf numFmtId="0" fontId="58" fillId="0" borderId="0" xfId="0" applyFont="1" applyAlignment="1" applyProtection="1">
      <alignment horizontal="center" vertical="center"/>
    </xf>
    <xf numFmtId="0" fontId="71" fillId="0" borderId="0" xfId="0" applyFont="1" applyFill="1" applyAlignment="1" applyProtection="1">
      <alignment horizontal="left" vertical="center"/>
    </xf>
    <xf numFmtId="0" fontId="82" fillId="0" borderId="0" xfId="0" applyFont="1" applyFill="1" applyAlignment="1" applyProtection="1">
      <alignment horizontal="center" vertical="center"/>
    </xf>
    <xf numFmtId="0" fontId="11" fillId="0" borderId="0" xfId="0" applyFont="1" applyFill="1" applyAlignment="1" applyProtection="1">
      <alignment horizontal="centerContinuous" vertical="center"/>
    </xf>
    <xf numFmtId="0" fontId="27" fillId="0" borderId="0" xfId="0" applyFont="1" applyAlignment="1" applyProtection="1">
      <alignment horizontal="center"/>
    </xf>
    <xf numFmtId="0" fontId="13" fillId="0" borderId="0" xfId="0" quotePrefix="1" applyFont="1" applyFill="1" applyAlignment="1" applyProtection="1">
      <alignment horizontal="center" vertical="center"/>
    </xf>
    <xf numFmtId="0" fontId="6" fillId="0" borderId="0" xfId="0" applyFont="1" applyAlignment="1" applyProtection="1">
      <alignment horizontal="right" vertical="center"/>
    </xf>
    <xf numFmtId="0" fontId="6" fillId="0" borderId="0" xfId="0" applyFont="1" applyBorder="1" applyAlignment="1" applyProtection="1">
      <alignment vertical="center"/>
    </xf>
    <xf numFmtId="0" fontId="86" fillId="0" borderId="0" xfId="0" applyFont="1" applyFill="1" applyProtection="1"/>
    <xf numFmtId="0" fontId="87" fillId="0" borderId="0" xfId="0" applyFont="1" applyFill="1" applyProtection="1"/>
    <xf numFmtId="0" fontId="4" fillId="0" borderId="0" xfId="1" applyNumberFormat="1" applyFont="1" applyFill="1" applyAlignment="1" applyProtection="1">
      <alignment horizontal="center"/>
    </xf>
    <xf numFmtId="0" fontId="4" fillId="0" borderId="0" xfId="1" applyNumberFormat="1" applyFont="1" applyFill="1" applyBorder="1" applyAlignment="1" applyProtection="1">
      <alignment horizontal="center"/>
    </xf>
    <xf numFmtId="0" fontId="89" fillId="0" borderId="0" xfId="0" applyFont="1" applyFill="1" applyBorder="1" applyAlignment="1" applyProtection="1">
      <alignment horizontal="center" vertical="center"/>
    </xf>
    <xf numFmtId="0" fontId="50" fillId="0" borderId="0" xfId="0" applyFont="1" applyBorder="1" applyAlignment="1" applyProtection="1">
      <alignment vertical="center"/>
    </xf>
    <xf numFmtId="0" fontId="60" fillId="0" borderId="0" xfId="9" applyFont="1" applyAlignment="1" applyProtection="1">
      <alignment horizontal="center"/>
    </xf>
    <xf numFmtId="0" fontId="55" fillId="0" borderId="0" xfId="9" applyFont="1" applyProtection="1"/>
    <xf numFmtId="0" fontId="55" fillId="0" borderId="0" xfId="9" applyFont="1" applyAlignment="1" applyProtection="1">
      <alignment horizontal="left"/>
    </xf>
    <xf numFmtId="0" fontId="90" fillId="0" borderId="0" xfId="9" applyFont="1" applyAlignment="1" applyProtection="1">
      <alignment horizontal="center"/>
    </xf>
    <xf numFmtId="0" fontId="54" fillId="0" borderId="0" xfId="0" applyFont="1"/>
    <xf numFmtId="0" fontId="91" fillId="0" borderId="0" xfId="0" applyFont="1" applyAlignment="1">
      <alignment horizontal="center"/>
    </xf>
    <xf numFmtId="0" fontId="91" fillId="0" borderId="0" xfId="0" applyFont="1" applyAlignment="1" applyProtection="1">
      <alignment horizontal="center" vertical="center"/>
    </xf>
    <xf numFmtId="9" fontId="55" fillId="0" borderId="0" xfId="10" applyFont="1" applyBorder="1" applyAlignment="1" applyProtection="1">
      <alignment horizontal="center" vertical="center"/>
    </xf>
    <xf numFmtId="0" fontId="13" fillId="0" borderId="0" xfId="0" applyFont="1" applyBorder="1" applyProtection="1"/>
    <xf numFmtId="1" fontId="55" fillId="0" borderId="3" xfId="10" applyNumberFormat="1" applyFont="1" applyBorder="1" applyAlignment="1" applyProtection="1">
      <alignment horizontal="center" vertical="center"/>
    </xf>
    <xf numFmtId="9" fontId="55" fillId="0" borderId="0" xfId="10" applyFont="1" applyBorder="1" applyAlignment="1" applyProtection="1">
      <alignment horizontal="left" vertical="center"/>
    </xf>
    <xf numFmtId="0" fontId="27" fillId="0" borderId="0" xfId="0" applyFont="1" applyAlignment="1" applyProtection="1">
      <alignment horizontal="right"/>
    </xf>
    <xf numFmtId="0" fontId="27" fillId="0" borderId="0" xfId="0" applyFont="1" applyAlignment="1" applyProtection="1">
      <alignment horizontal="right" vertical="center"/>
    </xf>
    <xf numFmtId="0" fontId="0" fillId="0" borderId="0" xfId="0" applyAlignment="1" applyProtection="1">
      <alignment horizontal="right" vertical="center"/>
    </xf>
    <xf numFmtId="0" fontId="3" fillId="0" borderId="0" xfId="0" applyFont="1" applyAlignment="1" applyProtection="1">
      <alignment horizontal="right" vertical="center"/>
    </xf>
    <xf numFmtId="0" fontId="6" fillId="0" borderId="0" xfId="0" applyFont="1" applyAlignment="1" applyProtection="1">
      <alignment horizontal="right" vertical="top"/>
    </xf>
    <xf numFmtId="0" fontId="92" fillId="0" borderId="0" xfId="0" applyFont="1" applyAlignment="1">
      <alignment horizontal="center"/>
    </xf>
    <xf numFmtId="0" fontId="93" fillId="0" borderId="0" xfId="0" applyFont="1" applyAlignment="1">
      <alignment horizontal="center"/>
    </xf>
    <xf numFmtId="0" fontId="58" fillId="0" borderId="0" xfId="0" applyFont="1" applyBorder="1" applyAlignment="1">
      <alignment horizontal="justify" vertical="top" wrapText="1"/>
    </xf>
    <xf numFmtId="0" fontId="55" fillId="0" borderId="0" xfId="0" applyFont="1" applyFill="1" applyProtection="1"/>
    <xf numFmtId="3" fontId="7" fillId="4" borderId="3" xfId="0" applyNumberFormat="1" applyFont="1" applyFill="1" applyBorder="1" applyAlignment="1" applyProtection="1">
      <alignment horizontal="center" vertical="center"/>
    </xf>
    <xf numFmtId="0" fontId="3" fillId="0" borderId="0" xfId="0" quotePrefix="1" applyFont="1" applyFill="1" applyAlignment="1" applyProtection="1">
      <alignment horizontal="right" vertical="top"/>
    </xf>
    <xf numFmtId="0" fontId="3"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2" fillId="0" borderId="0" xfId="0" applyFont="1" applyFill="1" applyProtection="1"/>
    <xf numFmtId="0" fontId="55" fillId="0" borderId="0" xfId="0" applyFont="1" applyFill="1" applyAlignment="1" applyProtection="1">
      <alignment horizontal="left"/>
    </xf>
    <xf numFmtId="0" fontId="58" fillId="0" borderId="0" xfId="0" applyFont="1" applyFill="1" applyAlignment="1" applyProtection="1">
      <alignment vertical="top"/>
    </xf>
    <xf numFmtId="0" fontId="58" fillId="0" borderId="20" xfId="0" applyFont="1" applyFill="1" applyBorder="1" applyAlignment="1" applyProtection="1">
      <alignment vertical="center"/>
    </xf>
    <xf numFmtId="0" fontId="58" fillId="0" borderId="40" xfId="0" applyFont="1" applyFill="1" applyBorder="1" applyAlignment="1" applyProtection="1">
      <alignment vertical="center"/>
    </xf>
    <xf numFmtId="0" fontId="58" fillId="0" borderId="41" xfId="0" applyFont="1" applyFill="1" applyBorder="1" applyAlignment="1" applyProtection="1">
      <alignment vertical="center"/>
    </xf>
    <xf numFmtId="0" fontId="58" fillId="0" borderId="42" xfId="0" applyFont="1" applyFill="1" applyBorder="1" applyAlignment="1" applyProtection="1">
      <alignment vertical="center"/>
    </xf>
    <xf numFmtId="164" fontId="58" fillId="0" borderId="42" xfId="1" applyNumberFormat="1" applyFont="1" applyFill="1" applyBorder="1" applyAlignment="1" applyProtection="1">
      <alignment horizontal="center" vertical="center"/>
    </xf>
    <xf numFmtId="0" fontId="58" fillId="0" borderId="43" xfId="0" applyFont="1" applyFill="1" applyBorder="1" applyAlignment="1" applyProtection="1">
      <alignment vertical="center"/>
    </xf>
    <xf numFmtId="0" fontId="58" fillId="0" borderId="21" xfId="0" applyFont="1" applyFill="1" applyBorder="1" applyAlignment="1" applyProtection="1">
      <alignment vertical="center"/>
    </xf>
    <xf numFmtId="4" fontId="12" fillId="0" borderId="0" xfId="1" applyNumberFormat="1" applyFont="1" applyFill="1" applyAlignment="1" applyProtection="1">
      <alignment horizontal="center" vertical="center"/>
    </xf>
    <xf numFmtId="0" fontId="73" fillId="0" borderId="0" xfId="0" applyFont="1" applyFill="1" applyProtection="1"/>
    <xf numFmtId="0" fontId="70" fillId="0" borderId="0" xfId="0" applyFont="1" applyFill="1" applyAlignment="1" applyProtection="1"/>
    <xf numFmtId="0" fontId="94" fillId="0" borderId="0" xfId="0" applyFont="1" applyFill="1" applyBorder="1" applyAlignment="1" applyProtection="1">
      <alignment horizontal="left"/>
    </xf>
    <xf numFmtId="0" fontId="94" fillId="0" borderId="0" xfId="0" applyFont="1" applyAlignment="1" applyProtection="1">
      <alignment horizontal="left" vertical="center"/>
    </xf>
    <xf numFmtId="0" fontId="73" fillId="0" borderId="0" xfId="0" applyFont="1" applyAlignment="1" applyProtection="1">
      <alignment vertical="center"/>
    </xf>
    <xf numFmtId="0" fontId="87" fillId="0" borderId="0" xfId="0" applyFont="1" applyFill="1" applyBorder="1" applyAlignment="1" applyProtection="1">
      <alignment horizontal="center" vertical="center"/>
    </xf>
    <xf numFmtId="0" fontId="13" fillId="4" borderId="23" xfId="0" applyFont="1" applyFill="1" applyBorder="1" applyAlignment="1" applyProtection="1">
      <alignment horizontal="center" vertical="center"/>
    </xf>
    <xf numFmtId="0" fontId="95" fillId="0" borderId="0" xfId="0" applyFont="1" applyFill="1" applyAlignment="1" applyProtection="1">
      <alignment vertical="center"/>
    </xf>
    <xf numFmtId="10" fontId="58" fillId="0" borderId="0" xfId="0" applyNumberFormat="1" applyFont="1" applyFill="1" applyBorder="1" applyAlignment="1" applyProtection="1">
      <alignment horizontal="center"/>
    </xf>
    <xf numFmtId="164" fontId="58" fillId="0" borderId="9" xfId="1" applyNumberFormat="1" applyFont="1" applyFill="1" applyBorder="1" applyAlignment="1" applyProtection="1">
      <alignment horizontal="center"/>
    </xf>
    <xf numFmtId="0" fontId="77" fillId="0" borderId="9" xfId="0" applyFont="1" applyFill="1" applyBorder="1" applyAlignment="1" applyProtection="1">
      <alignment horizontal="right" vertical="center"/>
    </xf>
    <xf numFmtId="0" fontId="68" fillId="0" borderId="14" xfId="0" applyFont="1" applyFill="1" applyBorder="1" applyAlignment="1" applyProtection="1">
      <alignment horizontal="center" vertical="center"/>
    </xf>
    <xf numFmtId="0" fontId="96" fillId="0" borderId="0" xfId="0" applyFont="1" applyAlignment="1" applyProtection="1">
      <alignment horizontal="left" wrapText="1"/>
    </xf>
    <xf numFmtId="0" fontId="74" fillId="0" borderId="0" xfId="0" applyFont="1" applyAlignment="1" applyProtection="1">
      <alignment vertical="center"/>
    </xf>
    <xf numFmtId="0" fontId="74" fillId="0" borderId="0" xfId="0" applyFont="1" applyFill="1" applyProtection="1"/>
    <xf numFmtId="0" fontId="96" fillId="0" borderId="0" xfId="0" applyFont="1" applyFill="1" applyBorder="1" applyAlignment="1" applyProtection="1">
      <alignment horizontal="left"/>
    </xf>
    <xf numFmtId="0" fontId="96" fillId="0" borderId="0" xfId="0" applyFont="1" applyFill="1" applyBorder="1" applyAlignment="1" applyProtection="1">
      <alignment horizontal="left" wrapText="1"/>
    </xf>
    <xf numFmtId="0" fontId="74" fillId="0" borderId="0" xfId="0" applyFont="1" applyBorder="1" applyAlignment="1" applyProtection="1">
      <alignment horizontal="left" vertical="center"/>
    </xf>
    <xf numFmtId="0" fontId="74" fillId="0" borderId="0" xfId="0" applyFont="1" applyAlignment="1" applyProtection="1">
      <alignment horizontal="left" vertical="center"/>
    </xf>
    <xf numFmtId="0" fontId="74" fillId="0" borderId="0" xfId="0" applyFont="1" applyFill="1" applyBorder="1" applyAlignment="1" applyProtection="1">
      <alignment horizontal="left"/>
    </xf>
    <xf numFmtId="0" fontId="74" fillId="0" borderId="0" xfId="0" applyFont="1" applyAlignment="1" applyProtection="1">
      <alignment horizontal="left"/>
    </xf>
    <xf numFmtId="0" fontId="74" fillId="0" borderId="4" xfId="0" applyFont="1" applyFill="1" applyBorder="1" applyAlignment="1" applyProtection="1">
      <alignment wrapText="1"/>
    </xf>
    <xf numFmtId="0" fontId="74" fillId="0" borderId="0" xfId="0" applyFont="1" applyFill="1" applyBorder="1" applyAlignment="1" applyProtection="1">
      <alignment wrapText="1"/>
    </xf>
    <xf numFmtId="0" fontId="74" fillId="5" borderId="3" xfId="0" applyFont="1" applyFill="1" applyBorder="1" applyAlignment="1" applyProtection="1">
      <alignment horizontal="center"/>
    </xf>
    <xf numFmtId="0" fontId="64" fillId="0" borderId="0" xfId="0" applyFont="1" applyAlignment="1" applyProtection="1">
      <alignment horizontal="center"/>
    </xf>
    <xf numFmtId="0" fontId="55" fillId="0" borderId="0" xfId="0" applyFont="1" applyAlignment="1">
      <alignment horizontal="center"/>
    </xf>
    <xf numFmtId="10" fontId="58" fillId="0" borderId="14" xfId="0" applyNumberFormat="1" applyFont="1" applyFill="1" applyBorder="1" applyAlignment="1" applyProtection="1">
      <alignment horizontal="center" vertical="center"/>
    </xf>
    <xf numFmtId="174" fontId="58" fillId="0" borderId="0" xfId="0" applyNumberFormat="1" applyFont="1" applyFill="1" applyAlignment="1" applyProtection="1">
      <alignment horizontal="center"/>
    </xf>
    <xf numFmtId="166" fontId="58" fillId="0" borderId="0" xfId="0" applyNumberFormat="1" applyFont="1" applyFill="1" applyAlignment="1" applyProtection="1">
      <alignment horizontal="center" vertical="center"/>
    </xf>
    <xf numFmtId="0" fontId="58" fillId="0" borderId="0" xfId="0" applyFont="1" applyBorder="1" applyAlignment="1" applyProtection="1">
      <alignment horizontal="center" vertical="center"/>
    </xf>
    <xf numFmtId="0" fontId="91" fillId="0" borderId="0" xfId="0" applyFont="1" applyBorder="1" applyAlignment="1" applyProtection="1">
      <alignment horizontal="center" vertical="center"/>
    </xf>
    <xf numFmtId="9" fontId="54" fillId="0" borderId="0" xfId="0" applyNumberFormat="1" applyFont="1" applyFill="1" applyBorder="1" applyAlignment="1" applyProtection="1">
      <alignment horizontal="center" vertical="center"/>
    </xf>
    <xf numFmtId="9" fontId="54" fillId="0" borderId="2" xfId="0" applyNumberFormat="1" applyFont="1" applyFill="1" applyBorder="1" applyAlignment="1" applyProtection="1">
      <alignment horizontal="center" vertical="center"/>
    </xf>
    <xf numFmtId="0" fontId="12" fillId="0" borderId="6" xfId="0" applyFont="1" applyFill="1" applyBorder="1" applyAlignment="1" applyProtection="1">
      <alignment vertical="top"/>
    </xf>
    <xf numFmtId="4" fontId="58" fillId="0" borderId="0" xfId="0" applyNumberFormat="1" applyFont="1" applyFill="1" applyAlignment="1" applyProtection="1">
      <alignment horizontal="center" vertical="center"/>
    </xf>
    <xf numFmtId="3" fontId="11" fillId="0" borderId="16" xfId="0" applyNumberFormat="1" applyFont="1" applyFill="1" applyBorder="1" applyAlignment="1" applyProtection="1">
      <alignment vertical="center"/>
    </xf>
    <xf numFmtId="3" fontId="11" fillId="0" borderId="16" xfId="1" applyNumberFormat="1" applyFont="1" applyFill="1" applyBorder="1" applyAlignment="1" applyProtection="1">
      <alignment vertical="center"/>
    </xf>
    <xf numFmtId="3" fontId="11" fillId="0" borderId="13" xfId="0" applyNumberFormat="1" applyFont="1" applyFill="1" applyBorder="1" applyAlignment="1" applyProtection="1">
      <alignment vertical="center"/>
    </xf>
    <xf numFmtId="0" fontId="6" fillId="0" borderId="0" xfId="0" applyFont="1" applyFill="1" applyAlignment="1" applyProtection="1"/>
    <xf numFmtId="0" fontId="3" fillId="0" borderId="0" xfId="0" applyFont="1" applyFill="1" applyAlignment="1" applyProtection="1">
      <alignment horizontal="center"/>
    </xf>
    <xf numFmtId="0" fontId="47" fillId="0" borderId="0" xfId="0" applyFont="1" applyFill="1" applyAlignment="1" applyProtection="1">
      <alignment horizontal="left" vertical="center"/>
    </xf>
    <xf numFmtId="0" fontId="52" fillId="0" borderId="0" xfId="0" applyFont="1" applyFill="1" applyAlignment="1" applyProtection="1">
      <alignment horizontal="center" vertical="center"/>
    </xf>
    <xf numFmtId="0" fontId="34" fillId="0" borderId="0" xfId="0" applyFont="1" applyFill="1" applyAlignment="1" applyProtection="1"/>
    <xf numFmtId="0" fontId="51" fillId="0" borderId="0" xfId="0" applyFont="1" applyFill="1" applyProtection="1"/>
    <xf numFmtId="0" fontId="28" fillId="0" borderId="0" xfId="0" applyFont="1" applyBorder="1" applyAlignment="1" applyProtection="1">
      <alignment vertical="top" wrapText="1"/>
    </xf>
    <xf numFmtId="0" fontId="28" fillId="0" borderId="0" xfId="0" applyFont="1" applyBorder="1" applyProtection="1"/>
    <xf numFmtId="0" fontId="30" fillId="0" borderId="0" xfId="0" applyFont="1" applyFill="1" applyBorder="1" applyProtection="1"/>
    <xf numFmtId="0" fontId="35" fillId="0" borderId="0" xfId="0" applyFont="1" applyAlignment="1" applyProtection="1">
      <alignment horizontal="center"/>
    </xf>
    <xf numFmtId="0" fontId="28" fillId="0" borderId="0" xfId="0" applyFont="1" applyAlignment="1" applyProtection="1">
      <alignment vertical="center"/>
    </xf>
    <xf numFmtId="0" fontId="39" fillId="0" borderId="0" xfId="0" applyFont="1" applyAlignment="1"/>
    <xf numFmtId="0" fontId="41" fillId="0" borderId="0" xfId="0" applyFont="1" applyAlignment="1"/>
    <xf numFmtId="0" fontId="42" fillId="0" borderId="0" xfId="0" applyFont="1" applyAlignment="1"/>
    <xf numFmtId="0" fontId="58" fillId="0" borderId="46" xfId="0" applyFont="1" applyFill="1" applyBorder="1" applyAlignment="1" applyProtection="1">
      <alignment vertical="center"/>
    </xf>
    <xf numFmtId="0" fontId="54" fillId="0" borderId="46" xfId="0" applyFont="1" applyFill="1" applyBorder="1" applyAlignment="1" applyProtection="1">
      <alignment vertical="top"/>
    </xf>
    <xf numFmtId="0" fontId="54" fillId="0" borderId="47" xfId="0" applyFont="1" applyFill="1" applyBorder="1" applyAlignment="1" applyProtection="1">
      <alignment vertical="top"/>
    </xf>
    <xf numFmtId="0" fontId="55" fillId="0" borderId="50" xfId="0" applyFont="1" applyFill="1" applyBorder="1" applyAlignment="1" applyProtection="1">
      <alignment horizontal="center" vertical="center"/>
    </xf>
    <xf numFmtId="0" fontId="13" fillId="4" borderId="35" xfId="0" applyFont="1" applyFill="1" applyBorder="1" applyAlignment="1" applyProtection="1">
      <alignment horizontal="center" vertical="center"/>
    </xf>
    <xf numFmtId="0" fontId="13" fillId="0" borderId="0" xfId="0" applyFont="1" applyFill="1" applyProtection="1"/>
    <xf numFmtId="0" fontId="27" fillId="0" borderId="0" xfId="0" applyFont="1" applyAlignment="1" applyProtection="1">
      <alignment horizontal="center" vertical="top"/>
    </xf>
    <xf numFmtId="0" fontId="18" fillId="0" borderId="0" xfId="0" applyFont="1" applyFill="1" applyAlignment="1" applyProtection="1">
      <alignment vertical="top"/>
    </xf>
    <xf numFmtId="0" fontId="11" fillId="0" borderId="0" xfId="0" applyFont="1" applyFill="1" applyAlignment="1" applyProtection="1">
      <alignment horizontal="center" vertical="top"/>
    </xf>
    <xf numFmtId="0" fontId="11" fillId="0" borderId="0" xfId="0" applyFont="1" applyFill="1" applyBorder="1" applyAlignment="1" applyProtection="1">
      <alignment horizontal="center" vertical="top"/>
    </xf>
    <xf numFmtId="0" fontId="7" fillId="4" borderId="11"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3" fillId="0" borderId="0" xfId="0" applyFont="1" applyFill="1" applyBorder="1" applyAlignment="1" applyProtection="1">
      <alignment horizontal="right"/>
    </xf>
    <xf numFmtId="0" fontId="2" fillId="0" borderId="0" xfId="0" applyFont="1" applyFill="1" applyAlignment="1" applyProtection="1">
      <alignment vertical="top"/>
    </xf>
    <xf numFmtId="0" fontId="12" fillId="4" borderId="3" xfId="0" applyFont="1" applyFill="1" applyBorder="1" applyAlignment="1" applyProtection="1">
      <alignment horizontal="center" vertical="center"/>
    </xf>
    <xf numFmtId="0" fontId="13" fillId="4" borderId="11" xfId="0" applyFont="1" applyFill="1" applyBorder="1" applyAlignment="1" applyProtection="1">
      <alignment horizontal="center" vertical="center"/>
    </xf>
    <xf numFmtId="0" fontId="2" fillId="0" borderId="0" xfId="0" applyFont="1" applyFill="1" applyAlignment="1" applyProtection="1">
      <alignment horizontal="center"/>
    </xf>
    <xf numFmtId="0" fontId="3" fillId="0" borderId="0" xfId="0" applyFont="1" applyFill="1" applyBorder="1" applyProtection="1"/>
    <xf numFmtId="0" fontId="102" fillId="0" borderId="0" xfId="0" applyFont="1" applyBorder="1" applyProtection="1"/>
    <xf numFmtId="0" fontId="103" fillId="0" borderId="0" xfId="0" applyFont="1" applyFill="1" applyAlignment="1" applyProtection="1">
      <alignment vertical="center"/>
    </xf>
    <xf numFmtId="0" fontId="104" fillId="0" borderId="0" xfId="0" applyFont="1" applyFill="1" applyBorder="1" applyAlignment="1" applyProtection="1">
      <alignment vertical="center" wrapText="1"/>
    </xf>
    <xf numFmtId="0" fontId="104" fillId="0" borderId="0" xfId="0" applyFont="1" applyFill="1" applyAlignment="1" applyProtection="1">
      <alignment vertical="center"/>
    </xf>
    <xf numFmtId="0" fontId="105" fillId="0" borderId="0" xfId="0" applyFont="1" applyFill="1" applyAlignment="1" applyProtection="1">
      <alignment horizontal="center" vertical="center"/>
    </xf>
    <xf numFmtId="0" fontId="103" fillId="0" borderId="0" xfId="0" applyFont="1" applyFill="1" applyProtection="1"/>
    <xf numFmtId="3" fontId="106" fillId="0" borderId="0" xfId="0" applyNumberFormat="1" applyFont="1" applyFill="1" applyBorder="1" applyAlignment="1" applyProtection="1">
      <alignment horizontal="center" vertical="center"/>
    </xf>
    <xf numFmtId="3" fontId="50" fillId="0" borderId="8" xfId="0" applyNumberFormat="1" applyFont="1" applyFill="1" applyBorder="1" applyAlignment="1" applyProtection="1">
      <alignment horizontal="center" vertical="center"/>
    </xf>
    <xf numFmtId="10" fontId="50" fillId="0" borderId="0" xfId="0" applyNumberFormat="1"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28" fillId="0" borderId="0" xfId="0" applyFont="1" applyFill="1" applyBorder="1" applyAlignment="1" applyProtection="1">
      <alignment vertical="center"/>
    </xf>
    <xf numFmtId="3" fontId="30" fillId="0" borderId="0" xfId="0" applyNumberFormat="1" applyFont="1" applyFill="1" applyBorder="1" applyAlignment="1" applyProtection="1">
      <alignment horizontal="center"/>
    </xf>
    <xf numFmtId="0" fontId="2" fillId="0" borderId="8" xfId="0" applyFont="1" applyFill="1" applyBorder="1" applyProtection="1"/>
    <xf numFmtId="0" fontId="80" fillId="0" borderId="0" xfId="0" applyFont="1" applyAlignment="1" applyProtection="1">
      <alignment horizontal="left" wrapText="1"/>
    </xf>
    <xf numFmtId="0" fontId="58" fillId="0" borderId="0" xfId="9" applyFont="1" applyAlignment="1" applyProtection="1">
      <alignment horizontal="left"/>
    </xf>
    <xf numFmtId="0" fontId="58" fillId="0" borderId="0" xfId="9" applyFont="1" applyProtection="1"/>
    <xf numFmtId="0" fontId="109" fillId="0" borderId="0" xfId="0" applyFont="1" applyFill="1" applyAlignment="1" applyProtection="1">
      <alignment horizontal="center" vertical="center"/>
    </xf>
    <xf numFmtId="0" fontId="83" fillId="0" borderId="45" xfId="0" applyFont="1" applyFill="1" applyBorder="1" applyAlignment="1" applyProtection="1">
      <alignment vertical="top"/>
    </xf>
    <xf numFmtId="0" fontId="112" fillId="0" borderId="0" xfId="0" applyFont="1" applyFill="1" applyAlignment="1" applyProtection="1">
      <alignment vertical="top"/>
    </xf>
    <xf numFmtId="0" fontId="112" fillId="0" borderId="0" xfId="0" applyFont="1" applyFill="1" applyAlignment="1" applyProtection="1">
      <alignment vertical="center"/>
    </xf>
    <xf numFmtId="0" fontId="112" fillId="0" borderId="0" xfId="0" applyFont="1" applyFill="1" applyBorder="1" applyAlignment="1" applyProtection="1">
      <alignment horizontal="left" vertical="top"/>
    </xf>
    <xf numFmtId="0" fontId="9" fillId="0" borderId="0" xfId="0" applyFont="1" applyFill="1" applyAlignment="1" applyProtection="1">
      <alignment horizontal="right"/>
    </xf>
    <xf numFmtId="0" fontId="18" fillId="0" borderId="0" xfId="0" applyFont="1" applyFill="1" applyAlignment="1" applyProtection="1"/>
    <xf numFmtId="0" fontId="6" fillId="0" borderId="0" xfId="0" applyFont="1" applyFill="1" applyBorder="1" applyAlignment="1" applyProtection="1"/>
    <xf numFmtId="0" fontId="0" fillId="0" borderId="0" xfId="0" applyAlignment="1" applyProtection="1"/>
    <xf numFmtId="10" fontId="13" fillId="0" borderId="3" xfId="0" applyNumberFormat="1" applyFont="1" applyFill="1" applyBorder="1" applyAlignment="1" applyProtection="1">
      <alignment horizontal="center"/>
    </xf>
    <xf numFmtId="0" fontId="3" fillId="0" borderId="0" xfId="0" applyFont="1" applyAlignment="1" applyProtection="1">
      <alignment horizontal="right"/>
    </xf>
    <xf numFmtId="0" fontId="3" fillId="0" borderId="0" xfId="0" applyFont="1" applyFill="1" applyAlignment="1" applyProtection="1">
      <alignment horizontal="left"/>
    </xf>
    <xf numFmtId="0" fontId="27"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Protection="1"/>
    <xf numFmtId="0" fontId="16" fillId="0" borderId="0" xfId="0" applyFont="1" applyProtection="1"/>
    <xf numFmtId="0" fontId="3" fillId="0" borderId="0" xfId="0" applyFont="1" applyAlignment="1" applyProtection="1">
      <alignment horizontal="left" vertical="center"/>
    </xf>
    <xf numFmtId="174" fontId="95" fillId="0" borderId="3" xfId="0" applyNumberFormat="1" applyFont="1" applyFill="1" applyBorder="1" applyAlignment="1" applyProtection="1">
      <alignment horizontal="center" vertical="center"/>
    </xf>
    <xf numFmtId="0" fontId="3" fillId="0" borderId="14" xfId="0" applyFont="1" applyFill="1" applyBorder="1" applyAlignment="1" applyProtection="1">
      <alignment vertical="center"/>
    </xf>
    <xf numFmtId="0" fontId="0" fillId="0" borderId="14" xfId="0" applyBorder="1" applyProtection="1"/>
    <xf numFmtId="0" fontId="3" fillId="0" borderId="15" xfId="0" applyFont="1" applyFill="1" applyBorder="1" applyProtection="1"/>
    <xf numFmtId="0" fontId="3" fillId="0" borderId="0" xfId="0" applyFont="1" applyAlignment="1" applyProtection="1">
      <alignment horizontal="center"/>
    </xf>
    <xf numFmtId="3" fontId="3" fillId="16" borderId="3" xfId="0" applyNumberFormat="1" applyFont="1" applyFill="1" applyBorder="1" applyAlignment="1" applyProtection="1">
      <alignment horizontal="center" vertical="center"/>
    </xf>
    <xf numFmtId="3" fontId="3" fillId="16" borderId="16" xfId="0" applyNumberFormat="1" applyFont="1" applyFill="1" applyBorder="1" applyAlignment="1" applyProtection="1">
      <alignment horizontal="center" vertical="center"/>
    </xf>
    <xf numFmtId="0" fontId="114" fillId="0" borderId="0" xfId="0"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3" fontId="3" fillId="16" borderId="11"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0" xfId="0" applyFont="1" applyFill="1" applyAlignment="1" applyProtection="1">
      <alignment horizontal="center" vertical="top"/>
    </xf>
    <xf numFmtId="0" fontId="7" fillId="4" borderId="3" xfId="0" applyFont="1" applyFill="1" applyBorder="1" applyAlignment="1" applyProtection="1">
      <alignment horizontal="center" vertical="top"/>
    </xf>
    <xf numFmtId="0" fontId="3" fillId="0" borderId="0" xfId="0" applyFont="1" applyAlignment="1" applyProtection="1">
      <alignment horizontal="center" vertical="top"/>
    </xf>
    <xf numFmtId="0" fontId="12" fillId="0" borderId="0" xfId="0" applyFont="1" applyFill="1" applyAlignment="1" applyProtection="1">
      <alignment horizontal="center" vertical="top"/>
    </xf>
    <xf numFmtId="0" fontId="3" fillId="0" borderId="0" xfId="0" quotePrefix="1" applyFont="1" applyFill="1" applyAlignment="1" applyProtection="1">
      <alignment horizontal="center" vertical="center"/>
    </xf>
    <xf numFmtId="0" fontId="6" fillId="0" borderId="0" xfId="0" applyFont="1" applyBorder="1" applyAlignment="1" applyProtection="1">
      <alignment vertical="top"/>
    </xf>
    <xf numFmtId="0" fontId="6" fillId="0" borderId="0" xfId="0" applyFont="1" applyAlignment="1" applyProtection="1">
      <alignment vertical="top"/>
    </xf>
    <xf numFmtId="0" fontId="27" fillId="0" borderId="0" xfId="0" applyFont="1" applyAlignment="1" applyProtection="1">
      <alignment horizontal="right" vertical="top"/>
    </xf>
    <xf numFmtId="0" fontId="13" fillId="4" borderId="18" xfId="0" applyFont="1" applyFill="1" applyBorder="1" applyAlignment="1" applyProtection="1">
      <alignment horizontal="center" vertical="top"/>
    </xf>
    <xf numFmtId="0" fontId="115" fillId="0" borderId="0" xfId="0" applyFont="1" applyAlignment="1" applyProtection="1">
      <alignment horizontal="left"/>
    </xf>
    <xf numFmtId="0" fontId="3" fillId="0" borderId="0" xfId="0" applyFont="1" applyBorder="1" applyProtection="1"/>
    <xf numFmtId="0" fontId="13" fillId="0" borderId="0" xfId="0" applyFont="1" applyProtection="1"/>
    <xf numFmtId="0" fontId="13" fillId="0" borderId="0" xfId="0" quotePrefix="1" applyFont="1" applyFill="1" applyAlignment="1" applyProtection="1">
      <alignment horizontal="center" vertical="top"/>
    </xf>
    <xf numFmtId="0" fontId="13" fillId="0" borderId="0" xfId="0" applyFont="1" applyAlignment="1" applyProtection="1">
      <alignment vertical="center"/>
    </xf>
    <xf numFmtId="0" fontId="20" fillId="0" borderId="0" xfId="0" quotePrefix="1" applyFont="1" applyFill="1" applyAlignment="1" applyProtection="1"/>
    <xf numFmtId="38" fontId="26"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top" wrapText="1"/>
    </xf>
    <xf numFmtId="0" fontId="3" fillId="0" borderId="0" xfId="0" applyFont="1" applyFill="1" applyAlignment="1" applyProtection="1">
      <alignment horizontal="right"/>
    </xf>
    <xf numFmtId="0" fontId="3" fillId="0" borderId="0" xfId="0" applyFont="1" applyFill="1" applyAlignment="1" applyProtection="1"/>
    <xf numFmtId="0" fontId="13" fillId="0" borderId="0" xfId="0" applyFont="1" applyAlignment="1" applyProtection="1">
      <alignment horizontal="center"/>
    </xf>
    <xf numFmtId="0" fontId="2" fillId="0" borderId="0" xfId="0" applyFont="1" applyFill="1" applyAlignment="1" applyProtection="1">
      <alignment horizontal="justify"/>
    </xf>
    <xf numFmtId="0" fontId="3" fillId="0" borderId="0" xfId="0" applyFont="1" applyFill="1" applyBorder="1" applyAlignment="1" applyProtection="1">
      <alignment horizontal="justify" vertical="center"/>
    </xf>
    <xf numFmtId="0" fontId="55" fillId="0" borderId="0" xfId="0" applyFont="1" applyFill="1" applyAlignment="1" applyProtection="1">
      <alignment horizontal="right" vertical="center"/>
    </xf>
    <xf numFmtId="37" fontId="55" fillId="0" borderId="0" xfId="1" applyNumberFormat="1" applyFont="1" applyAlignment="1" applyProtection="1">
      <alignment horizontal="center"/>
    </xf>
    <xf numFmtId="10" fontId="55" fillId="0" borderId="3" xfId="0" applyNumberFormat="1" applyFont="1" applyBorder="1" applyAlignment="1" applyProtection="1">
      <alignment vertical="center"/>
    </xf>
    <xf numFmtId="0" fontId="53" fillId="0" borderId="8" xfId="0" applyFont="1" applyFill="1" applyBorder="1" applyAlignment="1" applyProtection="1">
      <alignment vertical="center"/>
    </xf>
    <xf numFmtId="0" fontId="53" fillId="0" borderId="0" xfId="0" applyFont="1" applyFill="1" applyAlignment="1" applyProtection="1">
      <alignment vertical="center"/>
    </xf>
    <xf numFmtId="0" fontId="37" fillId="0" borderId="0" xfId="0" applyFont="1" applyFill="1" applyAlignment="1" applyProtection="1">
      <alignment vertical="center"/>
    </xf>
    <xf numFmtId="0" fontId="109" fillId="0" borderId="0" xfId="0" applyFont="1" applyFill="1" applyBorder="1" applyProtection="1"/>
    <xf numFmtId="0" fontId="7" fillId="4" borderId="17" xfId="0" applyFont="1" applyFill="1" applyBorder="1" applyAlignment="1" applyProtection="1">
      <alignment horizontal="center" vertical="top"/>
    </xf>
    <xf numFmtId="0" fontId="7" fillId="4" borderId="18" xfId="0" applyFont="1" applyFill="1" applyBorder="1" applyAlignment="1" applyProtection="1">
      <alignment horizontal="center" vertical="top"/>
    </xf>
    <xf numFmtId="0" fontId="7" fillId="4" borderId="19" xfId="0" applyFont="1" applyFill="1" applyBorder="1" applyAlignment="1" applyProtection="1">
      <alignment horizontal="center" vertical="top"/>
    </xf>
    <xf numFmtId="0" fontId="7" fillId="4" borderId="17"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117" fillId="0" borderId="0" xfId="0" applyFont="1" applyProtection="1"/>
    <xf numFmtId="0" fontId="118" fillId="0" borderId="0" xfId="0" applyFont="1" applyFill="1" applyProtection="1"/>
    <xf numFmtId="0" fontId="118" fillId="0" borderId="0" xfId="0" applyFont="1" applyProtection="1"/>
    <xf numFmtId="0" fontId="118" fillId="0" borderId="0" xfId="0" applyFont="1" applyAlignment="1" applyProtection="1">
      <alignment horizontal="left"/>
    </xf>
    <xf numFmtId="0" fontId="118" fillId="0" borderId="0" xfId="0" applyNumberFormat="1" applyFont="1" applyFill="1" applyProtection="1"/>
    <xf numFmtId="0" fontId="118" fillId="0" borderId="0" xfId="0" applyFont="1" applyFill="1" applyAlignment="1" applyProtection="1">
      <alignment horizontal="left"/>
    </xf>
    <xf numFmtId="0" fontId="118" fillId="0" borderId="0" xfId="0" applyFont="1" applyFill="1" applyAlignment="1" applyProtection="1">
      <alignment horizontal="left" vertical="center"/>
    </xf>
    <xf numFmtId="0" fontId="118" fillId="0" borderId="0" xfId="0" applyNumberFormat="1" applyFont="1" applyAlignment="1" applyProtection="1">
      <alignment horizontal="left" vertical="center"/>
    </xf>
    <xf numFmtId="0" fontId="119" fillId="0" borderId="0" xfId="0" applyFont="1" applyFill="1" applyProtection="1"/>
    <xf numFmtId="0" fontId="118" fillId="0" borderId="0" xfId="0" applyFont="1" applyFill="1" applyBorder="1" applyProtection="1"/>
    <xf numFmtId="0" fontId="119" fillId="0" borderId="0" xfId="0" applyFont="1" applyProtection="1"/>
    <xf numFmtId="0" fontId="120" fillId="0" borderId="0" xfId="0" applyFont="1" applyFill="1" applyProtection="1"/>
    <xf numFmtId="0" fontId="117" fillId="0" borderId="0" xfId="0" applyFont="1" applyFill="1" applyProtection="1"/>
    <xf numFmtId="0" fontId="121" fillId="0" borderId="0" xfId="0" applyFont="1" applyFill="1" applyAlignment="1" applyProtection="1">
      <alignment horizontal="center" vertical="center"/>
    </xf>
    <xf numFmtId="0" fontId="122" fillId="0" borderId="0" xfId="0" applyFont="1" applyAlignment="1" applyProtection="1">
      <alignment horizontal="left" wrapText="1"/>
    </xf>
    <xf numFmtId="0" fontId="122" fillId="0" borderId="0" xfId="0" applyFont="1" applyAlignment="1" applyProtection="1">
      <alignment horizontal="center" wrapText="1"/>
    </xf>
    <xf numFmtId="0" fontId="123" fillId="0" borderId="0" xfId="0" applyFont="1" applyProtection="1"/>
    <xf numFmtId="0" fontId="123" fillId="0" borderId="0" xfId="9" applyFont="1" applyAlignment="1" applyProtection="1">
      <alignment horizontal="left"/>
    </xf>
    <xf numFmtId="0" fontId="123" fillId="0" borderId="0" xfId="0" quotePrefix="1" applyNumberFormat="1" applyFont="1" applyProtection="1"/>
    <xf numFmtId="0" fontId="123" fillId="0" borderId="0" xfId="0" applyNumberFormat="1" applyFont="1" applyAlignment="1" applyProtection="1">
      <alignment horizontal="center"/>
    </xf>
    <xf numFmtId="0" fontId="123" fillId="0" borderId="0" xfId="9" applyFont="1" applyProtection="1"/>
    <xf numFmtId="0" fontId="124" fillId="0" borderId="0" xfId="0" applyFont="1" applyFill="1" applyAlignment="1" applyProtection="1"/>
    <xf numFmtId="0" fontId="123" fillId="0" borderId="0" xfId="0" applyFont="1" applyAlignment="1" applyProtection="1">
      <alignment horizontal="left"/>
    </xf>
    <xf numFmtId="0" fontId="110" fillId="0" borderId="0" xfId="0" applyFont="1" applyFill="1" applyAlignment="1" applyProtection="1"/>
    <xf numFmtId="0" fontId="117" fillId="0" borderId="0" xfId="0" applyFont="1" applyFill="1" applyAlignment="1" applyProtection="1">
      <alignment vertical="center"/>
    </xf>
    <xf numFmtId="0" fontId="117" fillId="0" borderId="0" xfId="0" applyFont="1" applyFill="1" applyAlignment="1" applyProtection="1">
      <alignment horizontal="center" vertical="center"/>
    </xf>
    <xf numFmtId="0" fontId="106" fillId="0" borderId="0" xfId="0" applyFont="1" applyFill="1" applyAlignment="1" applyProtection="1">
      <alignment vertical="center"/>
    </xf>
    <xf numFmtId="0" fontId="125" fillId="0" borderId="0" xfId="0" applyFont="1" applyFill="1" applyProtection="1"/>
    <xf numFmtId="0" fontId="125" fillId="0" borderId="0" xfId="0" applyFont="1" applyFill="1" applyAlignment="1" applyProtection="1">
      <alignment horizontal="center"/>
    </xf>
    <xf numFmtId="0" fontId="125" fillId="0" borderId="0" xfId="0" applyFont="1" applyFill="1" applyAlignment="1" applyProtection="1">
      <alignment vertical="center"/>
    </xf>
    <xf numFmtId="0" fontId="125" fillId="0" borderId="0" xfId="0" applyFont="1" applyFill="1" applyAlignment="1" applyProtection="1">
      <alignment horizontal="center" vertical="center"/>
    </xf>
    <xf numFmtId="0" fontId="117" fillId="0" borderId="0" xfId="0" applyFont="1" applyFill="1" applyAlignment="1" applyProtection="1">
      <alignment horizontal="center"/>
    </xf>
    <xf numFmtId="3" fontId="117" fillId="0" borderId="0" xfId="0" applyNumberFormat="1" applyFont="1" applyFill="1" applyAlignment="1" applyProtection="1">
      <alignment horizontal="center"/>
    </xf>
    <xf numFmtId="0" fontId="106" fillId="0" borderId="0" xfId="0" applyFont="1" applyFill="1" applyAlignment="1" applyProtection="1">
      <alignment horizontal="center"/>
    </xf>
    <xf numFmtId="3" fontId="106" fillId="0" borderId="0" xfId="0" applyNumberFormat="1" applyFont="1" applyFill="1" applyAlignment="1" applyProtection="1">
      <alignment horizontal="center"/>
    </xf>
    <xf numFmtId="0" fontId="117" fillId="0" borderId="0" xfId="0" applyFont="1" applyFill="1" applyBorder="1" applyProtection="1"/>
    <xf numFmtId="0" fontId="106" fillId="0" borderId="0" xfId="0" applyFont="1" applyFill="1" applyProtection="1"/>
    <xf numFmtId="0" fontId="126" fillId="0" borderId="0" xfId="0" applyFont="1" applyFill="1" applyBorder="1" applyAlignment="1" applyProtection="1">
      <alignment horizontal="right"/>
    </xf>
    <xf numFmtId="0" fontId="117" fillId="0" borderId="0" xfId="0" applyFont="1" applyFill="1" applyBorder="1" applyAlignment="1" applyProtection="1">
      <alignment vertical="center"/>
    </xf>
    <xf numFmtId="0" fontId="118" fillId="0" borderId="0" xfId="0" applyFont="1" applyFill="1" applyBorder="1" applyAlignment="1" applyProtection="1">
      <alignment vertical="center"/>
    </xf>
    <xf numFmtId="164" fontId="117" fillId="0" borderId="0" xfId="1" applyNumberFormat="1" applyFont="1" applyFill="1" applyBorder="1" applyAlignment="1" applyProtection="1">
      <alignment vertical="center"/>
    </xf>
    <xf numFmtId="0" fontId="106" fillId="0" borderId="0" xfId="0" applyFont="1" applyFill="1" applyBorder="1" applyAlignment="1" applyProtection="1">
      <alignment vertical="center"/>
    </xf>
    <xf numFmtId="0" fontId="125" fillId="0" borderId="0" xfId="0" applyFont="1" applyFill="1" applyBorder="1" applyAlignment="1" applyProtection="1">
      <alignment vertical="center"/>
    </xf>
    <xf numFmtId="0" fontId="118" fillId="0" borderId="0" xfId="0" applyFont="1" applyFill="1" applyAlignment="1" applyProtection="1">
      <alignment vertical="center"/>
    </xf>
    <xf numFmtId="0" fontId="54" fillId="0" borderId="0" xfId="0" applyFont="1" applyFill="1" applyBorder="1" applyAlignment="1" applyProtection="1">
      <alignment horizontal="left" vertical="top"/>
    </xf>
    <xf numFmtId="166" fontId="58" fillId="0" borderId="84" xfId="0" applyNumberFormat="1" applyFont="1" applyFill="1" applyBorder="1" applyAlignment="1" applyProtection="1">
      <alignment horizontal="center" vertical="center"/>
    </xf>
    <xf numFmtId="2" fontId="58" fillId="0" borderId="88" xfId="0" applyNumberFormat="1" applyFont="1" applyFill="1" applyBorder="1" applyAlignment="1" applyProtection="1">
      <alignment horizontal="center" vertical="center"/>
    </xf>
    <xf numFmtId="3" fontId="58" fillId="0" borderId="0" xfId="0" applyNumberFormat="1" applyFont="1" applyFill="1" applyAlignment="1" applyProtection="1">
      <alignment horizontal="center" vertical="center"/>
    </xf>
    <xf numFmtId="38" fontId="9" fillId="0" borderId="0" xfId="0" applyNumberFormat="1" applyFont="1" applyFill="1" applyAlignment="1" applyProtection="1">
      <alignment horizontal="center" vertical="center"/>
    </xf>
    <xf numFmtId="0" fontId="54" fillId="0" borderId="9" xfId="0" applyFont="1" applyFill="1" applyBorder="1" applyAlignment="1" applyProtection="1">
      <alignment vertical="top" wrapText="1"/>
    </xf>
    <xf numFmtId="0" fontId="54" fillId="0" borderId="0" xfId="0" applyFont="1" applyFill="1" applyBorder="1" applyAlignment="1" applyProtection="1">
      <alignment horizontal="justify" vertical="top" wrapText="1"/>
    </xf>
    <xf numFmtId="0" fontId="9" fillId="0" borderId="12" xfId="0" applyFont="1" applyFill="1" applyBorder="1" applyAlignment="1" applyProtection="1">
      <alignment horizontal="center" vertical="center"/>
    </xf>
    <xf numFmtId="0" fontId="10" fillId="0" borderId="93" xfId="0" applyFont="1" applyFill="1" applyBorder="1" applyAlignment="1" applyProtection="1">
      <alignment horizontal="center" vertical="center"/>
    </xf>
    <xf numFmtId="0" fontId="9" fillId="0" borderId="93" xfId="0" applyFont="1" applyFill="1" applyBorder="1" applyAlignment="1" applyProtection="1">
      <alignment horizontal="center" vertical="top"/>
    </xf>
    <xf numFmtId="0" fontId="54" fillId="0" borderId="94" xfId="0" applyFont="1" applyFill="1" applyBorder="1" applyAlignment="1" applyProtection="1">
      <alignment horizontal="justify" vertical="top" wrapText="1"/>
    </xf>
    <xf numFmtId="0" fontId="12" fillId="0" borderId="39" xfId="0" applyFont="1" applyFill="1" applyBorder="1" applyAlignment="1" applyProtection="1">
      <alignment horizontal="center" vertical="center"/>
    </xf>
    <xf numFmtId="0" fontId="24" fillId="0" borderId="3" xfId="0" applyFont="1" applyFill="1" applyBorder="1" applyAlignment="1" applyProtection="1">
      <alignment horizontal="center"/>
    </xf>
    <xf numFmtId="0" fontId="89" fillId="0" borderId="0" xfId="0" applyFont="1" applyFill="1" applyBorder="1" applyAlignment="1" applyProtection="1">
      <alignment horizontal="right" vertical="center"/>
    </xf>
    <xf numFmtId="0" fontId="3" fillId="0" borderId="0" xfId="0" applyFont="1" applyFill="1" applyAlignment="1" applyProtection="1">
      <alignment horizontal="right" vertical="center"/>
    </xf>
    <xf numFmtId="0" fontId="129" fillId="0" borderId="8" xfId="0" applyFont="1" applyFill="1" applyBorder="1" applyAlignment="1" applyProtection="1">
      <alignment vertical="center"/>
    </xf>
    <xf numFmtId="0" fontId="36" fillId="0" borderId="0" xfId="0" applyFont="1" applyFill="1" applyBorder="1" applyAlignment="1" applyProtection="1">
      <alignment vertical="center"/>
    </xf>
    <xf numFmtId="0" fontId="21" fillId="0" borderId="0" xfId="0" applyFont="1" applyFill="1" applyBorder="1" applyAlignment="1" applyProtection="1">
      <alignment vertical="top"/>
    </xf>
    <xf numFmtId="0" fontId="2" fillId="0" borderId="0" xfId="0" applyFont="1" applyFill="1" applyBorder="1" applyProtection="1"/>
    <xf numFmtId="0" fontId="2" fillId="0" borderId="0" xfId="0" applyFont="1" applyFill="1" applyBorder="1" applyAlignment="1" applyProtection="1">
      <alignment vertical="top"/>
    </xf>
    <xf numFmtId="0" fontId="2" fillId="0" borderId="0" xfId="0" applyFont="1" applyFill="1" applyBorder="1" applyAlignment="1" applyProtection="1">
      <alignment vertical="center"/>
    </xf>
    <xf numFmtId="0" fontId="2" fillId="0" borderId="0" xfId="0" applyFont="1" applyBorder="1" applyProtection="1"/>
    <xf numFmtId="0" fontId="123" fillId="0" borderId="0" xfId="0" applyFont="1" applyBorder="1" applyAlignment="1" applyProtection="1">
      <alignment horizontal="center" vertical="top" wrapText="1"/>
    </xf>
    <xf numFmtId="0" fontId="123" fillId="0" borderId="0" xfId="0" applyFont="1" applyBorder="1" applyAlignment="1" applyProtection="1">
      <alignment horizontal="left" vertical="top" wrapText="1"/>
    </xf>
    <xf numFmtId="0" fontId="123" fillId="0" borderId="0" xfId="0" applyFont="1" applyBorder="1" applyAlignment="1" applyProtection="1">
      <alignment vertical="top" wrapText="1"/>
    </xf>
    <xf numFmtId="0" fontId="123" fillId="0" borderId="0" xfId="0" applyFont="1" applyFill="1" applyBorder="1" applyAlignment="1" applyProtection="1">
      <alignment vertical="top" wrapText="1"/>
    </xf>
    <xf numFmtId="10" fontId="11" fillId="0" borderId="3" xfId="0" applyNumberFormat="1" applyFont="1" applyFill="1" applyBorder="1" applyProtection="1"/>
    <xf numFmtId="0" fontId="53" fillId="0" borderId="0" xfId="0" applyFont="1" applyFill="1" applyAlignment="1" applyProtection="1">
      <alignment vertical="center" wrapText="1"/>
    </xf>
    <xf numFmtId="0" fontId="117" fillId="0" borderId="0" xfId="0" applyFont="1" applyFill="1" applyBorder="1" applyAlignment="1" applyProtection="1">
      <alignment vertical="center" wrapText="1"/>
    </xf>
    <xf numFmtId="0" fontId="106" fillId="0" borderId="0" xfId="0" applyFont="1" applyFill="1" applyBorder="1" applyAlignment="1" applyProtection="1">
      <alignment vertical="center" wrapText="1"/>
    </xf>
    <xf numFmtId="0" fontId="106" fillId="0" borderId="0" xfId="0" applyFont="1" applyFill="1" applyBorder="1" applyAlignment="1" applyProtection="1">
      <alignment horizontal="center" vertical="center" wrapText="1"/>
    </xf>
    <xf numFmtId="3" fontId="50"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54" fillId="0" borderId="0" xfId="0" applyFont="1" applyFill="1" applyAlignment="1" applyProtection="1">
      <alignment horizontal="left" vertical="top" wrapText="1"/>
    </xf>
    <xf numFmtId="0" fontId="54" fillId="0" borderId="0" xfId="0" applyFont="1" applyFill="1" applyBorder="1" applyAlignment="1" applyProtection="1">
      <alignment horizontal="left" vertical="top" wrapText="1"/>
    </xf>
    <xf numFmtId="0" fontId="53" fillId="0" borderId="0" xfId="0" applyFont="1" applyFill="1" applyAlignment="1" applyProtection="1">
      <alignment horizontal="center" vertical="center" wrapText="1"/>
    </xf>
    <xf numFmtId="0" fontId="58" fillId="0" borderId="14" xfId="0" applyFont="1" applyFill="1" applyBorder="1" applyAlignment="1" applyProtection="1">
      <alignment horizontal="center" vertical="center"/>
    </xf>
    <xf numFmtId="0" fontId="58" fillId="0" borderId="0" xfId="0" applyFont="1" applyFill="1" applyBorder="1" applyAlignment="1" applyProtection="1">
      <alignment horizontal="left" vertical="center"/>
    </xf>
    <xf numFmtId="0" fontId="58" fillId="0" borderId="0" xfId="0" applyFont="1" applyFill="1" applyAlignment="1" applyProtection="1">
      <alignment horizontal="center" vertical="center"/>
    </xf>
    <xf numFmtId="0" fontId="58" fillId="0" borderId="0" xfId="0" applyFont="1" applyFill="1" applyBorder="1" applyAlignment="1" applyProtection="1">
      <alignment horizontal="left"/>
    </xf>
    <xf numFmtId="0" fontId="68" fillId="0" borderId="0" xfId="0" applyFont="1" applyFill="1" applyBorder="1" applyAlignment="1" applyProtection="1">
      <alignment horizontal="left"/>
    </xf>
    <xf numFmtId="0" fontId="7" fillId="0" borderId="0" xfId="0" applyFont="1" applyFill="1" applyAlignment="1" applyProtection="1">
      <alignment horizontal="left"/>
    </xf>
    <xf numFmtId="0" fontId="58" fillId="0" borderId="8" xfId="0" applyFont="1" applyFill="1" applyBorder="1" applyAlignment="1" applyProtection="1">
      <alignment vertical="center"/>
    </xf>
    <xf numFmtId="0" fontId="58" fillId="0" borderId="0" xfId="0" applyFont="1" applyFill="1" applyBorder="1" applyAlignment="1" applyProtection="1">
      <alignment vertical="center"/>
    </xf>
    <xf numFmtId="0" fontId="58" fillId="0" borderId="5" xfId="0" applyFont="1" applyFill="1" applyBorder="1" applyAlignment="1" applyProtection="1">
      <alignment vertical="center"/>
    </xf>
    <xf numFmtId="0" fontId="58" fillId="0" borderId="6" xfId="0" applyFont="1" applyFill="1" applyBorder="1" applyAlignment="1" applyProtection="1">
      <alignment vertical="center"/>
    </xf>
    <xf numFmtId="0" fontId="58" fillId="0" borderId="0" xfId="0" applyFont="1" applyFill="1" applyBorder="1" applyAlignment="1" applyProtection="1">
      <alignment horizontal="center" vertical="center"/>
    </xf>
    <xf numFmtId="0" fontId="58" fillId="0" borderId="10" xfId="0" applyFont="1" applyFill="1" applyBorder="1" applyAlignment="1" applyProtection="1">
      <alignment vertical="center"/>
    </xf>
    <xf numFmtId="0" fontId="58" fillId="0" borderId="14" xfId="0" applyFont="1" applyFill="1" applyBorder="1" applyAlignment="1" applyProtection="1">
      <alignment vertical="center"/>
    </xf>
    <xf numFmtId="0" fontId="58" fillId="0" borderId="9" xfId="0" applyFont="1" applyFill="1" applyBorder="1" applyAlignment="1" applyProtection="1">
      <alignment vertical="center"/>
    </xf>
    <xf numFmtId="0" fontId="58" fillId="0" borderId="14" xfId="0" applyFont="1" applyFill="1" applyBorder="1" applyAlignment="1" applyProtection="1">
      <alignment horizontal="left" vertical="center"/>
    </xf>
    <xf numFmtId="0" fontId="58" fillId="0" borderId="7" xfId="0" applyFont="1" applyFill="1" applyBorder="1" applyAlignment="1" applyProtection="1">
      <alignment vertical="center"/>
    </xf>
    <xf numFmtId="0" fontId="58" fillId="0" borderId="88" xfId="0" applyFont="1" applyFill="1" applyBorder="1" applyAlignment="1" applyProtection="1">
      <alignment horizontal="center" vertical="center"/>
    </xf>
    <xf numFmtId="164" fontId="58" fillId="0" borderId="0" xfId="1" applyNumberFormat="1" applyFont="1" applyFill="1" applyBorder="1" applyAlignment="1" applyProtection="1">
      <alignment horizontal="center" vertical="center"/>
    </xf>
    <xf numFmtId="0" fontId="68" fillId="0" borderId="0" xfId="0" applyFont="1" applyFill="1" applyAlignment="1" applyProtection="1">
      <alignment horizontal="center" vertical="center"/>
    </xf>
    <xf numFmtId="171" fontId="68" fillId="0" borderId="0" xfId="0" applyNumberFormat="1"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7" fillId="0" borderId="0" xfId="0" applyFont="1" applyAlignment="1" applyProtection="1">
      <alignment horizontal="center"/>
    </xf>
    <xf numFmtId="0" fontId="9" fillId="0" borderId="0" xfId="0" applyFont="1" applyFill="1" applyAlignment="1" applyProtection="1">
      <alignment horizontal="center" vertical="center"/>
    </xf>
    <xf numFmtId="0" fontId="107"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98" fillId="0" borderId="0" xfId="0" applyNumberFormat="1" applyFont="1" applyAlignment="1" applyProtection="1">
      <alignment horizontal="center" vertical="center" wrapText="1"/>
    </xf>
    <xf numFmtId="0" fontId="30" fillId="0" borderId="0" xfId="0" applyNumberFormat="1" applyFont="1" applyAlignment="1" applyProtection="1">
      <alignment horizontal="center" vertical="center" wrapText="1"/>
    </xf>
    <xf numFmtId="0" fontId="3" fillId="0" borderId="0" xfId="0" applyFont="1" applyFill="1" applyBorder="1" applyAlignment="1" applyProtection="1">
      <alignment horizontal="left" vertical="center" wrapText="1"/>
    </xf>
    <xf numFmtId="0" fontId="7" fillId="0" borderId="0" xfId="0" applyFont="1" applyFill="1" applyAlignment="1" applyProtection="1">
      <alignment horizontal="center"/>
    </xf>
    <xf numFmtId="0" fontId="1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7" fillId="0" borderId="0" xfId="0" applyFont="1" applyFill="1" applyAlignment="1" applyProtection="1">
      <alignment horizontal="left" vertical="center"/>
    </xf>
    <xf numFmtId="0" fontId="16" fillId="0" borderId="0" xfId="0" applyFont="1" applyAlignment="1" applyProtection="1">
      <alignment horizontal="center"/>
    </xf>
    <xf numFmtId="0" fontId="0" fillId="0" borderId="0" xfId="0" applyAlignment="1" applyProtection="1">
      <alignment vertical="center" wrapText="1"/>
    </xf>
    <xf numFmtId="0" fontId="13" fillId="0" borderId="14" xfId="0" applyFont="1" applyFill="1" applyBorder="1" applyAlignment="1" applyProtection="1">
      <alignment horizontal="left" vertical="center"/>
    </xf>
    <xf numFmtId="0" fontId="85" fillId="0" borderId="0" xfId="0" applyFont="1" applyAlignment="1" applyProtection="1">
      <alignment horizontal="center"/>
    </xf>
    <xf numFmtId="0" fontId="3" fillId="0" borderId="0" xfId="0" applyFont="1" applyFill="1" applyAlignment="1" applyProtection="1">
      <alignment horizontal="left" vertical="top" wrapText="1"/>
    </xf>
    <xf numFmtId="167" fontId="58" fillId="0" borderId="0" xfId="0" applyNumberFormat="1" applyFont="1" applyFill="1" applyBorder="1" applyAlignment="1" applyProtection="1">
      <alignment vertical="center"/>
    </xf>
    <xf numFmtId="1" fontId="58" fillId="0" borderId="0" xfId="0" applyNumberFormat="1" applyFont="1" applyFill="1" applyBorder="1" applyAlignment="1" applyProtection="1">
      <alignment horizontal="center" vertical="center"/>
    </xf>
    <xf numFmtId="0" fontId="54" fillId="0" borderId="0" xfId="0" applyFont="1" applyFill="1" applyBorder="1" applyAlignment="1" applyProtection="1">
      <alignment horizontal="left" vertical="top" wrapText="1"/>
    </xf>
    <xf numFmtId="0" fontId="54" fillId="0" borderId="9" xfId="0" applyFont="1" applyFill="1" applyBorder="1" applyAlignment="1" applyProtection="1">
      <alignment horizontal="left" vertical="top" wrapText="1"/>
    </xf>
    <xf numFmtId="0" fontId="54" fillId="0" borderId="0" xfId="0" applyFont="1" applyFill="1" applyAlignment="1" applyProtection="1">
      <alignment horizontal="left" vertical="top" wrapText="1"/>
    </xf>
    <xf numFmtId="0" fontId="57" fillId="0" borderId="0" xfId="0" applyFont="1" applyFill="1" applyBorder="1" applyAlignment="1" applyProtection="1">
      <alignment horizontal="left" vertical="top" wrapText="1"/>
    </xf>
    <xf numFmtId="0" fontId="35" fillId="8"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5"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54" fillId="0" borderId="0" xfId="0" applyFont="1" applyFill="1" applyAlignment="1" applyProtection="1">
      <alignment horizontal="left" wrapText="1"/>
    </xf>
    <xf numFmtId="0" fontId="54" fillId="0" borderId="9" xfId="0" applyFont="1" applyFill="1" applyBorder="1" applyAlignment="1" applyProtection="1">
      <alignment horizontal="left" wrapText="1"/>
    </xf>
    <xf numFmtId="0" fontId="49" fillId="0" borderId="14" xfId="0" applyFont="1" applyFill="1" applyBorder="1" applyAlignment="1" applyProtection="1">
      <alignment horizontal="center" vertical="center" wrapText="1"/>
    </xf>
    <xf numFmtId="0" fontId="68" fillId="0" borderId="8" xfId="0" applyFont="1" applyFill="1" applyBorder="1" applyAlignment="1" applyProtection="1">
      <alignment horizontal="left" vertical="top" wrapText="1"/>
    </xf>
    <xf numFmtId="0" fontId="68" fillId="0" borderId="0" xfId="0" applyFont="1" applyFill="1" applyBorder="1" applyAlignment="1" applyProtection="1">
      <alignment horizontal="left" vertical="top" wrapText="1"/>
    </xf>
    <xf numFmtId="0" fontId="53" fillId="0" borderId="0" xfId="0" applyFont="1" applyFill="1" applyAlignment="1" applyProtection="1">
      <alignment horizontal="center" vertical="center" wrapText="1"/>
    </xf>
    <xf numFmtId="0" fontId="58" fillId="0" borderId="0" xfId="0" applyFont="1" applyFill="1" applyBorder="1" applyAlignment="1" applyProtection="1">
      <alignment horizontal="left" vertical="center"/>
    </xf>
    <xf numFmtId="0" fontId="74" fillId="5" borderId="37" xfId="0" applyFont="1" applyFill="1" applyBorder="1" applyAlignment="1" applyProtection="1">
      <alignment horizontal="left"/>
    </xf>
    <xf numFmtId="0" fontId="74" fillId="5" borderId="2" xfId="0" applyFont="1" applyFill="1" applyBorder="1" applyAlignment="1" applyProtection="1">
      <alignment horizontal="left"/>
    </xf>
    <xf numFmtId="0" fontId="74" fillId="5" borderId="38" xfId="0" applyFont="1" applyFill="1" applyBorder="1" applyAlignment="1" applyProtection="1">
      <alignment horizontal="left"/>
    </xf>
    <xf numFmtId="0" fontId="58" fillId="0" borderId="0" xfId="0" applyFont="1" applyBorder="1" applyAlignment="1" applyProtection="1">
      <alignment horizontal="left"/>
    </xf>
    <xf numFmtId="0" fontId="68" fillId="0" borderId="0" xfId="0" applyFont="1" applyFill="1" applyBorder="1" applyAlignment="1" applyProtection="1">
      <alignment horizontal="left"/>
    </xf>
    <xf numFmtId="0" fontId="70" fillId="8" borderId="56" xfId="0" applyFont="1" applyFill="1" applyBorder="1" applyAlignment="1" applyProtection="1">
      <alignment horizontal="center" vertical="center"/>
    </xf>
    <xf numFmtId="0" fontId="70" fillId="8" borderId="57" xfId="0" applyFont="1" applyFill="1" applyBorder="1" applyAlignment="1" applyProtection="1">
      <alignment horizontal="center" vertical="center"/>
    </xf>
    <xf numFmtId="0" fontId="70" fillId="8" borderId="58" xfId="0" applyFont="1" applyFill="1" applyBorder="1" applyAlignment="1" applyProtection="1">
      <alignment horizontal="center" vertical="center"/>
    </xf>
    <xf numFmtId="0" fontId="58" fillId="0" borderId="14" xfId="0" applyFont="1" applyFill="1" applyBorder="1" applyAlignment="1" applyProtection="1">
      <alignment horizontal="center" vertical="center"/>
    </xf>
    <xf numFmtId="0" fontId="58" fillId="0" borderId="14" xfId="0" applyFont="1" applyFill="1" applyBorder="1" applyAlignment="1" applyProtection="1">
      <alignment horizontal="center"/>
    </xf>
    <xf numFmtId="42" fontId="58" fillId="0" borderId="37" xfId="2" applyNumberFormat="1" applyFont="1" applyFill="1" applyBorder="1" applyAlignment="1" applyProtection="1">
      <alignment horizontal="center" vertical="center"/>
    </xf>
    <xf numFmtId="42" fontId="58" fillId="0" borderId="38" xfId="2" applyNumberFormat="1" applyFont="1" applyFill="1" applyBorder="1" applyAlignment="1" applyProtection="1">
      <alignment horizontal="center" vertical="center"/>
    </xf>
    <xf numFmtId="42" fontId="11" fillId="0" borderId="37" xfId="2" applyNumberFormat="1" applyFont="1" applyFill="1" applyBorder="1" applyAlignment="1" applyProtection="1">
      <alignment horizontal="center" vertical="center"/>
    </xf>
    <xf numFmtId="42" fontId="11" fillId="0" borderId="38" xfId="2" applyNumberFormat="1" applyFont="1" applyFill="1" applyBorder="1" applyAlignment="1" applyProtection="1">
      <alignment horizontal="center" vertical="center"/>
    </xf>
    <xf numFmtId="0" fontId="5" fillId="0" borderId="0" xfId="6" applyFill="1" applyBorder="1" applyAlignment="1" applyProtection="1">
      <alignment horizontal="left" vertical="center"/>
    </xf>
    <xf numFmtId="0" fontId="58" fillId="0" borderId="0" xfId="0" applyFont="1" applyFill="1" applyBorder="1" applyAlignment="1" applyProtection="1">
      <alignment horizontal="center" wrapText="1"/>
    </xf>
    <xf numFmtId="0" fontId="58" fillId="0" borderId="14" xfId="0" applyFont="1" applyBorder="1" applyAlignment="1" applyProtection="1">
      <alignment wrapText="1"/>
    </xf>
    <xf numFmtId="0" fontId="58" fillId="0" borderId="0" xfId="0" applyFont="1" applyFill="1" applyBorder="1" applyAlignment="1" applyProtection="1">
      <alignment horizontal="left"/>
    </xf>
    <xf numFmtId="0" fontId="5" fillId="0" borderId="21" xfId="6" applyFill="1" applyBorder="1" applyAlignment="1" applyProtection="1">
      <alignment horizontal="left" vertical="center"/>
    </xf>
    <xf numFmtId="0" fontId="5" fillId="0" borderId="62" xfId="6" applyFill="1" applyBorder="1" applyAlignment="1" applyProtection="1">
      <alignment horizontal="left" vertical="center"/>
    </xf>
    <xf numFmtId="0" fontId="68" fillId="0" borderId="89" xfId="0" applyFont="1" applyFill="1" applyBorder="1" applyAlignment="1" applyProtection="1">
      <alignment horizontal="center" vertical="center"/>
    </xf>
    <xf numFmtId="0" fontId="58" fillId="0" borderId="8" xfId="0" applyFont="1" applyFill="1" applyBorder="1" applyAlignment="1" applyProtection="1">
      <alignment horizontal="center" vertical="center"/>
    </xf>
    <xf numFmtId="0" fontId="58" fillId="0" borderId="0" xfId="0" applyFont="1" applyFill="1" applyAlignment="1" applyProtection="1">
      <alignment horizontal="center" vertical="center"/>
    </xf>
    <xf numFmtId="0" fontId="58" fillId="0" borderId="9" xfId="0" applyFont="1" applyFill="1" applyBorder="1" applyAlignment="1" applyProtection="1">
      <alignment horizontal="center" vertical="center"/>
    </xf>
    <xf numFmtId="0" fontId="58" fillId="0" borderId="8" xfId="0" applyFont="1" applyBorder="1" applyAlignment="1" applyProtection="1">
      <alignment horizontal="center"/>
    </xf>
    <xf numFmtId="0" fontId="58" fillId="0" borderId="9" xfId="0" applyFont="1" applyBorder="1" applyAlignment="1" applyProtection="1">
      <alignment horizontal="center"/>
    </xf>
    <xf numFmtId="0" fontId="68" fillId="0" borderId="0" xfId="0" applyFont="1" applyFill="1" applyBorder="1" applyAlignment="1" applyProtection="1">
      <alignment horizontal="left" wrapText="1"/>
    </xf>
    <xf numFmtId="0" fontId="70" fillId="8" borderId="37" xfId="0" applyFont="1" applyFill="1" applyBorder="1" applyAlignment="1" applyProtection="1">
      <alignment horizontal="center" vertical="center"/>
    </xf>
    <xf numFmtId="0" fontId="70" fillId="8" borderId="2" xfId="0" applyFont="1" applyFill="1" applyBorder="1" applyAlignment="1" applyProtection="1">
      <alignment horizontal="center" vertical="center"/>
    </xf>
    <xf numFmtId="0" fontId="70" fillId="8" borderId="38" xfId="0" applyFont="1" applyFill="1" applyBorder="1" applyAlignment="1" applyProtection="1">
      <alignment horizontal="center" vertical="center"/>
    </xf>
    <xf numFmtId="0" fontId="58" fillId="0" borderId="5" xfId="0" applyFont="1" applyFill="1" applyBorder="1" applyAlignment="1" applyProtection="1">
      <alignment horizontal="center" vertical="center" wrapText="1"/>
    </xf>
    <xf numFmtId="0" fontId="57" fillId="0" borderId="11" xfId="0" applyFont="1" applyFill="1" applyBorder="1" applyAlignment="1" applyProtection="1">
      <alignment horizontal="center" vertical="top" wrapText="1"/>
    </xf>
    <xf numFmtId="0" fontId="54" fillId="0" borderId="12" xfId="0" applyFont="1" applyFill="1" applyBorder="1" applyAlignment="1" applyProtection="1">
      <alignment horizontal="center" vertical="top" wrapText="1"/>
    </xf>
    <xf numFmtId="0" fontId="54" fillId="0" borderId="13" xfId="0" applyFont="1" applyFill="1" applyBorder="1" applyAlignment="1" applyProtection="1">
      <alignment horizontal="center" vertical="top" wrapText="1"/>
    </xf>
    <xf numFmtId="0" fontId="68" fillId="0" borderId="11" xfId="0" applyFont="1" applyFill="1" applyBorder="1" applyAlignment="1" applyProtection="1">
      <alignment horizontal="center" vertical="top" wrapText="1"/>
    </xf>
    <xf numFmtId="0" fontId="68" fillId="0" borderId="12" xfId="0" applyFont="1" applyFill="1" applyBorder="1" applyAlignment="1" applyProtection="1">
      <alignment horizontal="center" vertical="top" wrapText="1"/>
    </xf>
    <xf numFmtId="0" fontId="58" fillId="0" borderId="12" xfId="0" applyFont="1" applyFill="1" applyBorder="1" applyAlignment="1" applyProtection="1">
      <alignment horizontal="center" vertical="top" wrapText="1"/>
    </xf>
    <xf numFmtId="0" fontId="58" fillId="0" borderId="13" xfId="0" applyFont="1" applyFill="1" applyBorder="1" applyAlignment="1" applyProtection="1">
      <alignment horizontal="center" vertical="top" wrapText="1"/>
    </xf>
    <xf numFmtId="0" fontId="68" fillId="0" borderId="5" xfId="0" applyFont="1" applyFill="1" applyBorder="1" applyAlignment="1" applyProtection="1">
      <alignment horizontal="center" vertical="top" wrapText="1"/>
    </xf>
    <xf numFmtId="0" fontId="68" fillId="0" borderId="6" xfId="0" applyFont="1" applyFill="1" applyBorder="1" applyAlignment="1" applyProtection="1">
      <alignment horizontal="center" vertical="top" wrapText="1"/>
    </xf>
    <xf numFmtId="0" fontId="68" fillId="0" borderId="7" xfId="0" applyFont="1" applyFill="1" applyBorder="1" applyAlignment="1" applyProtection="1">
      <alignment horizontal="center" vertical="top" wrapText="1"/>
    </xf>
    <xf numFmtId="0" fontId="68" fillId="0" borderId="8" xfId="0" applyFont="1" applyFill="1" applyBorder="1" applyAlignment="1" applyProtection="1">
      <alignment horizontal="center" vertical="top" wrapText="1"/>
    </xf>
    <xf numFmtId="0" fontId="68" fillId="0" borderId="0" xfId="0" applyFont="1" applyFill="1" applyBorder="1" applyAlignment="1" applyProtection="1">
      <alignment horizontal="center" vertical="top" wrapText="1"/>
    </xf>
    <xf numFmtId="0" fontId="68" fillId="0" borderId="9" xfId="0" applyFont="1" applyFill="1" applyBorder="1" applyAlignment="1" applyProtection="1">
      <alignment horizontal="center" vertical="top" wrapText="1"/>
    </xf>
    <xf numFmtId="0" fontId="68" fillId="0" borderId="10" xfId="0" applyFont="1" applyFill="1" applyBorder="1" applyAlignment="1" applyProtection="1">
      <alignment horizontal="center" vertical="top" wrapText="1"/>
    </xf>
    <xf numFmtId="0" fontId="68" fillId="0" borderId="14" xfId="0" applyFont="1" applyFill="1" applyBorder="1" applyAlignment="1" applyProtection="1">
      <alignment horizontal="center" vertical="top" wrapText="1"/>
    </xf>
    <xf numFmtId="0" fontId="68" fillId="0" borderId="15" xfId="0" applyFont="1" applyFill="1" applyBorder="1" applyAlignment="1" applyProtection="1">
      <alignment horizontal="center" vertical="top" wrapText="1"/>
    </xf>
    <xf numFmtId="0" fontId="58" fillId="0" borderId="7" xfId="0" applyFont="1" applyFill="1" applyBorder="1" applyAlignment="1" applyProtection="1">
      <alignment horizontal="center" vertical="top" wrapText="1"/>
    </xf>
    <xf numFmtId="0" fontId="58" fillId="0" borderId="8" xfId="0" applyFont="1" applyFill="1" applyBorder="1" applyAlignment="1" applyProtection="1">
      <alignment horizontal="center" vertical="top" wrapText="1"/>
    </xf>
    <xf numFmtId="0" fontId="58" fillId="0" borderId="9" xfId="0" applyFont="1" applyFill="1" applyBorder="1" applyAlignment="1" applyProtection="1">
      <alignment horizontal="center" vertical="top" wrapText="1"/>
    </xf>
    <xf numFmtId="0" fontId="58" fillId="0" borderId="10" xfId="0" applyFont="1" applyFill="1" applyBorder="1" applyAlignment="1" applyProtection="1">
      <alignment horizontal="center" vertical="top" wrapText="1"/>
    </xf>
    <xf numFmtId="0" fontId="58" fillId="0" borderId="15" xfId="0" applyFont="1" applyFill="1" applyBorder="1" applyAlignment="1" applyProtection="1">
      <alignment horizontal="center" vertical="top" wrapText="1"/>
    </xf>
    <xf numFmtId="0" fontId="58" fillId="0" borderId="7" xfId="0" applyFont="1" applyFill="1" applyBorder="1" applyAlignment="1" applyProtection="1">
      <alignment vertical="top"/>
    </xf>
    <xf numFmtId="0" fontId="58" fillId="0" borderId="9" xfId="0" applyFont="1" applyFill="1" applyBorder="1" applyAlignment="1" applyProtection="1">
      <alignment vertical="top"/>
    </xf>
    <xf numFmtId="0" fontId="58" fillId="0" borderId="8" xfId="0" applyFont="1" applyFill="1" applyBorder="1" applyAlignment="1" applyProtection="1">
      <alignment vertical="top"/>
    </xf>
    <xf numFmtId="0" fontId="58" fillId="0" borderId="10" xfId="0" applyFont="1" applyFill="1" applyBorder="1" applyAlignment="1" applyProtection="1">
      <alignment vertical="top"/>
    </xf>
    <xf numFmtId="0" fontId="58" fillId="0" borderId="15" xfId="0" applyFont="1" applyFill="1" applyBorder="1" applyAlignment="1" applyProtection="1">
      <alignment vertical="top"/>
    </xf>
    <xf numFmtId="0" fontId="58" fillId="0" borderId="7" xfId="0" applyFont="1" applyBorder="1" applyAlignment="1" applyProtection="1">
      <alignment vertical="top"/>
    </xf>
    <xf numFmtId="0" fontId="58" fillId="0" borderId="9" xfId="0" applyFont="1" applyBorder="1" applyAlignment="1" applyProtection="1">
      <alignment vertical="top"/>
    </xf>
    <xf numFmtId="0" fontId="58" fillId="0" borderId="8" xfId="0" applyFont="1" applyBorder="1" applyAlignment="1" applyProtection="1">
      <alignment vertical="top"/>
    </xf>
    <xf numFmtId="0" fontId="58" fillId="0" borderId="10" xfId="0" applyFont="1" applyBorder="1" applyAlignment="1" applyProtection="1">
      <alignment vertical="top"/>
    </xf>
    <xf numFmtId="0" fontId="58" fillId="0" borderId="15" xfId="0" applyFont="1" applyBorder="1" applyAlignment="1" applyProtection="1">
      <alignment vertical="top"/>
    </xf>
    <xf numFmtId="174" fontId="68" fillId="0" borderId="34" xfId="10" applyNumberFormat="1" applyFont="1" applyFill="1" applyBorder="1" applyAlignment="1" applyProtection="1">
      <alignment horizontal="right" vertical="center"/>
    </xf>
    <xf numFmtId="174" fontId="68" fillId="0" borderId="35" xfId="0" applyNumberFormat="1" applyFont="1" applyFill="1" applyBorder="1" applyAlignment="1" applyProtection="1">
      <alignment horizontal="right"/>
    </xf>
    <xf numFmtId="38" fontId="68" fillId="0" borderId="37" xfId="2" applyNumberFormat="1" applyFont="1" applyFill="1" applyBorder="1" applyAlignment="1" applyProtection="1">
      <alignment horizontal="center" vertical="center"/>
    </xf>
    <xf numFmtId="38" fontId="68" fillId="0" borderId="38" xfId="2" applyNumberFormat="1" applyFont="1" applyFill="1" applyBorder="1" applyAlignment="1" applyProtection="1">
      <alignment horizontal="center" vertical="center"/>
    </xf>
    <xf numFmtId="38" fontId="68" fillId="0" borderId="10" xfId="2" applyNumberFormat="1" applyFont="1" applyFill="1" applyBorder="1" applyAlignment="1" applyProtection="1">
      <alignment horizontal="center" vertical="center"/>
    </xf>
    <xf numFmtId="38" fontId="68" fillId="0" borderId="15" xfId="2" applyNumberFormat="1" applyFont="1" applyFill="1" applyBorder="1" applyAlignment="1" applyProtection="1">
      <alignment horizontal="center" vertical="center"/>
    </xf>
    <xf numFmtId="0" fontId="58" fillId="0" borderId="88" xfId="0" applyFont="1" applyFill="1" applyBorder="1" applyAlignment="1" applyProtection="1">
      <alignment horizontal="center" vertical="center"/>
    </xf>
    <xf numFmtId="0" fontId="58" fillId="0" borderId="8" xfId="0" applyFont="1" applyFill="1" applyBorder="1" applyAlignment="1" applyProtection="1">
      <alignment vertical="center"/>
    </xf>
    <xf numFmtId="0" fontId="58" fillId="0" borderId="0" xfId="0" applyFont="1" applyFill="1" applyBorder="1" applyAlignment="1" applyProtection="1">
      <alignment vertical="center"/>
    </xf>
    <xf numFmtId="0" fontId="58" fillId="0" borderId="5" xfId="0" applyFont="1" applyFill="1" applyBorder="1" applyAlignment="1" applyProtection="1">
      <alignment vertical="center"/>
    </xf>
    <xf numFmtId="0" fontId="58" fillId="0" borderId="6" xfId="0" applyFont="1" applyFill="1" applyBorder="1" applyAlignment="1" applyProtection="1">
      <alignment vertical="center"/>
    </xf>
    <xf numFmtId="38" fontId="58" fillId="0" borderId="88" xfId="2" applyNumberFormat="1" applyFont="1" applyFill="1" applyBorder="1" applyAlignment="1" applyProtection="1">
      <alignment horizontal="center" vertical="center"/>
    </xf>
    <xf numFmtId="0" fontId="58" fillId="0" borderId="7" xfId="0" applyFont="1" applyFill="1" applyBorder="1" applyAlignment="1" applyProtection="1">
      <alignment vertical="center"/>
    </xf>
    <xf numFmtId="0" fontId="58" fillId="0" borderId="9" xfId="0" applyFont="1" applyFill="1" applyBorder="1" applyAlignment="1" applyProtection="1">
      <alignment vertical="center"/>
    </xf>
    <xf numFmtId="0" fontId="58" fillId="0" borderId="14" xfId="0" applyFont="1" applyFill="1" applyBorder="1" applyAlignment="1" applyProtection="1">
      <alignment horizontal="left" vertical="center"/>
    </xf>
    <xf numFmtId="38" fontId="68" fillId="0" borderId="59" xfId="0" applyNumberFormat="1" applyFont="1" applyFill="1" applyBorder="1" applyAlignment="1" applyProtection="1">
      <alignment horizontal="center" vertical="center"/>
    </xf>
    <xf numFmtId="38" fontId="68" fillId="0" borderId="36" xfId="0" applyNumberFormat="1" applyFont="1" applyFill="1" applyBorder="1" applyAlignment="1" applyProtection="1">
      <alignment horizontal="center" vertical="center"/>
    </xf>
    <xf numFmtId="0" fontId="58" fillId="0" borderId="8" xfId="0" applyFont="1" applyFill="1" applyBorder="1" applyAlignment="1" applyProtection="1">
      <alignment horizontal="left" wrapText="1"/>
    </xf>
    <xf numFmtId="0" fontId="58" fillId="0" borderId="0" xfId="0" applyFont="1" applyFill="1" applyAlignment="1" applyProtection="1">
      <alignment horizontal="left" wrapText="1"/>
    </xf>
    <xf numFmtId="0" fontId="58" fillId="0" borderId="0" xfId="0" applyFont="1" applyFill="1" applyBorder="1" applyAlignment="1" applyProtection="1">
      <alignment horizontal="center" vertical="center"/>
    </xf>
    <xf numFmtId="166" fontId="58" fillId="0" borderId="8" xfId="10" applyNumberFormat="1" applyFont="1" applyFill="1" applyBorder="1" applyAlignment="1" applyProtection="1">
      <alignment vertical="center"/>
    </xf>
    <xf numFmtId="166" fontId="58" fillId="0" borderId="0" xfId="10" applyNumberFormat="1" applyFont="1" applyFill="1" applyBorder="1" applyAlignment="1" applyProtection="1">
      <alignment vertical="center"/>
    </xf>
    <xf numFmtId="38" fontId="68" fillId="0" borderId="37" xfId="2" applyNumberFormat="1" applyFont="1" applyFill="1" applyBorder="1" applyAlignment="1" applyProtection="1">
      <alignment horizontal="right" vertical="center"/>
    </xf>
    <xf numFmtId="38" fontId="68" fillId="0" borderId="38" xfId="2" applyNumberFormat="1" applyFont="1" applyFill="1" applyBorder="1" applyAlignment="1" applyProtection="1">
      <alignment horizontal="right" vertical="center"/>
    </xf>
    <xf numFmtId="38" fontId="68" fillId="0" borderId="37" xfId="0" applyNumberFormat="1" applyFont="1" applyFill="1" applyBorder="1" applyAlignment="1" applyProtection="1">
      <alignment horizontal="right" vertical="center"/>
    </xf>
    <xf numFmtId="38" fontId="68" fillId="0" borderId="38" xfId="0" applyNumberFormat="1" applyFont="1" applyFill="1" applyBorder="1" applyAlignment="1" applyProtection="1">
      <alignment horizontal="right" vertical="center"/>
    </xf>
    <xf numFmtId="0" fontId="7" fillId="0" borderId="0" xfId="0" applyFont="1" applyFill="1" applyAlignment="1" applyProtection="1">
      <alignment horizontal="left"/>
    </xf>
    <xf numFmtId="0" fontId="58" fillId="0" borderId="0" xfId="0" applyFont="1" applyFill="1" applyAlignment="1" applyProtection="1">
      <alignment horizontal="center" vertical="center" wrapText="1"/>
    </xf>
    <xf numFmtId="0" fontId="58" fillId="0" borderId="14" xfId="0" applyFont="1" applyFill="1" applyBorder="1" applyAlignment="1" applyProtection="1">
      <alignment horizontal="center" vertical="center" wrapText="1"/>
    </xf>
    <xf numFmtId="4" fontId="54" fillId="0" borderId="0" xfId="0" applyNumberFormat="1" applyFont="1" applyFill="1" applyBorder="1" applyAlignment="1" applyProtection="1">
      <alignment horizontal="center" vertical="center"/>
    </xf>
    <xf numFmtId="0" fontId="80" fillId="0" borderId="0" xfId="0" quotePrefix="1" applyFont="1" applyFill="1" applyBorder="1" applyAlignment="1" applyProtection="1">
      <alignment horizontal="center" vertical="center"/>
    </xf>
    <xf numFmtId="0" fontId="91" fillId="0" borderId="8" xfId="0" applyFont="1" applyFill="1" applyBorder="1" applyAlignment="1" applyProtection="1">
      <alignment horizontal="center" vertical="center"/>
    </xf>
    <xf numFmtId="0" fontId="91" fillId="0" borderId="0" xfId="0" applyFont="1" applyFill="1" applyBorder="1" applyAlignment="1" applyProtection="1">
      <alignment horizontal="center" vertical="center"/>
    </xf>
    <xf numFmtId="3" fontId="54" fillId="0" borderId="8" xfId="0" applyNumberFormat="1" applyFont="1" applyFill="1" applyBorder="1" applyAlignment="1" applyProtection="1">
      <alignment horizontal="center" vertical="center"/>
    </xf>
    <xf numFmtId="3" fontId="54" fillId="0" borderId="0" xfId="0" applyNumberFormat="1" applyFont="1" applyFill="1" applyBorder="1" applyAlignment="1" applyProtection="1">
      <alignment horizontal="center" vertical="center"/>
    </xf>
    <xf numFmtId="0" fontId="58" fillId="0" borderId="10" xfId="0" applyFont="1" applyFill="1" applyBorder="1" applyAlignment="1" applyProtection="1">
      <alignment vertical="center"/>
    </xf>
    <xf numFmtId="0" fontId="58" fillId="0" borderId="14" xfId="0" applyFont="1" applyFill="1" applyBorder="1" applyAlignment="1" applyProtection="1">
      <alignment vertical="center"/>
    </xf>
    <xf numFmtId="0" fontId="53" fillId="0" borderId="0" xfId="0" applyFont="1" applyFill="1" applyAlignment="1" applyProtection="1">
      <alignment horizontal="left" vertical="center" wrapText="1"/>
    </xf>
    <xf numFmtId="0" fontId="111" fillId="12" borderId="0" xfId="0" applyFont="1" applyFill="1" applyAlignment="1" applyProtection="1">
      <alignment horizontal="center" vertical="center"/>
    </xf>
    <xf numFmtId="0" fontId="58" fillId="0" borderId="0" xfId="0" applyFont="1" applyFill="1" applyAlignment="1" applyProtection="1">
      <alignment horizontal="left" vertical="center" wrapText="1"/>
    </xf>
    <xf numFmtId="0" fontId="58" fillId="0" borderId="0" xfId="0" applyFont="1" applyFill="1" applyAlignment="1" applyProtection="1">
      <alignment horizontal="left" vertical="top" wrapText="1"/>
    </xf>
    <xf numFmtId="0" fontId="58" fillId="0" borderId="9" xfId="0" applyFont="1" applyFill="1" applyBorder="1" applyAlignment="1" applyProtection="1">
      <alignment horizontal="left" vertical="top" wrapText="1"/>
    </xf>
    <xf numFmtId="0" fontId="58" fillId="0" borderId="14" xfId="0" applyFont="1" applyFill="1" applyBorder="1" applyAlignment="1" applyProtection="1">
      <alignment horizontal="left" vertical="top" wrapText="1"/>
    </xf>
    <xf numFmtId="0" fontId="30" fillId="8" borderId="37" xfId="0" applyFont="1" applyFill="1" applyBorder="1" applyAlignment="1" applyProtection="1">
      <alignment horizontal="center" vertical="center"/>
    </xf>
    <xf numFmtId="0" fontId="30" fillId="8" borderId="2" xfId="0" applyFont="1" applyFill="1" applyBorder="1" applyAlignment="1" applyProtection="1">
      <alignment horizontal="center" vertical="center"/>
    </xf>
    <xf numFmtId="0" fontId="30" fillId="8" borderId="38" xfId="0" applyFont="1" applyFill="1" applyBorder="1" applyAlignment="1" applyProtection="1">
      <alignment horizontal="center" vertical="center"/>
    </xf>
    <xf numFmtId="8" fontId="11" fillId="0" borderId="0" xfId="0" applyNumberFormat="1" applyFont="1" applyBorder="1" applyAlignment="1" applyProtection="1">
      <alignment horizontal="center"/>
    </xf>
    <xf numFmtId="8" fontId="11" fillId="0" borderId="21" xfId="0" applyNumberFormat="1" applyFont="1" applyBorder="1" applyAlignment="1" applyProtection="1">
      <alignment horizontal="center"/>
    </xf>
    <xf numFmtId="8" fontId="11" fillId="0" borderId="20" xfId="0" applyNumberFormat="1" applyFont="1" applyBorder="1" applyAlignment="1" applyProtection="1">
      <alignment horizontal="center"/>
    </xf>
    <xf numFmtId="0" fontId="7" fillId="0" borderId="14" xfId="0" applyFont="1" applyBorder="1" applyAlignment="1" applyProtection="1">
      <alignment horizontal="center" vertical="center" wrapText="1"/>
    </xf>
    <xf numFmtId="0" fontId="19" fillId="0" borderId="0" xfId="0" applyFont="1" applyAlignment="1" applyProtection="1">
      <alignment horizontal="center" vertical="center"/>
    </xf>
    <xf numFmtId="0" fontId="26" fillId="0" borderId="0" xfId="0" applyFont="1" applyAlignment="1" applyProtection="1">
      <alignment horizontal="center"/>
    </xf>
    <xf numFmtId="0" fontId="26" fillId="0" borderId="0" xfId="0" applyFont="1" applyFill="1" applyAlignment="1" applyProtection="1">
      <alignment horizontal="center"/>
    </xf>
    <xf numFmtId="0" fontId="26" fillId="0" borderId="0" xfId="0" applyFont="1" applyFill="1" applyAlignment="1" applyProtection="1">
      <alignment horizontal="center" vertical="top" wrapText="1"/>
    </xf>
    <xf numFmtId="8" fontId="11" fillId="0" borderId="6" xfId="0" applyNumberFormat="1" applyFont="1" applyBorder="1" applyAlignment="1" applyProtection="1">
      <alignment horizontal="center"/>
    </xf>
    <xf numFmtId="0" fontId="27" fillId="0" borderId="0" xfId="0" applyFont="1" applyAlignment="1" applyProtection="1">
      <alignment horizontal="justify" vertical="top" wrapText="1"/>
    </xf>
    <xf numFmtId="0" fontId="0" fillId="0" borderId="0" xfId="0" applyAlignment="1" applyProtection="1">
      <alignment horizontal="justify" vertical="top" wrapText="1"/>
    </xf>
    <xf numFmtId="0" fontId="7" fillId="0" borderId="0" xfId="0" applyFont="1" applyAlignment="1" applyProtection="1">
      <alignment horizontal="center" wrapText="1"/>
    </xf>
    <xf numFmtId="0" fontId="0" fillId="0" borderId="0" xfId="0" applyAlignment="1" applyProtection="1">
      <alignment horizontal="center" wrapText="1"/>
    </xf>
    <xf numFmtId="0" fontId="68" fillId="0" borderId="0" xfId="0" applyFont="1" applyFill="1" applyAlignment="1" applyProtection="1">
      <alignment horizontal="left"/>
    </xf>
    <xf numFmtId="164" fontId="58" fillId="0" borderId="14" xfId="1" applyNumberFormat="1" applyFont="1" applyFill="1" applyBorder="1" applyAlignment="1" applyProtection="1">
      <alignment horizontal="center" vertical="center"/>
    </xf>
    <xf numFmtId="38" fontId="68" fillId="0" borderId="37" xfId="0" applyNumberFormat="1" applyFont="1" applyFill="1" applyBorder="1" applyAlignment="1" applyProtection="1">
      <alignment horizontal="center" vertical="center"/>
    </xf>
    <xf numFmtId="38" fontId="68" fillId="0" borderId="2" xfId="0" applyNumberFormat="1" applyFont="1" applyFill="1" applyBorder="1" applyAlignment="1" applyProtection="1">
      <alignment horizontal="center" vertical="center"/>
    </xf>
    <xf numFmtId="38" fontId="68" fillId="0" borderId="38" xfId="0" applyNumberFormat="1" applyFont="1" applyFill="1" applyBorder="1" applyAlignment="1" applyProtection="1">
      <alignment horizontal="center" vertical="center"/>
    </xf>
    <xf numFmtId="0" fontId="68" fillId="0" borderId="65" xfId="0" applyFont="1" applyFill="1" applyBorder="1" applyAlignment="1" applyProtection="1">
      <alignment horizontal="center" vertical="center" wrapText="1"/>
    </xf>
    <xf numFmtId="0" fontId="68" fillId="0" borderId="66" xfId="0" applyFont="1" applyFill="1" applyBorder="1" applyAlignment="1" applyProtection="1">
      <alignment horizontal="center" vertical="center" wrapText="1"/>
    </xf>
    <xf numFmtId="0" fontId="68" fillId="0" borderId="47" xfId="0" applyFont="1" applyFill="1" applyBorder="1" applyAlignment="1" applyProtection="1">
      <alignment horizontal="center" vertical="center" wrapText="1"/>
    </xf>
    <xf numFmtId="0" fontId="68" fillId="0" borderId="67" xfId="0" applyFont="1" applyFill="1" applyBorder="1" applyAlignment="1" applyProtection="1">
      <alignment horizontal="center" vertical="center" wrapText="1"/>
    </xf>
    <xf numFmtId="164" fontId="58" fillId="0" borderId="63" xfId="1" applyNumberFormat="1" applyFont="1" applyFill="1" applyBorder="1" applyAlignment="1" applyProtection="1">
      <alignment horizontal="right" vertical="center"/>
    </xf>
    <xf numFmtId="164" fontId="58" fillId="0" borderId="64" xfId="1" applyNumberFormat="1" applyFont="1" applyFill="1" applyBorder="1" applyAlignment="1" applyProtection="1">
      <alignment horizontal="right" vertical="center"/>
    </xf>
    <xf numFmtId="3" fontId="58" fillId="0" borderId="59" xfId="1" applyNumberFormat="1" applyFont="1" applyFill="1" applyBorder="1" applyAlignment="1" applyProtection="1">
      <alignment horizontal="center" vertical="center"/>
    </xf>
    <xf numFmtId="3" fontId="58" fillId="0" borderId="36" xfId="1" applyNumberFormat="1" applyFont="1" applyFill="1" applyBorder="1" applyAlignment="1" applyProtection="1">
      <alignment horizontal="center" vertical="center"/>
    </xf>
    <xf numFmtId="164" fontId="68" fillId="0" borderId="59" xfId="1" applyNumberFormat="1" applyFont="1" applyFill="1" applyBorder="1" applyAlignment="1" applyProtection="1">
      <alignment horizontal="center" vertical="center"/>
    </xf>
    <xf numFmtId="164" fontId="68" fillId="0" borderId="36" xfId="1" applyNumberFormat="1" applyFont="1" applyFill="1" applyBorder="1" applyAlignment="1" applyProtection="1">
      <alignment horizontal="center" vertical="center"/>
    </xf>
    <xf numFmtId="4" fontId="58" fillId="0" borderId="59" xfId="1" applyNumberFormat="1" applyFont="1" applyFill="1" applyBorder="1" applyAlignment="1" applyProtection="1">
      <alignment vertical="center"/>
    </xf>
    <xf numFmtId="4" fontId="58" fillId="0" borderId="36" xfId="1" applyNumberFormat="1" applyFont="1" applyFill="1" applyBorder="1" applyAlignment="1" applyProtection="1">
      <alignment vertical="center"/>
    </xf>
    <xf numFmtId="164" fontId="58" fillId="0" borderId="0" xfId="1" applyNumberFormat="1" applyFont="1" applyFill="1" applyBorder="1" applyAlignment="1" applyProtection="1">
      <alignment horizontal="center" vertical="center"/>
    </xf>
    <xf numFmtId="0" fontId="127" fillId="0" borderId="65" xfId="0" applyFont="1" applyFill="1" applyBorder="1" applyAlignment="1" applyProtection="1">
      <alignment horizontal="center" vertical="center" wrapText="1"/>
    </xf>
    <xf numFmtId="0" fontId="127" fillId="0" borderId="66" xfId="0" applyFont="1" applyFill="1" applyBorder="1" applyAlignment="1" applyProtection="1">
      <alignment horizontal="center" vertical="center" wrapText="1"/>
    </xf>
    <xf numFmtId="0" fontId="127" fillId="0" borderId="46" xfId="0" applyFont="1" applyFill="1" applyBorder="1" applyAlignment="1" applyProtection="1">
      <alignment horizontal="center" vertical="center" wrapText="1"/>
    </xf>
    <xf numFmtId="0" fontId="127" fillId="0" borderId="50" xfId="0" applyFont="1" applyFill="1" applyBorder="1" applyAlignment="1" applyProtection="1">
      <alignment horizontal="center" vertical="center" wrapText="1"/>
    </xf>
    <xf numFmtId="168" fontId="58" fillId="0" borderId="76" xfId="0" applyNumberFormat="1" applyFont="1" applyFill="1" applyBorder="1" applyAlignment="1" applyProtection="1">
      <alignment horizontal="center" vertical="center"/>
    </xf>
    <xf numFmtId="168" fontId="58" fillId="0" borderId="77" xfId="0" applyNumberFormat="1" applyFont="1" applyFill="1" applyBorder="1" applyAlignment="1" applyProtection="1">
      <alignment horizontal="center" vertical="center"/>
    </xf>
    <xf numFmtId="168" fontId="58" fillId="0" borderId="78" xfId="0" applyNumberFormat="1" applyFont="1" applyFill="1" applyBorder="1" applyAlignment="1" applyProtection="1">
      <alignment horizontal="center" vertical="center"/>
    </xf>
    <xf numFmtId="3" fontId="54" fillId="0" borderId="14"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xf>
    <xf numFmtId="0" fontId="82" fillId="0" borderId="65" xfId="0" applyFont="1" applyFill="1" applyBorder="1" applyAlignment="1" applyProtection="1">
      <alignment horizontal="center" vertical="center"/>
    </xf>
    <xf numFmtId="0" fontId="82" fillId="0" borderId="75" xfId="0" applyFont="1" applyFill="1" applyBorder="1" applyAlignment="1" applyProtection="1">
      <alignment horizontal="center" vertical="center"/>
    </xf>
    <xf numFmtId="0" fontId="82" fillId="0" borderId="66" xfId="0" applyFont="1" applyFill="1" applyBorder="1" applyAlignment="1" applyProtection="1">
      <alignment horizontal="center" vertical="center"/>
    </xf>
    <xf numFmtId="0" fontId="83" fillId="0" borderId="46" xfId="0" applyFont="1" applyFill="1" applyBorder="1" applyAlignment="1" applyProtection="1">
      <alignment horizontal="justify" vertical="top" wrapText="1"/>
    </xf>
    <xf numFmtId="0" fontId="83" fillId="0" borderId="0" xfId="0" applyFont="1" applyFill="1" applyBorder="1" applyAlignment="1" applyProtection="1">
      <alignment horizontal="justify" vertical="top" wrapText="1"/>
    </xf>
    <xf numFmtId="0" fontId="83" fillId="0" borderId="50" xfId="0" applyFont="1" applyFill="1" applyBorder="1" applyAlignment="1" applyProtection="1">
      <alignment horizontal="justify" vertical="top" wrapText="1"/>
    </xf>
    <xf numFmtId="38" fontId="58" fillId="0" borderId="37" xfId="0" applyNumberFormat="1" applyFont="1" applyFill="1" applyBorder="1" applyAlignment="1" applyProtection="1">
      <alignment horizontal="center" vertical="center"/>
    </xf>
    <xf numFmtId="38" fontId="58" fillId="0" borderId="2" xfId="0" applyNumberFormat="1" applyFont="1" applyFill="1" applyBorder="1" applyAlignment="1" applyProtection="1">
      <alignment horizontal="center" vertical="center"/>
    </xf>
    <xf numFmtId="38" fontId="54" fillId="0" borderId="79" xfId="0" applyNumberFormat="1" applyFont="1" applyFill="1" applyBorder="1" applyAlignment="1" applyProtection="1">
      <alignment horizontal="center" vertical="center"/>
    </xf>
    <xf numFmtId="38" fontId="54" fillId="0" borderId="77" xfId="0" applyNumberFormat="1" applyFont="1" applyFill="1" applyBorder="1" applyAlignment="1" applyProtection="1">
      <alignment horizontal="center" vertical="center"/>
    </xf>
    <xf numFmtId="38" fontId="54" fillId="0" borderId="90" xfId="0" applyNumberFormat="1" applyFont="1" applyFill="1" applyBorder="1" applyAlignment="1" applyProtection="1">
      <alignment horizontal="center" vertical="center"/>
    </xf>
    <xf numFmtId="0" fontId="54" fillId="0" borderId="91" xfId="0" applyFont="1" applyFill="1" applyBorder="1" applyAlignment="1" applyProtection="1">
      <alignment horizontal="center" vertical="center"/>
    </xf>
    <xf numFmtId="38" fontId="68" fillId="0" borderId="1" xfId="0" applyNumberFormat="1" applyFont="1" applyFill="1" applyBorder="1" applyAlignment="1" applyProtection="1">
      <alignment horizontal="center" vertical="center"/>
    </xf>
    <xf numFmtId="38" fontId="58" fillId="0" borderId="38" xfId="0" applyNumberFormat="1" applyFont="1" applyFill="1" applyBorder="1" applyAlignment="1" applyProtection="1">
      <alignment horizontal="center" vertical="center"/>
    </xf>
    <xf numFmtId="10" fontId="68" fillId="0" borderId="37" xfId="0" applyNumberFormat="1" applyFont="1" applyFill="1" applyBorder="1" applyAlignment="1" applyProtection="1">
      <alignment horizontal="center" vertical="center"/>
    </xf>
    <xf numFmtId="10" fontId="68" fillId="0" borderId="38" xfId="0" applyNumberFormat="1" applyFont="1" applyFill="1" applyBorder="1" applyAlignment="1" applyProtection="1">
      <alignment horizontal="center" vertical="center"/>
    </xf>
    <xf numFmtId="38" fontId="58" fillId="0" borderId="5" xfId="0" applyNumberFormat="1" applyFont="1" applyFill="1" applyBorder="1" applyAlignment="1" applyProtection="1">
      <alignment horizontal="center" vertical="center"/>
    </xf>
    <xf numFmtId="38" fontId="58" fillId="0" borderId="7" xfId="0" applyNumberFormat="1" applyFont="1" applyFill="1" applyBorder="1" applyAlignment="1" applyProtection="1">
      <alignment horizontal="center" vertical="center"/>
    </xf>
    <xf numFmtId="10" fontId="58" fillId="0" borderId="2" xfId="0" applyNumberFormat="1" applyFont="1" applyFill="1" applyBorder="1" applyAlignment="1" applyProtection="1">
      <alignment horizontal="center" vertical="center"/>
    </xf>
    <xf numFmtId="38" fontId="58" fillId="0" borderId="73" xfId="0" applyNumberFormat="1" applyFont="1" applyFill="1" applyBorder="1" applyAlignment="1" applyProtection="1">
      <alignment horizontal="center" vertical="center"/>
    </xf>
    <xf numFmtId="38" fontId="58" fillId="0" borderId="74" xfId="0" applyNumberFormat="1"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38" fontId="58" fillId="0" borderId="71" xfId="0" applyNumberFormat="1" applyFont="1" applyFill="1" applyBorder="1" applyAlignment="1" applyProtection="1">
      <alignment horizontal="center" vertical="center"/>
    </xf>
    <xf numFmtId="38" fontId="58" fillId="0" borderId="72" xfId="0" applyNumberFormat="1" applyFont="1" applyFill="1" applyBorder="1" applyAlignment="1" applyProtection="1">
      <alignment horizontal="center" vertical="center"/>
    </xf>
    <xf numFmtId="0" fontId="68" fillId="0" borderId="59" xfId="0" applyFont="1" applyFill="1" applyBorder="1" applyAlignment="1" applyProtection="1">
      <alignment horizontal="center" vertical="center"/>
    </xf>
    <xf numFmtId="0" fontId="68" fillId="0" borderId="36" xfId="0" applyFont="1" applyFill="1" applyBorder="1" applyAlignment="1" applyProtection="1">
      <alignment horizontal="center" vertical="center"/>
    </xf>
    <xf numFmtId="4" fontId="78" fillId="0" borderId="10" xfId="0" applyNumberFormat="1" applyFont="1" applyFill="1" applyBorder="1" applyAlignment="1" applyProtection="1">
      <alignment horizontal="left" vertical="center"/>
    </xf>
    <xf numFmtId="4" fontId="78" fillId="0" borderId="14" xfId="0" applyNumberFormat="1" applyFont="1" applyFill="1" applyBorder="1" applyAlignment="1" applyProtection="1">
      <alignment horizontal="left" vertical="center"/>
    </xf>
    <xf numFmtId="164" fontId="78" fillId="0" borderId="0" xfId="1" applyNumberFormat="1" applyFont="1" applyFill="1" applyAlignment="1" applyProtection="1">
      <alignment horizontal="center" vertical="center"/>
    </xf>
    <xf numFmtId="164" fontId="78" fillId="0" borderId="9" xfId="1" applyNumberFormat="1" applyFont="1" applyFill="1" applyBorder="1" applyAlignment="1" applyProtection="1">
      <alignment horizontal="center" vertical="center"/>
    </xf>
    <xf numFmtId="0" fontId="58" fillId="0" borderId="64" xfId="0" applyFont="1" applyBorder="1" applyProtection="1"/>
    <xf numFmtId="164" fontId="58" fillId="0" borderId="70" xfId="1" applyNumberFormat="1" applyFont="1" applyFill="1" applyBorder="1" applyAlignment="1" applyProtection="1">
      <alignment horizontal="right" vertical="center"/>
    </xf>
    <xf numFmtId="164" fontId="68" fillId="0" borderId="65" xfId="1" applyNumberFormat="1" applyFont="1" applyFill="1" applyBorder="1" applyAlignment="1" applyProtection="1">
      <alignment horizontal="center" vertical="center" wrapText="1"/>
    </xf>
    <xf numFmtId="164" fontId="68" fillId="0" borderId="66" xfId="1" applyNumberFormat="1" applyFont="1" applyFill="1" applyBorder="1" applyAlignment="1" applyProtection="1">
      <alignment horizontal="center" vertical="center" wrapText="1"/>
    </xf>
    <xf numFmtId="164" fontId="68" fillId="0" borderId="47" xfId="1" applyNumberFormat="1" applyFont="1" applyFill="1" applyBorder="1" applyAlignment="1" applyProtection="1">
      <alignment horizontal="center" vertical="center" wrapText="1"/>
    </xf>
    <xf numFmtId="164" fontId="68" fillId="0" borderId="67" xfId="1" applyNumberFormat="1" applyFont="1" applyFill="1" applyBorder="1" applyAlignment="1" applyProtection="1">
      <alignment horizontal="center" vertical="center" wrapText="1"/>
    </xf>
    <xf numFmtId="171" fontId="68" fillId="0" borderId="0" xfId="0" applyNumberFormat="1" applyFont="1" applyFill="1" applyBorder="1" applyAlignment="1" applyProtection="1">
      <alignment horizontal="center" vertical="center"/>
    </xf>
    <xf numFmtId="0" fontId="110" fillId="14" borderId="0" xfId="0" applyFont="1" applyFill="1" applyAlignment="1" applyProtection="1">
      <alignment horizontal="center" vertical="center"/>
    </xf>
    <xf numFmtId="0" fontId="68" fillId="0" borderId="0" xfId="0" applyFont="1" applyFill="1" applyAlignment="1" applyProtection="1">
      <alignment horizontal="center" vertical="center"/>
    </xf>
    <xf numFmtId="0" fontId="70" fillId="8" borderId="8" xfId="0" applyFont="1" applyFill="1" applyBorder="1" applyAlignment="1" applyProtection="1">
      <alignment horizontal="center" vertical="center"/>
    </xf>
    <xf numFmtId="0" fontId="70" fillId="8" borderId="0" xfId="0" applyFont="1" applyFill="1" applyBorder="1" applyAlignment="1" applyProtection="1">
      <alignment horizontal="center" vertical="center"/>
    </xf>
    <xf numFmtId="0" fontId="30" fillId="8" borderId="8" xfId="0" applyFont="1" applyFill="1" applyBorder="1" applyAlignment="1" applyProtection="1">
      <alignment horizontal="center" vertical="center"/>
    </xf>
    <xf numFmtId="0" fontId="30" fillId="8" borderId="0" xfId="0" applyFont="1" applyFill="1" applyBorder="1" applyAlignment="1" applyProtection="1">
      <alignment horizontal="center" vertical="center"/>
    </xf>
    <xf numFmtId="0" fontId="7" fillId="0" borderId="0" xfId="0" applyFont="1" applyBorder="1" applyAlignment="1" applyProtection="1">
      <alignment horizontal="center"/>
    </xf>
    <xf numFmtId="0" fontId="7" fillId="0" borderId="0" xfId="0" applyFont="1" applyAlignment="1" applyProtection="1">
      <alignment horizontal="center"/>
    </xf>
    <xf numFmtId="0" fontId="125" fillId="0" borderId="0" xfId="0" applyFont="1" applyFill="1" applyAlignment="1" applyProtection="1">
      <alignment horizontal="center" wrapText="1"/>
    </xf>
    <xf numFmtId="0" fontId="117" fillId="0" borderId="0" xfId="0" applyFont="1" applyFill="1" applyAlignment="1" applyProtection="1">
      <alignment horizontal="center" wrapText="1"/>
    </xf>
    <xf numFmtId="0" fontId="11" fillId="0" borderId="0" xfId="0" applyFont="1" applyFill="1" applyAlignment="1" applyProtection="1">
      <alignment horizontal="left" vertical="center" wrapText="1"/>
    </xf>
    <xf numFmtId="0" fontId="11" fillId="0" borderId="0" xfId="0" applyFont="1" applyAlignment="1" applyProtection="1">
      <alignment horizontal="left" vertical="center" wrapText="1"/>
    </xf>
    <xf numFmtId="38" fontId="11" fillId="0" borderId="10" xfId="1" applyNumberFormat="1" applyFont="1" applyFill="1" applyBorder="1" applyAlignment="1" applyProtection="1">
      <alignment horizontal="right" vertical="center"/>
    </xf>
    <xf numFmtId="38" fontId="11" fillId="0" borderId="15" xfId="1" applyNumberFormat="1" applyFont="1" applyFill="1" applyBorder="1" applyAlignment="1" applyProtection="1">
      <alignment horizontal="right" vertical="center"/>
    </xf>
    <xf numFmtId="3" fontId="11" fillId="0" borderId="63" xfId="0" applyNumberFormat="1" applyFont="1" applyFill="1" applyBorder="1" applyAlignment="1" applyProtection="1">
      <alignment horizontal="right" vertical="center"/>
    </xf>
    <xf numFmtId="3" fontId="11" fillId="0" borderId="64" xfId="0" applyNumberFormat="1" applyFont="1" applyFill="1" applyBorder="1" applyAlignment="1" applyProtection="1">
      <alignment horizontal="right" vertical="center"/>
    </xf>
    <xf numFmtId="38" fontId="11" fillId="0" borderId="63" xfId="1" applyNumberFormat="1" applyFont="1" applyFill="1" applyBorder="1" applyAlignment="1" applyProtection="1">
      <alignment horizontal="right" vertical="center"/>
    </xf>
    <xf numFmtId="38" fontId="11" fillId="0" borderId="64" xfId="1" applyNumberFormat="1" applyFont="1" applyFill="1" applyBorder="1" applyAlignment="1" applyProtection="1">
      <alignment horizontal="right" vertical="center"/>
    </xf>
    <xf numFmtId="0" fontId="12" fillId="0" borderId="0" xfId="0" applyFont="1" applyFill="1" applyBorder="1" applyAlignment="1" applyProtection="1">
      <alignment horizontal="left" vertical="top" wrapText="1"/>
    </xf>
    <xf numFmtId="0" fontId="100" fillId="0" borderId="0" xfId="0" applyFont="1" applyFill="1" applyAlignment="1" applyProtection="1">
      <alignment horizontal="left" vertical="center" wrapText="1"/>
    </xf>
    <xf numFmtId="0" fontId="27" fillId="0" borderId="0" xfId="0" applyFont="1" applyFill="1" applyAlignment="1" applyProtection="1">
      <alignment horizontal="left" vertical="center" wrapText="1"/>
    </xf>
    <xf numFmtId="0" fontId="98" fillId="0" borderId="0" xfId="0" applyNumberFormat="1" applyFont="1" applyAlignment="1" applyProtection="1">
      <alignment horizontal="center" vertical="center" wrapText="1"/>
    </xf>
    <xf numFmtId="0" fontId="30" fillId="0" borderId="0" xfId="0" applyNumberFormat="1" applyFont="1" applyAlignment="1" applyProtection="1">
      <alignment horizontal="center" vertical="center" wrapText="1"/>
    </xf>
    <xf numFmtId="0" fontId="3" fillId="0" borderId="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36" fillId="0" borderId="0" xfId="0" applyFont="1" applyFill="1" applyAlignment="1" applyProtection="1">
      <alignment horizontal="center" textRotation="90"/>
    </xf>
    <xf numFmtId="3" fontId="130" fillId="0" borderId="0" xfId="0" applyNumberFormat="1" applyFont="1" applyFill="1" applyBorder="1" applyAlignment="1" applyProtection="1">
      <alignment horizontal="left" vertical="center"/>
    </xf>
    <xf numFmtId="0" fontId="107"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6" fillId="15" borderId="0" xfId="0" applyFont="1" applyFill="1" applyAlignment="1" applyProtection="1">
      <alignment horizontal="center" vertical="center"/>
    </xf>
    <xf numFmtId="0" fontId="13" fillId="0" borderId="0" xfId="0" applyFont="1" applyFill="1" applyAlignment="1" applyProtection="1">
      <alignment horizontal="left"/>
    </xf>
    <xf numFmtId="0" fontId="106" fillId="12" borderId="0" xfId="0" applyFont="1" applyFill="1" applyBorder="1" applyAlignment="1" applyProtection="1">
      <alignment horizontal="center" vertical="center"/>
    </xf>
    <xf numFmtId="0" fontId="7" fillId="0" borderId="0" xfId="0" applyFont="1" applyFill="1" applyAlignment="1" applyProtection="1">
      <alignment horizontal="center"/>
    </xf>
    <xf numFmtId="0" fontId="30" fillId="9" borderId="37" xfId="0" applyFont="1" applyFill="1" applyBorder="1" applyAlignment="1" applyProtection="1">
      <alignment horizontal="center" vertical="center"/>
    </xf>
    <xf numFmtId="0" fontId="30" fillId="9" borderId="2" xfId="0" applyFont="1" applyFill="1" applyBorder="1" applyAlignment="1" applyProtection="1">
      <alignment horizontal="center" vertical="center"/>
    </xf>
    <xf numFmtId="0" fontId="30" fillId="9" borderId="38" xfId="0" applyFont="1" applyFill="1" applyBorder="1" applyAlignment="1" applyProtection="1">
      <alignment horizontal="center" vertical="center"/>
    </xf>
    <xf numFmtId="0" fontId="3" fillId="4" borderId="37" xfId="0" applyFont="1" applyFill="1" applyBorder="1" applyAlignment="1" applyProtection="1">
      <alignment horizontal="left" vertical="top" wrapText="1"/>
    </xf>
    <xf numFmtId="0" fontId="3" fillId="4" borderId="2" xfId="0" applyFont="1" applyFill="1" applyBorder="1" applyAlignment="1" applyProtection="1">
      <alignment horizontal="left" vertical="top" wrapText="1"/>
    </xf>
    <xf numFmtId="0" fontId="3" fillId="4" borderId="38" xfId="0" applyFont="1" applyFill="1" applyBorder="1" applyAlignment="1" applyProtection="1">
      <alignment horizontal="left" vertical="top" wrapText="1"/>
    </xf>
    <xf numFmtId="0" fontId="3" fillId="0" borderId="0" xfId="0" applyFont="1" applyFill="1" applyBorder="1" applyAlignment="1" applyProtection="1">
      <alignment horizontal="justify" vertical="top" wrapText="1"/>
    </xf>
    <xf numFmtId="0" fontId="9" fillId="4" borderId="37"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13" fillId="4" borderId="37" xfId="0" applyFont="1" applyFill="1" applyBorder="1" applyAlignment="1" applyProtection="1">
      <alignment horizontal="center" vertical="top"/>
    </xf>
    <xf numFmtId="0" fontId="13" fillId="4" borderId="38" xfId="0" applyFont="1" applyFill="1" applyBorder="1" applyAlignment="1" applyProtection="1">
      <alignment horizontal="center" vertical="top"/>
    </xf>
    <xf numFmtId="0" fontId="3" fillId="0" borderId="0" xfId="0" applyFont="1" applyFill="1" applyBorder="1" applyAlignment="1" applyProtection="1">
      <alignment horizontal="left" vertical="top" wrapText="1"/>
    </xf>
    <xf numFmtId="0" fontId="9" fillId="4" borderId="38"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3" fillId="0" borderId="0" xfId="0" applyFont="1" applyFill="1" applyAlignment="1" applyProtection="1">
      <alignment horizontal="justify" vertical="top" wrapText="1"/>
    </xf>
    <xf numFmtId="0" fontId="3" fillId="0" borderId="8"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Alignment="1" applyProtection="1">
      <alignment horizontal="justify" vertical="top" wrapText="1"/>
    </xf>
    <xf numFmtId="0" fontId="3" fillId="4" borderId="84" xfId="0" applyFont="1" applyFill="1" applyBorder="1" applyAlignment="1" applyProtection="1">
      <alignment horizontal="left" vertical="top" wrapText="1"/>
    </xf>
    <xf numFmtId="0" fontId="3" fillId="4" borderId="88" xfId="0" applyFont="1" applyFill="1" applyBorder="1" applyAlignment="1" applyProtection="1">
      <alignment horizontal="left" vertical="top" wrapText="1"/>
    </xf>
    <xf numFmtId="0" fontId="3" fillId="4" borderId="85" xfId="0" applyFont="1" applyFill="1" applyBorder="1" applyAlignment="1" applyProtection="1">
      <alignment horizontal="left" vertical="top" wrapText="1"/>
    </xf>
    <xf numFmtId="0" fontId="53" fillId="0" borderId="8" xfId="0" applyFont="1" applyFill="1" applyBorder="1" applyAlignment="1" applyProtection="1">
      <alignment horizontal="center" vertical="center" wrapText="1"/>
    </xf>
    <xf numFmtId="0" fontId="13" fillId="4" borderId="37" xfId="0" applyFont="1" applyFill="1" applyBorder="1" applyAlignment="1" applyProtection="1">
      <alignment horizontal="left"/>
    </xf>
    <xf numFmtId="0" fontId="13" fillId="4" borderId="38" xfId="0" applyFont="1" applyFill="1" applyBorder="1" applyAlignment="1" applyProtection="1">
      <alignment horizontal="left"/>
    </xf>
    <xf numFmtId="0" fontId="13" fillId="4" borderId="37" xfId="0" applyFont="1" applyFill="1" applyBorder="1" applyAlignment="1" applyProtection="1">
      <alignment horizontal="left" vertical="center"/>
    </xf>
    <xf numFmtId="0" fontId="13" fillId="4" borderId="38" xfId="0" applyFont="1" applyFill="1" applyBorder="1" applyAlignment="1" applyProtection="1">
      <alignment horizontal="left" vertical="center"/>
    </xf>
    <xf numFmtId="0" fontId="3" fillId="4" borderId="34" xfId="0" applyFont="1" applyFill="1" applyBorder="1" applyAlignment="1" applyProtection="1">
      <alignment horizontal="left" vertical="top" wrapText="1"/>
    </xf>
    <xf numFmtId="0" fontId="3" fillId="4" borderId="61" xfId="0" applyFont="1" applyFill="1" applyBorder="1" applyAlignment="1" applyProtection="1">
      <alignment horizontal="left" vertical="top" wrapText="1"/>
    </xf>
    <xf numFmtId="0" fontId="3" fillId="4" borderId="35" xfId="0" applyFont="1" applyFill="1" applyBorder="1" applyAlignment="1" applyProtection="1">
      <alignment horizontal="left" vertical="top" wrapText="1"/>
    </xf>
    <xf numFmtId="0" fontId="3" fillId="4" borderId="29" xfId="0" applyFont="1" applyFill="1" applyBorder="1" applyAlignment="1" applyProtection="1">
      <alignment horizontal="left" vertical="top" wrapText="1"/>
    </xf>
    <xf numFmtId="0" fontId="3" fillId="4" borderId="60" xfId="0" applyFont="1" applyFill="1" applyBorder="1" applyAlignment="1" applyProtection="1">
      <alignment horizontal="left" vertical="top" wrapText="1"/>
    </xf>
    <xf numFmtId="0" fontId="3" fillId="4" borderId="30" xfId="0" applyFont="1" applyFill="1" applyBorder="1" applyAlignment="1" applyProtection="1">
      <alignment horizontal="left" vertical="top" wrapText="1"/>
    </xf>
    <xf numFmtId="0" fontId="55" fillId="4" borderId="31" xfId="0" applyFont="1" applyFill="1" applyBorder="1" applyAlignment="1" applyProtection="1">
      <alignment horizontal="justify" vertical="top" wrapText="1"/>
    </xf>
    <xf numFmtId="0" fontId="55" fillId="4" borderId="22" xfId="0" applyFont="1" applyFill="1" applyBorder="1" applyAlignment="1" applyProtection="1">
      <alignment horizontal="justify" vertical="top" wrapText="1"/>
    </xf>
    <xf numFmtId="0" fontId="55" fillId="4" borderId="32" xfId="0" applyFont="1" applyFill="1" applyBorder="1" applyAlignment="1" applyProtection="1">
      <alignment horizontal="justify" vertical="top" wrapText="1"/>
    </xf>
    <xf numFmtId="0" fontId="55" fillId="4" borderId="34" xfId="0" applyFont="1" applyFill="1" applyBorder="1" applyAlignment="1" applyProtection="1">
      <alignment horizontal="justify" vertical="top" wrapText="1"/>
    </xf>
    <xf numFmtId="0" fontId="55" fillId="4" borderId="61" xfId="0" applyFont="1" applyFill="1" applyBorder="1" applyAlignment="1" applyProtection="1">
      <alignment horizontal="justify" vertical="top" wrapText="1"/>
    </xf>
    <xf numFmtId="0" fontId="55" fillId="4" borderId="35" xfId="0" applyFont="1" applyFill="1" applyBorder="1" applyAlignment="1" applyProtection="1">
      <alignment horizontal="justify" vertical="top" wrapText="1"/>
    </xf>
    <xf numFmtId="0" fontId="6" fillId="0" borderId="0" xfId="0" applyFont="1" applyFill="1" applyAlignment="1" applyProtection="1">
      <alignment horizontal="left" vertical="top" wrapText="1"/>
    </xf>
    <xf numFmtId="0" fontId="13" fillId="0" borderId="0" xfId="0" applyFont="1" applyFill="1" applyBorder="1" applyAlignment="1" applyProtection="1">
      <alignment horizontal="left" vertical="center" wrapText="1"/>
    </xf>
    <xf numFmtId="0" fontId="3" fillId="0" borderId="14" xfId="0" applyFont="1" applyFill="1" applyBorder="1" applyAlignment="1" applyProtection="1">
      <alignment horizontal="center" vertical="top" wrapText="1"/>
    </xf>
    <xf numFmtId="0" fontId="23" fillId="0" borderId="0" xfId="0" applyFont="1" applyFill="1" applyAlignment="1" applyProtection="1">
      <alignment horizontal="left" vertical="center"/>
    </xf>
    <xf numFmtId="0" fontId="37" fillId="4" borderId="37" xfId="0" applyFont="1" applyFill="1" applyBorder="1" applyAlignment="1" applyProtection="1">
      <alignment horizontal="center" vertical="center"/>
    </xf>
    <xf numFmtId="0" fontId="37" fillId="4" borderId="38" xfId="0" applyFont="1" applyFill="1" applyBorder="1" applyAlignment="1" applyProtection="1">
      <alignment horizontal="center" vertical="center"/>
    </xf>
    <xf numFmtId="0" fontId="55" fillId="4" borderId="29" xfId="0" applyFont="1" applyFill="1" applyBorder="1" applyAlignment="1" applyProtection="1">
      <alignment horizontal="justify" vertical="top" wrapText="1"/>
    </xf>
    <xf numFmtId="0" fontId="55" fillId="4" borderId="60" xfId="0" applyFont="1" applyFill="1" applyBorder="1" applyAlignment="1" applyProtection="1">
      <alignment horizontal="justify" vertical="top" wrapText="1"/>
    </xf>
    <xf numFmtId="0" fontId="55" fillId="4" borderId="30" xfId="0" applyFont="1" applyFill="1" applyBorder="1" applyAlignment="1" applyProtection="1">
      <alignment horizontal="justify" vertical="top" wrapText="1"/>
    </xf>
    <xf numFmtId="0" fontId="48" fillId="0" borderId="0" xfId="0" applyFont="1" applyFill="1" applyAlignment="1" applyProtection="1">
      <alignment horizontal="center" vertical="center"/>
    </xf>
    <xf numFmtId="0" fontId="48" fillId="0" borderId="9" xfId="0" applyFont="1" applyFill="1" applyBorder="1" applyAlignment="1" applyProtection="1">
      <alignment horizontal="center" vertical="center"/>
    </xf>
    <xf numFmtId="0" fontId="7" fillId="5" borderId="37" xfId="0" applyFont="1" applyFill="1" applyBorder="1" applyAlignment="1" applyProtection="1">
      <alignment horizontal="center" vertical="center" wrapText="1"/>
    </xf>
    <xf numFmtId="0" fontId="7" fillId="5" borderId="38" xfId="0" applyFont="1" applyFill="1" applyBorder="1" applyAlignment="1" applyProtection="1">
      <alignment horizontal="center" vertical="center" wrapText="1"/>
    </xf>
    <xf numFmtId="0" fontId="3" fillId="4" borderId="31" xfId="0" applyFont="1" applyFill="1" applyBorder="1" applyAlignment="1" applyProtection="1">
      <alignment horizontal="left" vertical="top" wrapText="1"/>
    </xf>
    <xf numFmtId="0" fontId="3" fillId="4" borderId="22" xfId="0" applyFont="1" applyFill="1" applyBorder="1" applyAlignment="1" applyProtection="1">
      <alignment horizontal="left" vertical="top" wrapText="1"/>
    </xf>
    <xf numFmtId="0" fontId="3" fillId="4" borderId="32" xfId="0" applyFont="1" applyFill="1" applyBorder="1" applyAlignment="1" applyProtection="1">
      <alignment horizontal="left" vertical="top" wrapText="1"/>
    </xf>
    <xf numFmtId="0" fontId="6" fillId="0" borderId="0" xfId="0" applyFont="1" applyFill="1" applyAlignment="1" applyProtection="1">
      <alignment horizontal="center"/>
    </xf>
    <xf numFmtId="175" fontId="13" fillId="4" borderId="37" xfId="0" applyNumberFormat="1" applyFont="1" applyFill="1" applyBorder="1" applyAlignment="1" applyProtection="1">
      <alignment horizontal="left" vertical="center"/>
    </xf>
    <xf numFmtId="175" fontId="13" fillId="4" borderId="38" xfId="0" applyNumberFormat="1" applyFont="1" applyFill="1" applyBorder="1" applyAlignment="1" applyProtection="1">
      <alignment horizontal="left" vertical="center"/>
    </xf>
    <xf numFmtId="0" fontId="6"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9" fillId="4" borderId="37" xfId="0" applyFont="1" applyFill="1" applyBorder="1" applyAlignment="1" applyProtection="1">
      <alignment horizontal="left"/>
    </xf>
    <xf numFmtId="0" fontId="19" fillId="4" borderId="2" xfId="0" applyFont="1" applyFill="1" applyBorder="1" applyAlignment="1" applyProtection="1">
      <alignment horizontal="left"/>
    </xf>
    <xf numFmtId="0" fontId="19" fillId="4" borderId="38" xfId="0" applyFont="1" applyFill="1" applyBorder="1" applyAlignment="1" applyProtection="1">
      <alignment horizontal="left"/>
    </xf>
    <xf numFmtId="0" fontId="9" fillId="4" borderId="10"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3" fillId="0" borderId="0" xfId="0" applyFont="1" applyBorder="1" applyAlignment="1" applyProtection="1">
      <alignment horizontal="justify" vertical="top" wrapText="1"/>
    </xf>
    <xf numFmtId="174" fontId="13" fillId="0" borderId="84" xfId="0" applyNumberFormat="1" applyFont="1" applyBorder="1" applyAlignment="1" applyProtection="1">
      <alignment horizontal="center" vertical="center"/>
    </xf>
    <xf numFmtId="174" fontId="13" fillId="0" borderId="85" xfId="0" applyNumberFormat="1" applyFont="1" applyBorder="1" applyAlignment="1" applyProtection="1">
      <alignment horizontal="center" vertical="center"/>
    </xf>
    <xf numFmtId="0" fontId="3" fillId="0" borderId="0" xfId="0" applyFont="1" applyFill="1" applyAlignment="1" applyProtection="1">
      <alignment horizontal="left" vertical="top" wrapText="1"/>
    </xf>
    <xf numFmtId="0" fontId="6" fillId="0" borderId="0" xfId="0" applyFont="1" applyFill="1" applyBorder="1" applyAlignment="1" applyProtection="1">
      <alignment horizontal="justify" vertical="top" wrapText="1"/>
    </xf>
    <xf numFmtId="0" fontId="6" fillId="0" borderId="0" xfId="0" applyFont="1" applyBorder="1" applyAlignment="1" applyProtection="1">
      <alignment horizontal="justify" vertical="top" wrapText="1"/>
    </xf>
    <xf numFmtId="0" fontId="3" fillId="0" borderId="0" xfId="0" applyFont="1" applyFill="1" applyAlignment="1" applyProtection="1">
      <alignment horizontal="justify" wrapText="1"/>
    </xf>
    <xf numFmtId="174" fontId="95" fillId="0" borderId="84" xfId="0" applyNumberFormat="1" applyFont="1" applyFill="1" applyBorder="1" applyAlignment="1" applyProtection="1">
      <alignment horizontal="center" vertical="center"/>
    </xf>
    <xf numFmtId="174" fontId="95" fillId="0" borderId="85" xfId="0" applyNumberFormat="1" applyFont="1" applyFill="1" applyBorder="1" applyAlignment="1" applyProtection="1">
      <alignment horizontal="center" vertical="center"/>
    </xf>
    <xf numFmtId="0" fontId="85" fillId="0" borderId="0" xfId="0" applyFont="1" applyAlignment="1" applyProtection="1">
      <alignment horizontal="center"/>
    </xf>
    <xf numFmtId="0" fontId="55" fillId="4" borderId="53" xfId="0" applyFont="1" applyFill="1" applyBorder="1" applyAlignment="1" applyProtection="1">
      <alignment horizontal="left" vertical="top" wrapText="1"/>
    </xf>
    <xf numFmtId="0" fontId="55" fillId="4" borderId="39" xfId="0" applyFont="1" applyFill="1" applyBorder="1" applyAlignment="1" applyProtection="1">
      <alignment horizontal="left" vertical="top" wrapText="1"/>
    </xf>
    <xf numFmtId="0" fontId="55" fillId="4" borderId="37" xfId="0" applyFont="1" applyFill="1" applyBorder="1" applyAlignment="1" applyProtection="1">
      <alignment horizontal="left" vertical="top" wrapText="1"/>
    </xf>
    <xf numFmtId="0" fontId="55" fillId="4" borderId="2" xfId="0" applyFont="1" applyFill="1" applyBorder="1" applyAlignment="1" applyProtection="1">
      <alignment horizontal="left" vertical="top" wrapText="1"/>
    </xf>
    <xf numFmtId="0" fontId="55" fillId="4" borderId="38" xfId="0" applyFont="1" applyFill="1" applyBorder="1" applyAlignment="1" applyProtection="1">
      <alignment horizontal="left" vertical="top" wrapText="1"/>
    </xf>
    <xf numFmtId="0" fontId="62" fillId="0" borderId="6" xfId="0" applyFont="1" applyBorder="1" applyAlignment="1" applyProtection="1">
      <alignment horizontal="center" wrapText="1"/>
    </xf>
    <xf numFmtId="0" fontId="62" fillId="0" borderId="0" xfId="0" applyFont="1" applyAlignment="1" applyProtection="1">
      <alignment horizontal="center" wrapText="1"/>
    </xf>
    <xf numFmtId="0" fontId="3" fillId="0" borderId="0" xfId="0" applyFont="1" applyBorder="1" applyAlignment="1" applyProtection="1">
      <alignment horizontal="left" vertical="top" wrapText="1"/>
    </xf>
    <xf numFmtId="0" fontId="55"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5" fillId="4" borderId="51" xfId="0" applyFont="1" applyFill="1" applyBorder="1" applyAlignment="1" applyProtection="1">
      <alignment horizontal="left" vertical="top" wrapText="1"/>
    </xf>
    <xf numFmtId="0" fontId="55" fillId="4" borderId="52" xfId="0" applyFont="1" applyFill="1" applyBorder="1" applyAlignment="1" applyProtection="1">
      <alignment horizontal="left" vertical="top" wrapText="1"/>
    </xf>
    <xf numFmtId="0" fontId="55"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5" fillId="4" borderId="54" xfId="0" applyFont="1" applyFill="1" applyBorder="1" applyAlignment="1" applyProtection="1">
      <alignment horizontal="left" vertical="top" wrapText="1"/>
    </xf>
    <xf numFmtId="0" fontId="55" fillId="4" borderId="55" xfId="0" applyFont="1" applyFill="1" applyBorder="1" applyAlignment="1" applyProtection="1">
      <alignment horizontal="left" vertical="top" wrapText="1"/>
    </xf>
    <xf numFmtId="0" fontId="55"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3" fillId="0" borderId="14"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3" fontId="3" fillId="0" borderId="84" xfId="0" applyNumberFormat="1" applyFont="1" applyFill="1" applyBorder="1" applyAlignment="1" applyProtection="1">
      <alignment horizontal="center" vertical="center"/>
    </xf>
    <xf numFmtId="3" fontId="3" fillId="0" borderId="85" xfId="0" applyNumberFormat="1" applyFont="1" applyFill="1" applyBorder="1" applyAlignment="1" applyProtection="1">
      <alignment horizontal="center" vertical="center"/>
    </xf>
    <xf numFmtId="174" fontId="95" fillId="0" borderId="37" xfId="0" applyNumberFormat="1" applyFont="1" applyFill="1" applyBorder="1" applyAlignment="1" applyProtection="1">
      <alignment horizontal="center" vertical="center"/>
    </xf>
    <xf numFmtId="174" fontId="95" fillId="0" borderId="38" xfId="0" applyNumberFormat="1" applyFont="1" applyFill="1" applyBorder="1" applyAlignment="1" applyProtection="1">
      <alignment horizontal="center" vertical="center"/>
    </xf>
    <xf numFmtId="0" fontId="3" fillId="0" borderId="0" xfId="0" applyFont="1" applyFill="1" applyAlignment="1" applyProtection="1">
      <alignment vertical="center" wrapText="1"/>
    </xf>
    <xf numFmtId="0" fontId="0" fillId="0" borderId="0" xfId="0" applyAlignment="1" applyProtection="1">
      <alignment vertical="center" wrapText="1"/>
    </xf>
    <xf numFmtId="0" fontId="6" fillId="0" borderId="0" xfId="0" applyFont="1" applyFill="1" applyBorder="1" applyAlignment="1" applyProtection="1">
      <alignment horizontal="left" vertical="center" wrapText="1"/>
    </xf>
    <xf numFmtId="0" fontId="6" fillId="0" borderId="0" xfId="0" applyFont="1" applyAlignment="1" applyProtection="1">
      <alignment horizontal="left" vertical="top" wrapText="1"/>
    </xf>
    <xf numFmtId="0" fontId="16" fillId="0" borderId="0" xfId="0" applyFont="1" applyAlignment="1" applyProtection="1">
      <alignment horizontal="center"/>
    </xf>
    <xf numFmtId="0" fontId="58" fillId="0" borderId="93" xfId="0" applyFont="1" applyBorder="1" applyAlignment="1" applyProtection="1">
      <alignment horizontal="justify" vertical="top" wrapText="1"/>
      <protection locked="0"/>
    </xf>
    <xf numFmtId="0" fontId="58" fillId="0" borderId="12" xfId="0" applyFont="1" applyBorder="1" applyAlignment="1" applyProtection="1">
      <alignment horizontal="justify" vertical="top" wrapText="1"/>
      <protection locked="0"/>
    </xf>
    <xf numFmtId="0" fontId="58" fillId="0" borderId="13" xfId="0" applyFont="1" applyBorder="1" applyAlignment="1" applyProtection="1">
      <alignment horizontal="justify" vertical="top" wrapText="1"/>
      <protection locked="0"/>
    </xf>
    <xf numFmtId="0" fontId="53" fillId="0" borderId="0" xfId="0" applyFont="1" applyFill="1" applyBorder="1" applyAlignment="1" applyProtection="1">
      <alignment horizontal="center" vertical="center" wrapText="1"/>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horizontal="justify" vertical="center" wrapText="1"/>
    </xf>
    <xf numFmtId="0" fontId="44" fillId="0" borderId="0" xfId="0" applyFont="1" applyAlignment="1">
      <alignment horizontal="justify" vertical="top" wrapText="1"/>
    </xf>
    <xf numFmtId="0" fontId="46" fillId="0" borderId="0" xfId="0" applyFont="1" applyAlignment="1">
      <alignment horizontal="center"/>
    </xf>
    <xf numFmtId="0" fontId="46" fillId="0" borderId="6" xfId="0" applyFont="1" applyBorder="1" applyAlignment="1">
      <alignment horizontal="center" vertical="top"/>
    </xf>
    <xf numFmtId="0" fontId="44" fillId="0" borderId="14" xfId="0" applyFont="1" applyBorder="1" applyAlignment="1">
      <alignment horizontal="left"/>
    </xf>
    <xf numFmtId="175" fontId="44" fillId="0" borderId="14" xfId="0" applyNumberFormat="1" applyFont="1" applyBorder="1" applyAlignment="1">
      <alignment horizontal="left"/>
    </xf>
    <xf numFmtId="9" fontId="55" fillId="0" borderId="3" xfId="10" applyFont="1" applyBorder="1" applyAlignment="1" applyProtection="1">
      <alignment horizontal="center" vertical="center"/>
    </xf>
    <xf numFmtId="3" fontId="55" fillId="0" borderId="37" xfId="1" applyNumberFormat="1" applyFont="1" applyFill="1" applyBorder="1" applyAlignment="1" applyProtection="1">
      <alignment horizontal="center" vertical="center"/>
    </xf>
    <xf numFmtId="3" fontId="55" fillId="0" borderId="38" xfId="1" applyNumberFormat="1" applyFont="1" applyFill="1" applyBorder="1" applyAlignment="1" applyProtection="1">
      <alignment horizontal="center" vertical="center"/>
    </xf>
    <xf numFmtId="0" fontId="57" fillId="0" borderId="37" xfId="0"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57" fillId="0" borderId="38" xfId="0" applyFont="1" applyFill="1" applyBorder="1" applyAlignment="1" applyProtection="1">
      <alignment horizontal="center" vertical="center"/>
    </xf>
    <xf numFmtId="0" fontId="9" fillId="5" borderId="3" xfId="0" applyFont="1" applyFill="1" applyBorder="1" applyAlignment="1" applyProtection="1">
      <alignment horizontal="center" vertical="top"/>
    </xf>
    <xf numFmtId="0" fontId="0" fillId="0" borderId="0" xfId="0" applyFill="1" applyAlignment="1" applyProtection="1">
      <alignment vertical="center"/>
    </xf>
    <xf numFmtId="0" fontId="54" fillId="0" borderId="0" xfId="0" applyFont="1" applyAlignment="1" applyProtection="1">
      <alignment vertical="center"/>
    </xf>
    <xf numFmtId="0" fontId="68" fillId="0" borderId="0" xfId="0" applyFont="1" applyAlignment="1" applyProtection="1">
      <alignment vertical="center"/>
    </xf>
    <xf numFmtId="0" fontId="68" fillId="0" borderId="8" xfId="0" applyFont="1" applyBorder="1" applyAlignment="1" applyProtection="1">
      <alignment horizontal="left" vertical="top" wrapText="1"/>
    </xf>
    <xf numFmtId="0" fontId="68" fillId="0" borderId="0" xfId="0" applyFont="1" applyBorder="1" applyAlignment="1" applyProtection="1">
      <alignment horizontal="left" vertical="top" wrapText="1"/>
    </xf>
    <xf numFmtId="0" fontId="54" fillId="0" borderId="0" xfId="0" applyFont="1" applyAlignment="1" applyProtection="1">
      <alignment horizontal="left" vertical="top" wrapText="1"/>
    </xf>
    <xf numFmtId="0" fontId="54" fillId="0" borderId="9" xfId="0" applyFont="1" applyBorder="1" applyAlignment="1" applyProtection="1">
      <alignment horizontal="left" vertical="top" wrapText="1"/>
    </xf>
    <xf numFmtId="0" fontId="0" fillId="0" borderId="8" xfId="0" applyBorder="1" applyAlignment="1" applyProtection="1">
      <alignment vertical="top" wrapText="1"/>
    </xf>
    <xf numFmtId="0" fontId="68" fillId="0" borderId="8" xfId="0" applyFont="1" applyBorder="1" applyAlignment="1" applyProtection="1">
      <alignment vertical="top" wrapText="1"/>
    </xf>
    <xf numFmtId="0" fontId="68" fillId="0" borderId="0" xfId="0" applyFont="1" applyBorder="1" applyAlignment="1" applyProtection="1">
      <alignment vertical="top" wrapText="1"/>
    </xf>
    <xf numFmtId="0" fontId="57" fillId="0" borderId="0" xfId="0" applyFont="1" applyAlignment="1" applyProtection="1">
      <alignment vertical="center"/>
    </xf>
    <xf numFmtId="0" fontId="0" fillId="0" borderId="0" xfId="0" applyBorder="1" applyAlignment="1" applyProtection="1">
      <alignment vertical="center"/>
    </xf>
    <xf numFmtId="0" fontId="57" fillId="0" borderId="0" xfId="0" applyFont="1" applyBorder="1" applyAlignment="1" applyProtection="1">
      <alignment vertical="top"/>
    </xf>
    <xf numFmtId="0" fontId="54" fillId="0" borderId="0" xfId="0" applyFont="1" applyBorder="1" applyAlignment="1" applyProtection="1">
      <alignment horizontal="left" vertical="top" wrapText="1"/>
    </xf>
    <xf numFmtId="0" fontId="9" fillId="5" borderId="3" xfId="0" applyFont="1" applyFill="1" applyBorder="1" applyAlignment="1" applyProtection="1">
      <alignment horizontal="center" vertical="center"/>
    </xf>
    <xf numFmtId="0" fontId="54" fillId="0" borderId="0" xfId="0" applyFont="1" applyAlignment="1" applyProtection="1">
      <alignment vertical="center" wrapText="1"/>
    </xf>
    <xf numFmtId="0" fontId="54" fillId="0" borderId="0" xfId="0" applyFont="1" applyAlignment="1" applyProtection="1">
      <alignment horizontal="center" vertical="center"/>
    </xf>
    <xf numFmtId="0" fontId="68" fillId="0" borderId="0" xfId="0" applyFont="1" applyBorder="1" applyAlignment="1" applyProtection="1">
      <alignment vertical="center"/>
    </xf>
    <xf numFmtId="0" fontId="12" fillId="0" borderId="0" xfId="0" applyFont="1" applyBorder="1" applyAlignment="1" applyProtection="1">
      <alignment vertical="center"/>
    </xf>
    <xf numFmtId="0" fontId="54" fillId="0" borderId="2" xfId="0" applyFont="1" applyBorder="1" applyAlignment="1" applyProtection="1">
      <alignment vertical="center"/>
    </xf>
    <xf numFmtId="0" fontId="54" fillId="0" borderId="38" xfId="0" applyFont="1" applyBorder="1" applyAlignment="1" applyProtection="1">
      <alignment vertical="center"/>
    </xf>
    <xf numFmtId="0" fontId="12" fillId="0" borderId="0" xfId="0" applyFont="1" applyFill="1" applyAlignment="1" applyProtection="1">
      <alignment horizontal="left" vertical="top" wrapText="1"/>
    </xf>
    <xf numFmtId="0" fontId="68" fillId="0" borderId="0" xfId="0" applyFont="1" applyAlignment="1" applyProtection="1">
      <alignment horizontal="left" vertical="top"/>
    </xf>
    <xf numFmtId="0" fontId="68" fillId="0" borderId="0" xfId="0" applyFont="1" applyAlignment="1" applyProtection="1">
      <alignment vertical="top"/>
    </xf>
    <xf numFmtId="0" fontId="54" fillId="0" borderId="0" xfId="0" applyFont="1" applyFill="1" applyAlignment="1" applyProtection="1">
      <alignment horizontal="justify"/>
    </xf>
    <xf numFmtId="0" fontId="54" fillId="0" borderId="0" xfId="0" applyFont="1" applyAlignment="1" applyProtection="1">
      <alignment horizontal="left" vertical="center" wrapText="1"/>
    </xf>
    <xf numFmtId="0" fontId="54" fillId="0" borderId="9" xfId="0" applyFont="1" applyBorder="1" applyAlignment="1" applyProtection="1">
      <alignment horizontal="left" vertical="center" wrapText="1"/>
    </xf>
    <xf numFmtId="0" fontId="68" fillId="0" borderId="0" xfId="0" applyFont="1" applyProtection="1"/>
    <xf numFmtId="0" fontId="54" fillId="0" borderId="0" xfId="0" applyFont="1" applyAlignment="1" applyProtection="1">
      <alignment vertical="top"/>
    </xf>
    <xf numFmtId="0" fontId="54" fillId="0" borderId="0" xfId="0" applyFont="1" applyAlignment="1" applyProtection="1">
      <alignment vertical="top" wrapText="1"/>
    </xf>
    <xf numFmtId="0" fontId="54" fillId="0" borderId="9" xfId="0" applyFont="1" applyBorder="1" applyAlignment="1" applyProtection="1">
      <alignment vertical="top" wrapText="1"/>
    </xf>
    <xf numFmtId="0" fontId="54" fillId="0" borderId="9" xfId="0" applyFont="1" applyBorder="1" applyAlignment="1" applyProtection="1">
      <alignment vertical="top" wrapText="1"/>
    </xf>
    <xf numFmtId="0" fontId="54" fillId="0" borderId="0" xfId="0" applyFont="1" applyAlignment="1" applyProtection="1">
      <alignment horizontal="left" vertical="top"/>
    </xf>
    <xf numFmtId="0" fontId="54" fillId="0" borderId="9" xfId="0" applyFont="1" applyBorder="1" applyAlignment="1" applyProtection="1">
      <alignment horizontal="left" vertical="top"/>
    </xf>
    <xf numFmtId="0" fontId="54" fillId="0" borderId="0" xfId="0" applyFont="1" applyFill="1" applyAlignment="1" applyProtection="1">
      <alignment horizontal="left" vertical="center" wrapText="1"/>
    </xf>
    <xf numFmtId="0" fontId="54" fillId="0" borderId="9" xfId="0" applyFont="1" applyFill="1" applyBorder="1" applyAlignment="1" applyProtection="1">
      <alignment horizontal="left" vertical="center" wrapText="1"/>
    </xf>
    <xf numFmtId="0" fontId="54" fillId="5" borderId="17" xfId="0" applyFont="1" applyFill="1" applyBorder="1" applyAlignment="1" applyProtection="1">
      <alignment horizontal="left" vertical="top" wrapText="1"/>
    </xf>
    <xf numFmtId="0" fontId="58" fillId="0" borderId="0" xfId="0" applyFont="1" applyBorder="1" applyAlignment="1" applyProtection="1">
      <alignment horizontal="left" vertical="top" wrapText="1"/>
    </xf>
    <xf numFmtId="0" fontId="54" fillId="5" borderId="18" xfId="0" applyFont="1" applyFill="1" applyBorder="1" applyAlignment="1" applyProtection="1">
      <alignment horizontal="left" vertical="top" wrapText="1"/>
    </xf>
    <xf numFmtId="0" fontId="9" fillId="5" borderId="38" xfId="0" applyFont="1" applyFill="1" applyBorder="1" applyAlignment="1" applyProtection="1">
      <alignment horizontal="center" vertical="top"/>
    </xf>
    <xf numFmtId="0" fontId="54" fillId="5" borderId="19" xfId="0" applyFont="1" applyFill="1" applyBorder="1" applyAlignment="1" applyProtection="1">
      <alignment horizontal="left" vertical="top" wrapText="1"/>
    </xf>
    <xf numFmtId="0" fontId="7" fillId="0" borderId="37"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12" fillId="0" borderId="0" xfId="0" applyFont="1" applyAlignment="1" applyProtection="1">
      <alignment vertical="center"/>
    </xf>
    <xf numFmtId="0" fontId="93" fillId="0" borderId="0" xfId="0" applyFont="1" applyAlignment="1" applyProtection="1">
      <alignment horizontal="center"/>
    </xf>
    <xf numFmtId="0" fontId="92" fillId="0" borderId="0" xfId="0" applyFont="1" applyAlignment="1" applyProtection="1">
      <alignment horizontal="center"/>
    </xf>
    <xf numFmtId="0" fontId="58" fillId="0" borderId="0" xfId="0" applyFont="1" applyBorder="1" applyAlignment="1" applyProtection="1">
      <alignment horizontal="justify" vertical="top" wrapText="1"/>
    </xf>
    <xf numFmtId="0" fontId="0" fillId="0" borderId="0" xfId="0" applyAlignment="1" applyProtection="1">
      <alignment horizontal="justify"/>
    </xf>
    <xf numFmtId="0" fontId="71" fillId="4" borderId="59" xfId="0" applyFont="1" applyFill="1" applyBorder="1" applyAlignment="1" applyProtection="1">
      <alignment horizontal="center" vertical="center"/>
    </xf>
    <xf numFmtId="0" fontId="71" fillId="4" borderId="36" xfId="0" applyFont="1" applyFill="1" applyBorder="1" applyAlignment="1" applyProtection="1">
      <alignment horizontal="center" vertical="center"/>
    </xf>
    <xf numFmtId="0" fontId="58" fillId="5" borderId="37" xfId="0" applyFont="1" applyFill="1" applyBorder="1" applyAlignment="1" applyProtection="1">
      <alignment horizontal="center" vertical="center"/>
    </xf>
    <xf numFmtId="0" fontId="58" fillId="5" borderId="38" xfId="0" applyFont="1" applyFill="1" applyBorder="1" applyAlignment="1" applyProtection="1">
      <alignment horizontal="center" vertical="center"/>
    </xf>
    <xf numFmtId="0" fontId="54" fillId="5" borderId="37" xfId="0" applyFont="1" applyFill="1" applyBorder="1" applyAlignment="1" applyProtection="1">
      <alignment horizontal="left" vertical="center"/>
    </xf>
    <xf numFmtId="0" fontId="54" fillId="5" borderId="2" xfId="0" applyFont="1" applyFill="1" applyBorder="1" applyAlignment="1" applyProtection="1">
      <alignment horizontal="left" vertical="center"/>
    </xf>
    <xf numFmtId="0" fontId="54" fillId="5" borderId="38" xfId="0" applyFont="1" applyFill="1" applyBorder="1" applyAlignment="1" applyProtection="1">
      <alignment horizontal="left" vertical="center"/>
    </xf>
    <xf numFmtId="0" fontId="58" fillId="0" borderId="0" xfId="0" applyFont="1" applyAlignment="1" applyProtection="1">
      <alignment horizontal="right"/>
    </xf>
    <xf numFmtId="0" fontId="58" fillId="5" borderId="37" xfId="0" applyFont="1" applyFill="1" applyBorder="1" applyAlignment="1" applyProtection="1">
      <alignment horizontal="left" vertical="center"/>
    </xf>
    <xf numFmtId="0" fontId="58" fillId="5" borderId="2" xfId="0" applyFont="1" applyFill="1" applyBorder="1" applyAlignment="1" applyProtection="1">
      <alignment horizontal="left" vertical="center"/>
    </xf>
    <xf numFmtId="0" fontId="58" fillId="5" borderId="38" xfId="0" applyFont="1" applyFill="1" applyBorder="1" applyAlignment="1" applyProtection="1">
      <alignment horizontal="left" vertical="center"/>
    </xf>
    <xf numFmtId="167" fontId="58" fillId="5" borderId="10" xfId="0" applyNumberFormat="1" applyFont="1" applyFill="1" applyBorder="1" applyAlignment="1" applyProtection="1">
      <alignment horizontal="left" vertical="center"/>
    </xf>
    <xf numFmtId="167" fontId="58" fillId="5" borderId="15" xfId="0" applyNumberFormat="1" applyFont="1" applyFill="1" applyBorder="1" applyAlignment="1" applyProtection="1">
      <alignment horizontal="left" vertical="center"/>
    </xf>
    <xf numFmtId="0" fontId="58" fillId="5" borderId="10" xfId="0" applyFont="1" applyFill="1" applyBorder="1" applyAlignment="1" applyProtection="1">
      <alignment horizontal="left" vertical="center"/>
    </xf>
    <xf numFmtId="0" fontId="58" fillId="5" borderId="14" xfId="0" applyFont="1" applyFill="1" applyBorder="1" applyAlignment="1" applyProtection="1">
      <alignment horizontal="left" vertical="center"/>
    </xf>
    <xf numFmtId="0" fontId="58" fillId="5" borderId="15" xfId="0" applyFont="1" applyFill="1" applyBorder="1" applyAlignment="1" applyProtection="1">
      <alignment horizontal="left" vertical="center"/>
    </xf>
    <xf numFmtId="167" fontId="58" fillId="5" borderId="37" xfId="0" applyNumberFormat="1" applyFont="1" applyFill="1" applyBorder="1" applyAlignment="1" applyProtection="1">
      <alignment horizontal="left" vertical="center"/>
    </xf>
    <xf numFmtId="167" fontId="58" fillId="5" borderId="38" xfId="0" applyNumberFormat="1" applyFont="1" applyFill="1" applyBorder="1" applyAlignment="1" applyProtection="1">
      <alignment horizontal="left" vertical="center"/>
    </xf>
    <xf numFmtId="0" fontId="58" fillId="5" borderId="3" xfId="0" applyFont="1" applyFill="1" applyBorder="1" applyAlignment="1" applyProtection="1">
      <alignment horizontal="left"/>
    </xf>
    <xf numFmtId="169" fontId="58" fillId="5" borderId="37" xfId="0" applyNumberFormat="1" applyFont="1" applyFill="1" applyBorder="1" applyAlignment="1" applyProtection="1">
      <alignment horizontal="center" vertical="center"/>
    </xf>
    <xf numFmtId="169" fontId="58" fillId="5" borderId="38" xfId="0" applyNumberFormat="1" applyFont="1" applyFill="1" applyBorder="1" applyAlignment="1" applyProtection="1">
      <alignment horizontal="center" vertical="center"/>
    </xf>
    <xf numFmtId="167" fontId="58" fillId="5" borderId="2" xfId="0" applyNumberFormat="1" applyFont="1" applyFill="1" applyBorder="1" applyAlignment="1" applyProtection="1">
      <alignment horizontal="left" vertical="center"/>
    </xf>
    <xf numFmtId="0" fontId="58" fillId="5" borderId="3" xfId="0" applyFont="1" applyFill="1" applyBorder="1" applyAlignment="1" applyProtection="1">
      <alignment horizontal="center" vertical="center"/>
    </xf>
    <xf numFmtId="0" fontId="58" fillId="5" borderId="37" xfId="0" applyNumberFormat="1" applyFont="1" applyFill="1" applyBorder="1" applyAlignment="1" applyProtection="1">
      <alignment horizontal="left" vertical="center"/>
    </xf>
    <xf numFmtId="0" fontId="58" fillId="5" borderId="2" xfId="0" applyNumberFormat="1" applyFont="1" applyFill="1" applyBorder="1" applyAlignment="1" applyProtection="1">
      <alignment horizontal="left" vertical="center"/>
    </xf>
    <xf numFmtId="0" fontId="58" fillId="5" borderId="38" xfId="0" applyNumberFormat="1" applyFont="1" applyFill="1" applyBorder="1" applyAlignment="1" applyProtection="1">
      <alignment horizontal="left" vertical="center"/>
    </xf>
    <xf numFmtId="0" fontId="54" fillId="5" borderId="3" xfId="0" applyFont="1" applyFill="1" applyBorder="1" applyAlignment="1" applyProtection="1">
      <alignment horizontal="left" vertical="center"/>
    </xf>
    <xf numFmtId="0" fontId="58" fillId="6" borderId="37" xfId="0" applyNumberFormat="1" applyFont="1" applyFill="1" applyBorder="1" applyAlignment="1" applyProtection="1">
      <alignment horizontal="left" vertical="center"/>
    </xf>
    <xf numFmtId="0" fontId="58" fillId="6" borderId="38" xfId="0" applyNumberFormat="1" applyFont="1" applyFill="1" applyBorder="1" applyAlignment="1" applyProtection="1">
      <alignment horizontal="left" vertical="center"/>
    </xf>
    <xf numFmtId="0" fontId="0" fillId="0" borderId="38" xfId="0" applyBorder="1" applyProtection="1"/>
    <xf numFmtId="0" fontId="58" fillId="5" borderId="3" xfId="0" applyFont="1" applyFill="1" applyBorder="1" applyAlignment="1" applyProtection="1">
      <alignment horizontal="left" vertical="center"/>
    </xf>
    <xf numFmtId="0" fontId="58" fillId="6" borderId="37" xfId="0" applyFont="1" applyFill="1" applyBorder="1" applyAlignment="1" applyProtection="1">
      <alignment horizontal="left" vertical="center"/>
    </xf>
    <xf numFmtId="0" fontId="58" fillId="6" borderId="2" xfId="0" applyFont="1" applyFill="1" applyBorder="1" applyAlignment="1" applyProtection="1">
      <alignment horizontal="left" vertical="center"/>
    </xf>
    <xf numFmtId="0" fontId="58" fillId="6" borderId="38" xfId="0" applyFont="1" applyFill="1" applyBorder="1" applyAlignment="1" applyProtection="1">
      <alignment horizontal="left" vertical="center"/>
    </xf>
    <xf numFmtId="164" fontId="58" fillId="5" borderId="3" xfId="1" applyNumberFormat="1" applyFont="1" applyFill="1" applyBorder="1" applyAlignment="1" applyProtection="1">
      <alignment vertical="center"/>
    </xf>
    <xf numFmtId="1" fontId="58" fillId="5" borderId="37" xfId="1" applyNumberFormat="1" applyFont="1" applyFill="1" applyBorder="1" applyAlignment="1" applyProtection="1">
      <alignment horizontal="center" vertical="center"/>
    </xf>
    <xf numFmtId="1" fontId="58" fillId="5" borderId="38" xfId="1" applyNumberFormat="1" applyFont="1" applyFill="1" applyBorder="1" applyAlignment="1" applyProtection="1">
      <alignment horizontal="center" vertical="center"/>
    </xf>
    <xf numFmtId="38" fontId="58" fillId="5" borderId="37" xfId="0" applyNumberFormat="1" applyFont="1" applyFill="1" applyBorder="1" applyAlignment="1" applyProtection="1">
      <alignment horizontal="left" vertical="center"/>
    </xf>
    <xf numFmtId="38" fontId="58" fillId="5" borderId="2" xfId="0" applyNumberFormat="1" applyFont="1" applyFill="1" applyBorder="1" applyAlignment="1" applyProtection="1">
      <alignment horizontal="left" vertical="center"/>
    </xf>
    <xf numFmtId="38" fontId="58" fillId="5" borderId="38" xfId="0" applyNumberFormat="1" applyFont="1" applyFill="1" applyBorder="1" applyAlignment="1" applyProtection="1">
      <alignment horizontal="left" vertical="center"/>
    </xf>
    <xf numFmtId="38" fontId="2" fillId="5" borderId="84" xfId="0" applyNumberFormat="1" applyFont="1" applyFill="1" applyBorder="1" applyAlignment="1" applyProtection="1">
      <alignment horizontal="left" vertical="center"/>
    </xf>
    <xf numFmtId="38" fontId="2" fillId="5" borderId="88" xfId="0" applyNumberFormat="1" applyFont="1" applyFill="1" applyBorder="1" applyAlignment="1" applyProtection="1">
      <alignment horizontal="left" vertical="center"/>
    </xf>
    <xf numFmtId="38" fontId="2" fillId="5" borderId="96" xfId="0" applyNumberFormat="1" applyFont="1" applyFill="1" applyBorder="1" applyAlignment="1" applyProtection="1">
      <alignment horizontal="left" vertical="center"/>
    </xf>
    <xf numFmtId="38" fontId="2" fillId="5" borderId="85" xfId="0" applyNumberFormat="1" applyFont="1" applyFill="1" applyBorder="1" applyAlignment="1" applyProtection="1">
      <alignment horizontal="left" vertical="center"/>
    </xf>
    <xf numFmtId="169" fontId="2" fillId="5" borderId="84" xfId="0" applyNumberFormat="1" applyFont="1" applyFill="1" applyBorder="1" applyAlignment="1" applyProtection="1">
      <alignment horizontal="left" vertical="center"/>
    </xf>
    <xf numFmtId="169" fontId="2" fillId="5" borderId="85" xfId="0" applyNumberFormat="1" applyFont="1" applyFill="1" applyBorder="1" applyAlignment="1" applyProtection="1">
      <alignment horizontal="left" vertical="center"/>
    </xf>
    <xf numFmtId="167" fontId="2" fillId="5" borderId="84" xfId="0" applyNumberFormat="1" applyFont="1" applyFill="1" applyBorder="1" applyAlignment="1" applyProtection="1">
      <alignment horizontal="center" vertical="center"/>
    </xf>
    <xf numFmtId="167" fontId="2" fillId="5" borderId="88" xfId="0" applyNumberFormat="1" applyFont="1" applyFill="1" applyBorder="1" applyAlignment="1" applyProtection="1">
      <alignment horizontal="center" vertical="center"/>
    </xf>
    <xf numFmtId="167" fontId="2" fillId="5" borderId="85" xfId="0" applyNumberFormat="1" applyFont="1" applyFill="1" applyBorder="1" applyAlignment="1" applyProtection="1">
      <alignment horizontal="center" vertical="center"/>
    </xf>
    <xf numFmtId="176" fontId="58" fillId="5" borderId="3" xfId="0" applyNumberFormat="1" applyFont="1" applyFill="1" applyBorder="1" applyAlignment="1" applyProtection="1">
      <alignment horizontal="center" vertical="center"/>
    </xf>
    <xf numFmtId="3" fontId="58" fillId="5" borderId="3" xfId="1" applyNumberFormat="1" applyFont="1" applyFill="1" applyBorder="1" applyAlignment="1" applyProtection="1">
      <alignment horizontal="center" vertical="center"/>
    </xf>
    <xf numFmtId="0" fontId="58" fillId="5" borderId="37" xfId="0" applyFont="1" applyFill="1" applyBorder="1" applyAlignment="1" applyProtection="1">
      <alignment horizontal="left"/>
    </xf>
    <xf numFmtId="0" fontId="58" fillId="5" borderId="38" xfId="0" applyFont="1" applyFill="1" applyBorder="1" applyAlignment="1" applyProtection="1">
      <alignment horizontal="left"/>
    </xf>
    <xf numFmtId="0" fontId="58" fillId="5" borderId="37" xfId="0" applyFont="1" applyFill="1" applyBorder="1" applyAlignment="1" applyProtection="1">
      <alignment horizontal="center"/>
    </xf>
    <xf numFmtId="0" fontId="58" fillId="5" borderId="2" xfId="0" applyFont="1" applyFill="1" applyBorder="1" applyAlignment="1" applyProtection="1">
      <alignment horizontal="center"/>
    </xf>
    <xf numFmtId="0" fontId="58" fillId="5" borderId="38" xfId="0" applyFont="1" applyFill="1" applyBorder="1" applyAlignment="1" applyProtection="1">
      <alignment horizontal="center"/>
    </xf>
    <xf numFmtId="175" fontId="58" fillId="5" borderId="37" xfId="0" applyNumberFormat="1" applyFont="1" applyFill="1" applyBorder="1" applyAlignment="1" applyProtection="1">
      <alignment horizontal="left" vertical="center"/>
    </xf>
    <xf numFmtId="175" fontId="58" fillId="5" borderId="38" xfId="0" applyNumberFormat="1" applyFont="1" applyFill="1" applyBorder="1" applyAlignment="1" applyProtection="1">
      <alignment horizontal="left" vertical="center"/>
    </xf>
    <xf numFmtId="0" fontId="58" fillId="0" borderId="2" xfId="0" applyFont="1" applyBorder="1" applyProtection="1"/>
    <xf numFmtId="0" fontId="58" fillId="0" borderId="38" xfId="0" applyFont="1" applyBorder="1" applyProtection="1"/>
    <xf numFmtId="167" fontId="58" fillId="5" borderId="37" xfId="0" applyNumberFormat="1" applyFont="1" applyFill="1" applyBorder="1" applyAlignment="1" applyProtection="1">
      <alignment horizontal="center" vertical="center"/>
    </xf>
    <xf numFmtId="0" fontId="58" fillId="5" borderId="3" xfId="0" applyFont="1" applyFill="1" applyBorder="1" applyAlignment="1" applyProtection="1">
      <alignment horizontal="center"/>
    </xf>
    <xf numFmtId="3" fontId="58" fillId="5" borderId="3" xfId="0" applyNumberFormat="1" applyFont="1" applyFill="1" applyBorder="1" applyAlignment="1" applyProtection="1">
      <alignment horizontal="center"/>
    </xf>
    <xf numFmtId="0" fontId="54" fillId="5" borderId="54" xfId="0" applyFont="1" applyFill="1" applyBorder="1" applyAlignment="1" applyProtection="1">
      <alignment horizontal="left" vertical="center"/>
    </xf>
    <xf numFmtId="0" fontId="54" fillId="5" borderId="55" xfId="0" applyFont="1" applyFill="1" applyBorder="1" applyAlignment="1" applyProtection="1">
      <alignment horizontal="left" vertical="center"/>
    </xf>
    <xf numFmtId="0" fontId="54" fillId="5" borderId="24" xfId="0" applyFont="1" applyFill="1" applyBorder="1" applyAlignment="1" applyProtection="1">
      <alignment horizontal="left" vertical="center"/>
    </xf>
    <xf numFmtId="0" fontId="54" fillId="5" borderId="53" xfId="0" applyFont="1" applyFill="1" applyBorder="1" applyAlignment="1" applyProtection="1">
      <alignment horizontal="left" vertical="center"/>
    </xf>
    <xf numFmtId="0" fontId="54" fillId="5" borderId="39" xfId="0" applyFont="1" applyFill="1" applyBorder="1" applyAlignment="1" applyProtection="1">
      <alignment horizontal="left" vertical="center"/>
    </xf>
    <xf numFmtId="0" fontId="54" fillId="5" borderId="26" xfId="0" applyFont="1" applyFill="1" applyBorder="1" applyAlignment="1" applyProtection="1">
      <alignment horizontal="left" vertical="center"/>
    </xf>
    <xf numFmtId="0" fontId="54" fillId="5" borderId="51" xfId="0" applyFont="1" applyFill="1" applyBorder="1" applyAlignment="1" applyProtection="1">
      <alignment horizontal="left" vertical="center"/>
    </xf>
    <xf numFmtId="0" fontId="54" fillId="5" borderId="52" xfId="0" applyFont="1" applyFill="1" applyBorder="1" applyAlignment="1" applyProtection="1">
      <alignment horizontal="left" vertical="center"/>
    </xf>
    <xf numFmtId="0" fontId="54" fillId="5" borderId="25" xfId="0" applyFont="1" applyFill="1" applyBorder="1" applyAlignment="1" applyProtection="1">
      <alignment horizontal="left" vertical="center"/>
    </xf>
    <xf numFmtId="1" fontId="58" fillId="5" borderId="3" xfId="0" applyNumberFormat="1" applyFont="1" applyFill="1" applyBorder="1" applyAlignment="1" applyProtection="1">
      <alignment horizontal="center" vertical="center"/>
    </xf>
    <xf numFmtId="0" fontId="58" fillId="5" borderId="7" xfId="0" applyFont="1" applyFill="1" applyBorder="1" applyAlignment="1" applyProtection="1">
      <alignment horizontal="left" vertical="center"/>
    </xf>
    <xf numFmtId="167" fontId="58" fillId="5" borderId="84" xfId="0" applyNumberFormat="1" applyFont="1" applyFill="1" applyBorder="1" applyAlignment="1" applyProtection="1">
      <alignment horizontal="left" vertical="center"/>
    </xf>
    <xf numFmtId="167" fontId="58" fillId="5" borderId="88" xfId="0" applyNumberFormat="1" applyFont="1" applyFill="1" applyBorder="1" applyAlignment="1" applyProtection="1">
      <alignment horizontal="left" vertical="center"/>
    </xf>
    <xf numFmtId="167" fontId="58" fillId="5" borderId="85" xfId="0" applyNumberFormat="1" applyFont="1" applyFill="1" applyBorder="1" applyAlignment="1" applyProtection="1">
      <alignment horizontal="left" vertical="center"/>
    </xf>
    <xf numFmtId="0" fontId="58" fillId="5" borderId="3" xfId="1" applyNumberFormat="1" applyFont="1" applyFill="1" applyBorder="1" applyAlignment="1" applyProtection="1">
      <alignment horizontal="center" vertical="center"/>
    </xf>
    <xf numFmtId="8" fontId="58" fillId="5" borderId="37" xfId="0" applyNumberFormat="1" applyFont="1" applyFill="1" applyBorder="1" applyAlignment="1" applyProtection="1">
      <alignment horizontal="center" vertical="center"/>
    </xf>
    <xf numFmtId="8" fontId="58" fillId="5" borderId="38" xfId="0" applyNumberFormat="1" applyFont="1" applyFill="1" applyBorder="1" applyAlignment="1" applyProtection="1">
      <alignment horizontal="center" vertical="center"/>
    </xf>
    <xf numFmtId="0" fontId="58" fillId="5" borderId="2" xfId="0" applyFont="1" applyFill="1" applyBorder="1" applyAlignment="1" applyProtection="1">
      <alignment horizontal="left"/>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74" fillId="0" borderId="0" xfId="0" quotePrefix="1" applyNumberFormat="1" applyFont="1" applyProtection="1"/>
    <xf numFmtId="0" fontId="97" fillId="0" borderId="0" xfId="0" applyNumberFormat="1" applyFont="1" applyProtection="1"/>
    <xf numFmtId="0" fontId="97" fillId="0" borderId="0" xfId="0" applyFont="1" applyProtection="1"/>
    <xf numFmtId="0" fontId="74" fillId="0" borderId="0" xfId="0" applyNumberFormat="1" applyFont="1" applyProtection="1"/>
    <xf numFmtId="0" fontId="75" fillId="0" borderId="0" xfId="0" applyFont="1" applyFill="1" applyAlignment="1" applyProtection="1">
      <alignment horizontal="center" vertical="center"/>
    </xf>
    <xf numFmtId="0" fontId="58" fillId="5" borderId="38" xfId="0" applyFont="1" applyFill="1" applyBorder="1" applyAlignment="1" applyProtection="1">
      <alignment horizontal="center"/>
    </xf>
    <xf numFmtId="0" fontId="84" fillId="0" borderId="0" xfId="6" applyFont="1" applyFill="1" applyAlignment="1" applyProtection="1">
      <alignment vertical="center"/>
    </xf>
    <xf numFmtId="0" fontId="84" fillId="0" borderId="0" xfId="6" applyFont="1" applyFill="1" applyBorder="1" applyAlignment="1" applyProtection="1">
      <alignment vertical="center"/>
    </xf>
    <xf numFmtId="167" fontId="58" fillId="0" borderId="14" xfId="0" applyNumberFormat="1" applyFont="1" applyFill="1" applyBorder="1" applyAlignment="1" applyProtection="1">
      <alignment vertical="center"/>
    </xf>
    <xf numFmtId="0" fontId="58" fillId="5" borderId="84" xfId="0" applyFont="1" applyFill="1" applyBorder="1" applyAlignment="1" applyProtection="1">
      <alignment horizontal="left" vertical="center"/>
    </xf>
    <xf numFmtId="0" fontId="58" fillId="0" borderId="88" xfId="0" applyFont="1" applyBorder="1" applyProtection="1"/>
    <xf numFmtId="0" fontId="58" fillId="0" borderId="85" xfId="0" applyFont="1" applyBorder="1" applyProtection="1"/>
    <xf numFmtId="167" fontId="58" fillId="0" borderId="2" xfId="0" applyNumberFormat="1" applyFont="1" applyFill="1" applyBorder="1" applyAlignment="1" applyProtection="1">
      <alignment vertical="center"/>
    </xf>
    <xf numFmtId="0" fontId="58" fillId="5" borderId="84" xfId="0" applyNumberFormat="1" applyFont="1" applyFill="1" applyBorder="1" applyAlignment="1" applyProtection="1">
      <alignment horizontal="left" vertical="center"/>
    </xf>
    <xf numFmtId="0" fontId="58" fillId="5" borderId="88" xfId="0" applyNumberFormat="1" applyFont="1" applyFill="1" applyBorder="1" applyAlignment="1" applyProtection="1">
      <alignment horizontal="left" vertical="center"/>
    </xf>
    <xf numFmtId="0" fontId="58" fillId="5" borderId="85" xfId="0" applyNumberFormat="1" applyFont="1" applyFill="1" applyBorder="1" applyAlignment="1" applyProtection="1">
      <alignment horizontal="left" vertical="center"/>
    </xf>
    <xf numFmtId="0" fontId="58" fillId="0" borderId="0" xfId="0" applyFont="1" applyBorder="1" applyProtection="1"/>
    <xf numFmtId="0" fontId="58" fillId="5" borderId="88" xfId="0" applyFont="1" applyFill="1" applyBorder="1" applyAlignment="1" applyProtection="1">
      <alignment horizontal="left" vertical="center"/>
    </xf>
    <xf numFmtId="0" fontId="58" fillId="5" borderId="96" xfId="0" applyFont="1" applyFill="1" applyBorder="1" applyAlignment="1" applyProtection="1">
      <alignment horizontal="left" vertical="center"/>
    </xf>
    <xf numFmtId="0" fontId="58" fillId="5" borderId="84" xfId="0" applyFont="1" applyFill="1" applyBorder="1" applyAlignment="1" applyProtection="1">
      <alignment horizontal="left"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8" fillId="5" borderId="17" xfId="0" applyFont="1" applyFill="1" applyBorder="1" applyAlignment="1" applyProtection="1">
      <alignment horizontal="center" vertical="center"/>
    </xf>
    <xf numFmtId="0" fontId="2" fillId="5" borderId="17" xfId="0" applyFont="1" applyFill="1" applyBorder="1" applyAlignment="1" applyProtection="1">
      <alignment horizontal="center" vertical="center"/>
    </xf>
    <xf numFmtId="0" fontId="2" fillId="5" borderId="29" xfId="0" applyFont="1" applyFill="1" applyBorder="1" applyAlignment="1" applyProtection="1">
      <alignment horizontal="center" vertical="center"/>
    </xf>
    <xf numFmtId="0" fontId="2" fillId="5" borderId="60"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29" xfId="0" applyNumberFormat="1" applyFont="1" applyFill="1" applyBorder="1" applyAlignment="1" applyProtection="1">
      <alignment horizontal="center" vertical="center"/>
    </xf>
    <xf numFmtId="0" fontId="2" fillId="5" borderId="30" xfId="0" applyNumberFormat="1" applyFont="1" applyFill="1" applyBorder="1" applyAlignment="1" applyProtection="1">
      <alignment horizontal="center" vertical="center"/>
    </xf>
    <xf numFmtId="174" fontId="2" fillId="5" borderId="29" xfId="10" applyNumberFormat="1" applyFont="1" applyFill="1" applyBorder="1" applyAlignment="1" applyProtection="1">
      <alignment horizontal="center" vertical="center"/>
    </xf>
    <xf numFmtId="174" fontId="2" fillId="5" borderId="30" xfId="0" applyNumberFormat="1" applyFont="1" applyFill="1" applyBorder="1" applyProtection="1"/>
    <xf numFmtId="0" fontId="58" fillId="5" borderId="18" xfId="0" applyFont="1" applyFill="1" applyBorder="1" applyAlignment="1" applyProtection="1">
      <alignment horizontal="center" vertical="center"/>
    </xf>
    <xf numFmtId="0" fontId="2" fillId="5" borderId="18"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5" borderId="22" xfId="0"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31" xfId="0" applyNumberFormat="1" applyFont="1" applyFill="1" applyBorder="1" applyAlignment="1" applyProtection="1">
      <alignment horizontal="center" vertical="center"/>
    </xf>
    <xf numFmtId="0" fontId="2" fillId="5" borderId="32" xfId="0" applyNumberFormat="1" applyFont="1" applyFill="1" applyBorder="1" applyAlignment="1" applyProtection="1">
      <alignment horizontal="center" vertical="center"/>
    </xf>
    <xf numFmtId="174" fontId="2" fillId="5" borderId="31" xfId="10" applyNumberFormat="1" applyFont="1" applyFill="1" applyBorder="1" applyAlignment="1" applyProtection="1">
      <alignment horizontal="center" vertical="center"/>
    </xf>
    <xf numFmtId="174" fontId="2" fillId="5" borderId="32" xfId="0" applyNumberFormat="1" applyFont="1" applyFill="1" applyBorder="1" applyProtection="1"/>
    <xf numFmtId="0" fontId="58" fillId="5" borderId="19"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34" xfId="0" applyFont="1" applyFill="1" applyBorder="1" applyAlignment="1" applyProtection="1">
      <alignment horizontal="center" vertical="center"/>
    </xf>
    <xf numFmtId="0" fontId="2" fillId="5" borderId="61" xfId="0" applyFont="1" applyFill="1" applyBorder="1" applyAlignment="1" applyProtection="1">
      <alignment horizontal="center" vertical="center"/>
    </xf>
    <xf numFmtId="0" fontId="2" fillId="5" borderId="35" xfId="0" applyFont="1" applyFill="1" applyBorder="1" applyAlignment="1" applyProtection="1">
      <alignment horizontal="center" vertical="center"/>
    </xf>
    <xf numFmtId="0" fontId="2" fillId="5" borderId="34" xfId="0" applyNumberFormat="1" applyFont="1" applyFill="1" applyBorder="1" applyAlignment="1" applyProtection="1">
      <alignment horizontal="center" vertical="center"/>
    </xf>
    <xf numFmtId="0" fontId="2" fillId="5" borderId="35" xfId="0" applyNumberFormat="1" applyFont="1" applyFill="1" applyBorder="1" applyAlignment="1" applyProtection="1">
      <alignment horizontal="center" vertical="center"/>
    </xf>
    <xf numFmtId="174" fontId="2" fillId="5" borderId="34" xfId="10" applyNumberFormat="1" applyFont="1" applyFill="1" applyBorder="1" applyAlignment="1" applyProtection="1">
      <alignment horizontal="center" vertical="center"/>
    </xf>
    <xf numFmtId="174" fontId="2" fillId="5" borderId="35" xfId="0" applyNumberFormat="1" applyFont="1" applyFill="1" applyBorder="1" applyProtection="1"/>
    <xf numFmtId="0" fontId="54" fillId="5" borderId="29" xfId="0" applyFont="1" applyFill="1" applyBorder="1" applyAlignment="1" applyProtection="1">
      <alignment horizontal="left" vertical="top" wrapText="1"/>
    </xf>
    <xf numFmtId="0" fontId="54" fillId="5" borderId="60" xfId="0" applyFont="1" applyFill="1" applyBorder="1" applyAlignment="1" applyProtection="1">
      <alignment horizontal="left" vertical="top" wrapText="1"/>
    </xf>
    <xf numFmtId="0" fontId="54" fillId="5" borderId="30" xfId="0" applyFont="1" applyFill="1" applyBorder="1" applyAlignment="1" applyProtection="1">
      <alignment horizontal="left" vertical="top" wrapText="1"/>
    </xf>
    <xf numFmtId="0" fontId="76" fillId="0" borderId="0" xfId="0" applyFont="1" applyAlignment="1" applyProtection="1">
      <alignment vertical="center"/>
    </xf>
    <xf numFmtId="37" fontId="58" fillId="5" borderId="37" xfId="0" applyNumberFormat="1" applyFont="1" applyFill="1" applyBorder="1" applyAlignment="1" applyProtection="1">
      <alignment horizontal="center" vertical="center"/>
    </xf>
    <xf numFmtId="37" fontId="58" fillId="5" borderId="38" xfId="0" applyNumberFormat="1" applyFont="1" applyFill="1" applyBorder="1" applyAlignment="1" applyProtection="1">
      <alignment horizontal="center" vertical="center"/>
    </xf>
    <xf numFmtId="0" fontId="54" fillId="13" borderId="45" xfId="0" applyFont="1" applyFill="1" applyBorder="1" applyAlignment="1" applyProtection="1">
      <alignment horizontal="left" vertical="top" wrapText="1"/>
    </xf>
    <xf numFmtId="0" fontId="54" fillId="13" borderId="40" xfId="0" applyFont="1" applyFill="1" applyBorder="1" applyAlignment="1" applyProtection="1">
      <alignment horizontal="left" vertical="top" wrapText="1"/>
    </xf>
    <xf numFmtId="0" fontId="54" fillId="13" borderId="41" xfId="0" applyFont="1" applyFill="1" applyBorder="1" applyAlignment="1" applyProtection="1">
      <alignment horizontal="left" vertical="top" wrapText="1"/>
    </xf>
    <xf numFmtId="0" fontId="54" fillId="13" borderId="42" xfId="0" applyFont="1" applyFill="1" applyBorder="1" applyAlignment="1" applyProtection="1">
      <alignment horizontal="left" vertical="top" wrapText="1"/>
    </xf>
    <xf numFmtId="0" fontId="54" fillId="13" borderId="43" xfId="0" applyFont="1" applyFill="1" applyBorder="1" applyAlignment="1" applyProtection="1">
      <alignment horizontal="left" vertical="top" wrapText="1"/>
    </xf>
    <xf numFmtId="0" fontId="54" fillId="13" borderId="62" xfId="0" applyFont="1" applyFill="1" applyBorder="1" applyAlignment="1" applyProtection="1">
      <alignment horizontal="left" vertical="top" wrapText="1"/>
    </xf>
    <xf numFmtId="164" fontId="58" fillId="5" borderId="37" xfId="1" applyNumberFormat="1" applyFont="1" applyFill="1" applyBorder="1" applyAlignment="1" applyProtection="1">
      <alignment horizontal="right" vertical="center"/>
    </xf>
    <xf numFmtId="164" fontId="58" fillId="5" borderId="38" xfId="1" applyNumberFormat="1" applyFont="1" applyFill="1" applyBorder="1" applyAlignment="1" applyProtection="1">
      <alignment horizontal="right" vertical="center"/>
    </xf>
    <xf numFmtId="166" fontId="58" fillId="5" borderId="37" xfId="10" applyNumberFormat="1" applyFont="1" applyFill="1" applyBorder="1" applyAlignment="1" applyProtection="1">
      <alignment horizontal="center" vertical="center"/>
    </xf>
    <xf numFmtId="166" fontId="58" fillId="5" borderId="38" xfId="10" applyNumberFormat="1" applyFont="1" applyFill="1" applyBorder="1" applyAlignment="1" applyProtection="1">
      <alignment horizontal="center" vertical="center"/>
    </xf>
    <xf numFmtId="3" fontId="58" fillId="5" borderId="37" xfId="1" applyNumberFormat="1" applyFont="1" applyFill="1" applyBorder="1" applyAlignment="1" applyProtection="1">
      <alignment horizontal="center" vertical="center"/>
    </xf>
    <xf numFmtId="3" fontId="58" fillId="5" borderId="38" xfId="1" applyNumberFormat="1" applyFont="1" applyFill="1" applyBorder="1" applyAlignment="1" applyProtection="1">
      <alignment horizontal="center" vertical="center"/>
    </xf>
    <xf numFmtId="3" fontId="58" fillId="5" borderId="37" xfId="0" applyNumberFormat="1" applyFont="1" applyFill="1" applyBorder="1" applyAlignment="1" applyProtection="1">
      <alignment horizontal="center" vertical="center"/>
    </xf>
    <xf numFmtId="3" fontId="58" fillId="5" borderId="38" xfId="0" applyNumberFormat="1" applyFont="1" applyFill="1" applyBorder="1" applyAlignment="1" applyProtection="1">
      <alignment horizontal="center" vertical="center"/>
    </xf>
    <xf numFmtId="164" fontId="58" fillId="5" borderId="84" xfId="1" applyNumberFormat="1" applyFont="1" applyFill="1" applyBorder="1" applyAlignment="1" applyProtection="1">
      <alignment horizontal="right" vertical="center"/>
    </xf>
    <xf numFmtId="164" fontId="58" fillId="5" borderId="96" xfId="1" applyNumberFormat="1" applyFont="1" applyFill="1" applyBorder="1" applyAlignment="1" applyProtection="1">
      <alignment horizontal="right" vertical="center"/>
    </xf>
    <xf numFmtId="0" fontId="58" fillId="5" borderId="3" xfId="0" applyFont="1" applyFill="1" applyBorder="1" applyAlignment="1" applyProtection="1">
      <alignment horizontal="left" vertical="center"/>
    </xf>
    <xf numFmtId="38" fontId="68" fillId="10" borderId="37" xfId="2" applyNumberFormat="1" applyFont="1" applyFill="1" applyBorder="1" applyAlignment="1" applyProtection="1">
      <alignment horizontal="right" vertical="center"/>
    </xf>
    <xf numFmtId="38" fontId="68" fillId="10" borderId="38" xfId="2" applyNumberFormat="1" applyFont="1" applyFill="1" applyBorder="1" applyAlignment="1" applyProtection="1">
      <alignment horizontal="right" vertical="center"/>
    </xf>
    <xf numFmtId="0" fontId="58" fillId="0" borderId="14" xfId="0" applyFont="1" applyBorder="1" applyAlignment="1" applyProtection="1">
      <alignment horizontal="center" wrapText="1"/>
    </xf>
    <xf numFmtId="0" fontId="58" fillId="5" borderId="88" xfId="0" applyFont="1" applyFill="1" applyBorder="1" applyAlignment="1" applyProtection="1">
      <alignment vertical="center"/>
    </xf>
    <xf numFmtId="0" fontId="58" fillId="5" borderId="85" xfId="0" applyFont="1" applyFill="1" applyBorder="1" applyAlignment="1" applyProtection="1">
      <alignment vertical="center"/>
    </xf>
    <xf numFmtId="38" fontId="58" fillId="5" borderId="88" xfId="0" applyNumberFormat="1" applyFont="1" applyFill="1" applyBorder="1" applyAlignment="1" applyProtection="1">
      <alignment horizontal="right" vertical="center"/>
    </xf>
    <xf numFmtId="0" fontId="58" fillId="5" borderId="38" xfId="0" applyFont="1" applyFill="1" applyBorder="1" applyAlignment="1" applyProtection="1">
      <alignment vertical="center"/>
    </xf>
    <xf numFmtId="166" fontId="58" fillId="5" borderId="3" xfId="0" applyNumberFormat="1" applyFont="1" applyFill="1" applyBorder="1" applyAlignment="1" applyProtection="1">
      <alignment horizontal="center" vertical="center"/>
    </xf>
    <xf numFmtId="38" fontId="58" fillId="6" borderId="37" xfId="2" applyNumberFormat="1" applyFont="1" applyFill="1" applyBorder="1" applyAlignment="1" applyProtection="1">
      <alignment horizontal="center" vertical="center"/>
    </xf>
    <xf numFmtId="38" fontId="58" fillId="6" borderId="38" xfId="2" applyNumberFormat="1" applyFont="1" applyFill="1" applyBorder="1" applyAlignment="1" applyProtection="1">
      <alignment horizontal="center" vertical="center"/>
    </xf>
    <xf numFmtId="2" fontId="58" fillId="5" borderId="3" xfId="0" applyNumberFormat="1" applyFont="1" applyFill="1" applyBorder="1" applyAlignment="1" applyProtection="1">
      <alignment horizontal="center" vertical="center"/>
    </xf>
    <xf numFmtId="0" fontId="58" fillId="5" borderId="14" xfId="0" applyFont="1" applyFill="1" applyBorder="1" applyAlignment="1" applyProtection="1">
      <alignment vertical="center"/>
    </xf>
    <xf numFmtId="0" fontId="58" fillId="5" borderId="15" xfId="0" applyFont="1" applyFill="1" applyBorder="1" applyAlignment="1" applyProtection="1">
      <alignment vertical="center"/>
    </xf>
    <xf numFmtId="38" fontId="58" fillId="5" borderId="37" xfId="0" applyNumberFormat="1" applyFont="1" applyFill="1" applyBorder="1" applyAlignment="1" applyProtection="1">
      <alignment horizontal="right" vertical="center"/>
    </xf>
    <xf numFmtId="0" fontId="58" fillId="5" borderId="2" xfId="0" applyFont="1" applyFill="1" applyBorder="1" applyAlignment="1" applyProtection="1">
      <alignment vertical="center"/>
    </xf>
    <xf numFmtId="38" fontId="58" fillId="5" borderId="3" xfId="0" applyNumberFormat="1" applyFont="1" applyFill="1" applyBorder="1" applyAlignment="1" applyProtection="1">
      <alignment horizontal="right" vertical="center"/>
    </xf>
    <xf numFmtId="0" fontId="58" fillId="5" borderId="3" xfId="0" applyFont="1" applyFill="1" applyBorder="1" applyAlignment="1" applyProtection="1">
      <alignment vertical="center"/>
    </xf>
    <xf numFmtId="38" fontId="58"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2" fillId="13" borderId="45" xfId="0" applyFont="1" applyFill="1" applyBorder="1" applyAlignment="1" applyProtection="1">
      <alignment horizontal="left" vertical="top" wrapText="1"/>
    </xf>
    <xf numFmtId="0" fontId="12" fillId="13" borderId="40" xfId="0" applyFont="1" applyFill="1" applyBorder="1" applyAlignment="1" applyProtection="1">
      <alignment horizontal="left" vertical="top" wrapText="1"/>
    </xf>
    <xf numFmtId="0" fontId="12" fillId="13" borderId="41" xfId="0" applyFont="1" applyFill="1" applyBorder="1" applyAlignment="1" applyProtection="1">
      <alignment horizontal="left" vertical="top" wrapText="1"/>
    </xf>
    <xf numFmtId="0" fontId="12" fillId="13" borderId="42" xfId="0" applyFont="1" applyFill="1" applyBorder="1" applyAlignment="1" applyProtection="1">
      <alignment horizontal="left" vertical="top" wrapText="1"/>
    </xf>
    <xf numFmtId="164" fontId="58" fillId="5" borderId="5" xfId="1" applyNumberFormat="1" applyFont="1" applyFill="1" applyBorder="1" applyAlignment="1" applyProtection="1">
      <alignment horizontal="right" vertical="center"/>
    </xf>
    <xf numFmtId="164" fontId="58" fillId="5" borderId="7" xfId="1" applyNumberFormat="1" applyFont="1" applyFill="1" applyBorder="1" applyAlignment="1" applyProtection="1">
      <alignment horizontal="right" vertical="center"/>
    </xf>
    <xf numFmtId="0" fontId="12" fillId="13" borderId="43" xfId="0" applyFont="1" applyFill="1" applyBorder="1" applyAlignment="1" applyProtection="1">
      <alignment horizontal="left" vertical="top" wrapText="1"/>
    </xf>
    <xf numFmtId="0" fontId="12" fillId="13" borderId="62" xfId="0" applyFont="1" applyFill="1" applyBorder="1" applyAlignment="1" applyProtection="1">
      <alignment horizontal="left" vertical="top" wrapText="1"/>
    </xf>
    <xf numFmtId="164" fontId="58" fillId="5" borderId="68" xfId="1" applyNumberFormat="1" applyFont="1" applyFill="1" applyBorder="1" applyAlignment="1" applyProtection="1">
      <alignment horizontal="right" vertical="center"/>
    </xf>
    <xf numFmtId="164" fontId="58" fillId="5" borderId="69" xfId="1" applyNumberFormat="1" applyFont="1" applyFill="1" applyBorder="1" applyAlignment="1" applyProtection="1">
      <alignment horizontal="right" vertical="center"/>
    </xf>
    <xf numFmtId="0" fontId="12" fillId="13" borderId="83" xfId="0" applyFont="1" applyFill="1" applyBorder="1" applyAlignment="1" applyProtection="1">
      <alignment horizontal="left" vertical="top" wrapText="1"/>
    </xf>
    <xf numFmtId="0" fontId="12" fillId="13" borderId="80" xfId="0" applyFont="1" applyFill="1" applyBorder="1" applyAlignment="1" applyProtection="1">
      <alignment horizontal="left" vertical="top" wrapText="1"/>
    </xf>
    <xf numFmtId="0" fontId="2" fillId="13" borderId="45" xfId="0" applyFont="1" applyFill="1" applyBorder="1" applyAlignment="1" applyProtection="1">
      <alignment horizontal="left" vertical="top" wrapText="1"/>
    </xf>
    <xf numFmtId="0" fontId="2" fillId="13" borderId="40" xfId="0" applyFont="1" applyFill="1" applyBorder="1" applyAlignment="1" applyProtection="1">
      <alignment horizontal="left" vertical="top" wrapText="1"/>
    </xf>
    <xf numFmtId="0" fontId="2" fillId="13" borderId="41" xfId="0" applyFont="1" applyFill="1" applyBorder="1" applyAlignment="1" applyProtection="1">
      <alignment horizontal="left" vertical="top" wrapText="1"/>
    </xf>
    <xf numFmtId="0" fontId="2" fillId="13" borderId="42" xfId="0" applyFont="1" applyFill="1" applyBorder="1" applyAlignment="1" applyProtection="1">
      <alignment horizontal="left" vertical="top" wrapText="1"/>
    </xf>
    <xf numFmtId="0" fontId="78" fillId="5" borderId="3" xfId="0" applyFont="1" applyFill="1" applyBorder="1" applyAlignment="1" applyProtection="1">
      <alignment horizontal="center" vertical="center"/>
    </xf>
    <xf numFmtId="0" fontId="2" fillId="13" borderId="43" xfId="0" applyFont="1" applyFill="1" applyBorder="1" applyAlignment="1" applyProtection="1">
      <alignment horizontal="left" vertical="top" wrapText="1"/>
    </xf>
    <xf numFmtId="0" fontId="2" fillId="13" borderId="62" xfId="0" applyFont="1" applyFill="1" applyBorder="1" applyAlignment="1" applyProtection="1">
      <alignment horizontal="left" vertical="top" wrapText="1"/>
    </xf>
    <xf numFmtId="38" fontId="68" fillId="5" borderId="37" xfId="0" applyNumberFormat="1" applyFont="1" applyFill="1" applyBorder="1" applyAlignment="1" applyProtection="1">
      <alignment horizontal="center" vertical="center"/>
    </xf>
    <xf numFmtId="38" fontId="68" fillId="5" borderId="38" xfId="0" applyNumberFormat="1" applyFont="1" applyFill="1" applyBorder="1" applyAlignment="1" applyProtection="1">
      <alignment horizontal="center" vertical="center"/>
    </xf>
    <xf numFmtId="10" fontId="58" fillId="5" borderId="37" xfId="0" applyNumberFormat="1" applyFont="1" applyFill="1" applyBorder="1" applyAlignment="1" applyProtection="1">
      <alignment horizontal="center" vertical="center"/>
    </xf>
    <xf numFmtId="10" fontId="58" fillId="5" borderId="38" xfId="0" applyNumberFormat="1" applyFont="1" applyFill="1" applyBorder="1" applyAlignment="1" applyProtection="1">
      <alignment horizontal="center" vertical="center"/>
    </xf>
    <xf numFmtId="38" fontId="58" fillId="6" borderId="37" xfId="0" applyNumberFormat="1" applyFont="1" applyFill="1" applyBorder="1" applyAlignment="1" applyProtection="1">
      <alignment horizontal="center" vertical="center"/>
    </xf>
    <xf numFmtId="38" fontId="58"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4" fillId="5" borderId="48" xfId="1" applyNumberFormat="1" applyFont="1" applyFill="1" applyBorder="1" applyAlignment="1" applyProtection="1">
      <alignment horizontal="center" vertical="center"/>
    </xf>
    <xf numFmtId="164" fontId="54" fillId="5" borderId="49" xfId="1" applyNumberFormat="1" applyFont="1" applyFill="1" applyBorder="1" applyAlignment="1" applyProtection="1">
      <alignment horizontal="center" vertical="center"/>
    </xf>
    <xf numFmtId="170" fontId="58" fillId="5" borderId="37" xfId="0" applyNumberFormat="1" applyFont="1" applyFill="1" applyBorder="1" applyAlignment="1" applyProtection="1">
      <alignment horizontal="center" vertical="center"/>
    </xf>
    <xf numFmtId="170" fontId="58" fillId="5" borderId="38" xfId="0" applyNumberFormat="1" applyFont="1" applyFill="1" applyBorder="1" applyAlignment="1" applyProtection="1">
      <alignment horizontal="center" vertical="center"/>
    </xf>
    <xf numFmtId="38" fontId="68" fillId="6" borderId="37" xfId="0" applyNumberFormat="1" applyFont="1" applyFill="1" applyBorder="1" applyAlignment="1" applyProtection="1">
      <alignment horizontal="center" vertical="center"/>
    </xf>
    <xf numFmtId="38" fontId="68" fillId="6" borderId="2" xfId="0" applyNumberFormat="1" applyFont="1" applyFill="1" applyBorder="1" applyAlignment="1" applyProtection="1">
      <alignment horizontal="center" vertical="center"/>
    </xf>
    <xf numFmtId="38" fontId="68" fillId="6" borderId="38" xfId="0" applyNumberFormat="1" applyFont="1" applyFill="1" applyBorder="1" applyAlignment="1" applyProtection="1">
      <alignment horizontal="center" vertical="center"/>
    </xf>
    <xf numFmtId="0" fontId="58" fillId="0" borderId="0" xfId="0" applyFont="1" applyAlignment="1" applyProtection="1"/>
    <xf numFmtId="0" fontId="54" fillId="5" borderId="37" xfId="0" applyFont="1" applyFill="1" applyBorder="1" applyAlignment="1" applyProtection="1">
      <alignment vertical="top" wrapText="1"/>
    </xf>
    <xf numFmtId="0" fontId="54" fillId="0" borderId="2" xfId="0" applyFont="1" applyBorder="1" applyAlignment="1" applyProtection="1">
      <alignment vertical="top" wrapText="1"/>
    </xf>
    <xf numFmtId="0" fontId="54" fillId="0" borderId="38" xfId="0" applyFont="1" applyBorder="1" applyAlignment="1" applyProtection="1">
      <alignment vertical="top" wrapText="1"/>
    </xf>
    <xf numFmtId="0" fontId="54" fillId="4" borderId="37" xfId="0" applyFont="1" applyFill="1" applyBorder="1" applyAlignment="1" applyProtection="1">
      <alignment vertical="top" wrapText="1"/>
    </xf>
    <xf numFmtId="0" fontId="2" fillId="5" borderId="37" xfId="0" applyFont="1" applyFill="1" applyBorder="1" applyAlignment="1" applyProtection="1">
      <alignment horizontal="left"/>
    </xf>
    <xf numFmtId="0" fontId="11" fillId="5" borderId="2" xfId="0" applyFont="1" applyFill="1" applyBorder="1" applyAlignment="1" applyProtection="1">
      <alignment horizontal="left"/>
    </xf>
    <xf numFmtId="0" fontId="11" fillId="5" borderId="38" xfId="0" applyFont="1" applyFill="1" applyBorder="1" applyAlignment="1" applyProtection="1">
      <alignment horizontal="left"/>
    </xf>
    <xf numFmtId="175" fontId="11" fillId="5" borderId="37" xfId="0" applyNumberFormat="1" applyFont="1" applyFill="1" applyBorder="1" applyAlignment="1" applyProtection="1">
      <alignment horizontal="left"/>
    </xf>
    <xf numFmtId="175" fontId="11" fillId="5" borderId="38" xfId="0" applyNumberFormat="1" applyFont="1" applyFill="1" applyBorder="1" applyAlignment="1" applyProtection="1">
      <alignment horizontal="left"/>
    </xf>
    <xf numFmtId="0" fontId="11"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7"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6" fontId="0" fillId="5" borderId="17" xfId="0" applyNumberFormat="1" applyFill="1" applyBorder="1" applyAlignment="1" applyProtection="1">
      <alignment horizontal="center"/>
    </xf>
    <xf numFmtId="0" fontId="7"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6" fontId="0" fillId="5" borderId="18" xfId="0" applyNumberFormat="1" applyFill="1" applyBorder="1" applyAlignment="1" applyProtection="1">
      <alignment horizontal="center"/>
    </xf>
    <xf numFmtId="6" fontId="11" fillId="5" borderId="18" xfId="0" applyNumberFormat="1" applyFont="1" applyFill="1" applyBorder="1" applyAlignment="1" applyProtection="1">
      <alignment horizontal="center"/>
    </xf>
    <xf numFmtId="0" fontId="11"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1" fillId="5" borderId="3" xfId="0" applyFont="1" applyFill="1" applyBorder="1" applyAlignment="1" applyProtection="1">
      <alignment horizontal="center"/>
    </xf>
    <xf numFmtId="0" fontId="7"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1" fillId="5" borderId="19" xfId="0" applyFont="1" applyFill="1" applyBorder="1" applyAlignment="1" applyProtection="1">
      <alignment horizontal="center"/>
    </xf>
    <xf numFmtId="0" fontId="12" fillId="5" borderId="37" xfId="0" applyFont="1" applyFill="1" applyBorder="1" applyAlignment="1" applyProtection="1">
      <alignment horizontal="left" vertical="top" wrapText="1"/>
    </xf>
    <xf numFmtId="0" fontId="12" fillId="5" borderId="2" xfId="0" applyFont="1" applyFill="1" applyBorder="1" applyAlignment="1" applyProtection="1">
      <alignment horizontal="left" vertical="top" wrapText="1"/>
    </xf>
    <xf numFmtId="0" fontId="12" fillId="5" borderId="38" xfId="0" applyFont="1" applyFill="1" applyBorder="1" applyAlignment="1" applyProtection="1">
      <alignment horizontal="left" vertical="top" wrapText="1"/>
    </xf>
    <xf numFmtId="0" fontId="12" fillId="4" borderId="37" xfId="0" applyFont="1" applyFill="1" applyBorder="1" applyAlignment="1" applyProtection="1">
      <alignment horizontal="left" vertical="top" wrapText="1"/>
    </xf>
    <xf numFmtId="0" fontId="12" fillId="4" borderId="2" xfId="0" applyFont="1" applyFill="1" applyBorder="1" applyAlignment="1" applyProtection="1">
      <alignment horizontal="left" vertical="top" wrapText="1"/>
    </xf>
    <xf numFmtId="0" fontId="12" fillId="4" borderId="38" xfId="0" applyFont="1" applyFill="1" applyBorder="1" applyAlignment="1" applyProtection="1">
      <alignment horizontal="left" vertical="top" wrapText="1"/>
    </xf>
    <xf numFmtId="0" fontId="11"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2" fillId="5" borderId="17" xfId="10" applyNumberFormat="1" applyFont="1" applyFill="1" applyBorder="1" applyAlignment="1" applyProtection="1">
      <alignment horizontal="center" vertical="center"/>
    </xf>
    <xf numFmtId="1" fontId="12" fillId="5" borderId="17" xfId="1" applyNumberFormat="1" applyFont="1" applyFill="1" applyBorder="1" applyAlignment="1" applyProtection="1">
      <alignment horizontal="center" vertical="center"/>
    </xf>
    <xf numFmtId="173" fontId="12" fillId="5" borderId="17" xfId="1" applyNumberFormat="1" applyFont="1" applyFill="1" applyBorder="1" applyAlignment="1" applyProtection="1">
      <alignment horizontal="center" vertical="center"/>
    </xf>
    <xf numFmtId="3" fontId="12" fillId="5" borderId="17" xfId="1" applyNumberFormat="1" applyFont="1" applyFill="1" applyBorder="1" applyAlignment="1" applyProtection="1">
      <alignment horizontal="center" vertical="center"/>
    </xf>
    <xf numFmtId="3" fontId="58" fillId="5" borderId="17" xfId="1" applyNumberFormat="1"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8" xfId="10" applyNumberFormat="1" applyFont="1" applyFill="1" applyBorder="1" applyAlignment="1" applyProtection="1">
      <alignment horizontal="center" vertical="center"/>
    </xf>
    <xf numFmtId="1" fontId="12" fillId="5" borderId="18" xfId="1" applyNumberFormat="1" applyFont="1" applyFill="1" applyBorder="1" applyAlignment="1" applyProtection="1">
      <alignment horizontal="center" vertical="center"/>
    </xf>
    <xf numFmtId="173" fontId="12" fillId="5" borderId="18" xfId="1" applyNumberFormat="1" applyFont="1" applyFill="1" applyBorder="1" applyAlignment="1" applyProtection="1">
      <alignment horizontal="center" vertical="center"/>
    </xf>
    <xf numFmtId="3" fontId="12" fillId="5" borderId="18" xfId="1" applyNumberFormat="1" applyFont="1" applyFill="1" applyBorder="1" applyAlignment="1" applyProtection="1">
      <alignment horizontal="center" vertical="center"/>
    </xf>
    <xf numFmtId="3" fontId="58" fillId="5" borderId="18" xfId="1" applyNumberFormat="1"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2" fillId="5" borderId="19" xfId="10" applyNumberFormat="1" applyFont="1" applyFill="1" applyBorder="1" applyAlignment="1" applyProtection="1">
      <alignment horizontal="center" vertical="center"/>
    </xf>
    <xf numFmtId="1" fontId="12" fillId="5" borderId="19" xfId="1" applyNumberFormat="1" applyFont="1" applyFill="1" applyBorder="1" applyAlignment="1" applyProtection="1">
      <alignment horizontal="center" vertical="center"/>
    </xf>
    <xf numFmtId="173" fontId="12" fillId="5" borderId="19" xfId="1" applyNumberFormat="1" applyFont="1" applyFill="1" applyBorder="1" applyAlignment="1" applyProtection="1">
      <alignment horizontal="center" vertical="center"/>
    </xf>
    <xf numFmtId="3" fontId="12" fillId="5" borderId="19" xfId="1" applyNumberFormat="1" applyFont="1" applyFill="1" applyBorder="1" applyAlignment="1" applyProtection="1">
      <alignment horizontal="center" vertical="center"/>
    </xf>
    <xf numFmtId="3" fontId="58" fillId="5" borderId="19" xfId="1" applyNumberFormat="1"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5" fillId="0" borderId="0" xfId="0" applyFont="1" applyAlignment="1" applyProtection="1">
      <alignment horizontal="left" vertical="center" wrapText="1"/>
    </xf>
    <xf numFmtId="164" fontId="11" fillId="5" borderId="17" xfId="1" applyNumberFormat="1" applyFont="1" applyFill="1" applyBorder="1" applyAlignment="1" applyProtection="1">
      <alignment horizontal="right" vertical="center"/>
    </xf>
    <xf numFmtId="164" fontId="11" fillId="5" borderId="19" xfId="1" applyNumberFormat="1" applyFont="1" applyFill="1" applyBorder="1" applyAlignment="1" applyProtection="1">
      <alignment horizontal="right" vertical="center"/>
    </xf>
    <xf numFmtId="164" fontId="11" fillId="10" borderId="37" xfId="0" applyNumberFormat="1" applyFont="1" applyFill="1" applyBorder="1" applyAlignment="1" applyProtection="1">
      <alignment horizontal="left"/>
    </xf>
    <xf numFmtId="164" fontId="11" fillId="10" borderId="38" xfId="0" applyNumberFormat="1" applyFont="1" applyFill="1" applyBorder="1" applyAlignment="1" applyProtection="1">
      <alignment horizontal="left"/>
    </xf>
    <xf numFmtId="3" fontId="11" fillId="5" borderId="17" xfId="0" applyNumberFormat="1" applyFont="1" applyFill="1" applyBorder="1" applyProtection="1"/>
    <xf numFmtId="0" fontId="3" fillId="5" borderId="37" xfId="0" applyFont="1" applyFill="1" applyBorder="1" applyAlignment="1" applyProtection="1">
      <alignment horizontal="left"/>
    </xf>
    <xf numFmtId="0" fontId="3" fillId="5" borderId="2" xfId="0" applyFont="1" applyFill="1" applyBorder="1" applyAlignment="1" applyProtection="1">
      <alignment horizontal="left"/>
    </xf>
    <xf numFmtId="0" fontId="3" fillId="5" borderId="38" xfId="0" applyFont="1" applyFill="1" applyBorder="1" applyAlignment="1" applyProtection="1">
      <alignment horizontal="left"/>
    </xf>
    <xf numFmtId="3" fontId="11" fillId="5" borderId="19" xfId="0" applyNumberFormat="1" applyFont="1" applyFill="1" applyBorder="1" applyProtection="1"/>
    <xf numFmtId="3" fontId="11" fillId="5" borderId="19" xfId="10" applyNumberFormat="1" applyFont="1" applyFill="1" applyBorder="1" applyProtection="1"/>
    <xf numFmtId="3" fontId="11" fillId="5" borderId="17" xfId="10" applyNumberFormat="1" applyFont="1" applyFill="1" applyBorder="1" applyProtection="1"/>
    <xf numFmtId="38" fontId="11" fillId="5" borderId="37" xfId="1" applyNumberFormat="1" applyFont="1" applyFill="1" applyBorder="1" applyAlignment="1" applyProtection="1">
      <alignment horizontal="right" vertical="center"/>
    </xf>
    <xf numFmtId="38" fontId="11" fillId="5" borderId="38" xfId="1" applyNumberFormat="1" applyFont="1" applyFill="1" applyBorder="1" applyAlignment="1" applyProtection="1">
      <alignment horizontal="right" vertical="center"/>
    </xf>
    <xf numFmtId="3" fontId="11" fillId="5" borderId="3" xfId="0" applyNumberFormat="1" applyFont="1" applyFill="1" applyBorder="1" applyAlignment="1" applyProtection="1">
      <alignment vertical="center"/>
    </xf>
    <xf numFmtId="38" fontId="3" fillId="5" borderId="37" xfId="0" applyNumberFormat="1" applyFont="1" applyFill="1" applyBorder="1" applyAlignment="1" applyProtection="1">
      <alignment horizontal="left" vertical="center" wrapText="1"/>
    </xf>
    <xf numFmtId="38" fontId="3" fillId="5" borderId="38" xfId="0" applyNumberFormat="1" applyFont="1" applyFill="1" applyBorder="1" applyAlignment="1" applyProtection="1">
      <alignment horizontal="left" vertical="center" wrapText="1"/>
    </xf>
    <xf numFmtId="3" fontId="11" fillId="5" borderId="44" xfId="0" applyNumberFormat="1" applyFont="1" applyFill="1" applyBorder="1" applyAlignment="1" applyProtection="1">
      <alignment vertical="center"/>
    </xf>
    <xf numFmtId="0" fontId="3" fillId="5" borderId="37" xfId="0" applyFont="1" applyFill="1" applyBorder="1" applyAlignment="1" applyProtection="1">
      <alignment horizontal="left" vertical="center"/>
    </xf>
    <xf numFmtId="0" fontId="3" fillId="5" borderId="2" xfId="0" applyFont="1" applyFill="1" applyBorder="1" applyAlignment="1" applyProtection="1">
      <alignment horizontal="left" vertical="center"/>
    </xf>
    <xf numFmtId="0" fontId="3" fillId="5" borderId="38" xfId="0" applyFont="1" applyFill="1" applyBorder="1" applyAlignment="1" applyProtection="1">
      <alignment horizontal="left" vertical="center"/>
    </xf>
    <xf numFmtId="38" fontId="11" fillId="5" borderId="68" xfId="1" applyNumberFormat="1" applyFont="1" applyFill="1" applyBorder="1" applyAlignment="1" applyProtection="1">
      <alignment horizontal="right" vertical="center"/>
    </xf>
    <xf numFmtId="38" fontId="11" fillId="5" borderId="69" xfId="1" applyNumberFormat="1" applyFont="1" applyFill="1" applyBorder="1" applyAlignment="1" applyProtection="1">
      <alignment horizontal="right" vertical="center"/>
    </xf>
    <xf numFmtId="3" fontId="11" fillId="5" borderId="5" xfId="0" applyNumberFormat="1" applyFont="1" applyFill="1" applyBorder="1" applyAlignment="1" applyProtection="1">
      <alignment horizontal="right" vertical="center"/>
    </xf>
    <xf numFmtId="3" fontId="11" fillId="5" borderId="7" xfId="0" applyNumberFormat="1" applyFont="1" applyFill="1" applyBorder="1" applyAlignment="1" applyProtection="1">
      <alignment horizontal="right" vertical="center"/>
    </xf>
    <xf numFmtId="3" fontId="11" fillId="5" borderId="37" xfId="0" applyNumberFormat="1" applyFont="1" applyFill="1" applyBorder="1" applyAlignment="1" applyProtection="1">
      <alignment horizontal="right" vertical="center"/>
    </xf>
    <xf numFmtId="3" fontId="11" fillId="5" borderId="38" xfId="0" applyNumberFormat="1" applyFont="1" applyFill="1" applyBorder="1" applyAlignment="1" applyProtection="1">
      <alignment horizontal="right" vertical="center"/>
    </xf>
    <xf numFmtId="38" fontId="11" fillId="5" borderId="37" xfId="1" applyNumberFormat="1" applyFont="1" applyFill="1" applyBorder="1" applyAlignment="1" applyProtection="1">
      <alignment vertical="center"/>
    </xf>
    <xf numFmtId="38" fontId="11" fillId="5" borderId="38" xfId="1" applyNumberFormat="1" applyFont="1" applyFill="1" applyBorder="1" applyAlignment="1" applyProtection="1">
      <alignment vertical="center"/>
    </xf>
    <xf numFmtId="3" fontId="11" fillId="5" borderId="16" xfId="1" applyNumberFormat="1" applyFont="1" applyFill="1" applyBorder="1" applyAlignment="1" applyProtection="1">
      <alignment vertical="center"/>
    </xf>
    <xf numFmtId="164" fontId="11" fillId="5" borderId="3" xfId="1" applyNumberFormat="1" applyFont="1" applyFill="1" applyBorder="1" applyAlignment="1" applyProtection="1">
      <alignment horizontal="right"/>
    </xf>
    <xf numFmtId="10" fontId="11" fillId="5" borderId="3" xfId="0" applyNumberFormat="1" applyFont="1" applyFill="1" applyBorder="1" applyAlignment="1" applyProtection="1">
      <alignment horizontal="left"/>
    </xf>
    <xf numFmtId="0" fontId="11" fillId="5" borderId="3" xfId="0" applyNumberFormat="1" applyFont="1" applyFill="1" applyBorder="1" applyAlignment="1" applyProtection="1">
      <alignment horizontal="right" vertical="center"/>
    </xf>
    <xf numFmtId="3" fontId="11" fillId="5" borderId="3" xfId="10" applyNumberFormat="1" applyFont="1" applyFill="1" applyBorder="1" applyAlignment="1" applyProtection="1">
      <alignment horizontal="right" vertical="center"/>
    </xf>
    <xf numFmtId="166" fontId="11" fillId="5" borderId="3" xfId="10" applyNumberFormat="1" applyFont="1" applyFill="1" applyBorder="1" applyAlignment="1" applyProtection="1">
      <alignment horizontal="right" vertical="center"/>
    </xf>
    <xf numFmtId="164" fontId="11" fillId="11" borderId="17" xfId="1" applyNumberFormat="1" applyFont="1" applyFill="1" applyBorder="1" applyProtection="1"/>
    <xf numFmtId="164" fontId="11" fillId="6" borderId="18" xfId="1" applyNumberFormat="1" applyFont="1" applyFill="1" applyBorder="1" applyProtection="1"/>
    <xf numFmtId="164" fontId="11" fillId="5" borderId="18" xfId="1" applyNumberFormat="1" applyFont="1" applyFill="1" applyBorder="1" applyProtection="1"/>
    <xf numFmtId="164" fontId="11" fillId="6" borderId="19" xfId="1" applyNumberFormat="1" applyFont="1" applyFill="1" applyBorder="1" applyProtection="1"/>
    <xf numFmtId="164" fontId="11" fillId="6" borderId="17" xfId="1" applyNumberFormat="1" applyFont="1" applyFill="1" applyBorder="1" applyProtection="1"/>
    <xf numFmtId="0" fontId="54" fillId="0" borderId="2" xfId="0" applyFont="1" applyBorder="1" applyAlignment="1" applyProtection="1">
      <alignment horizontal="left" vertical="top" wrapText="1"/>
    </xf>
    <xf numFmtId="0" fontId="54" fillId="0" borderId="38" xfId="0" applyFont="1" applyBorder="1" applyAlignment="1" applyProtection="1">
      <alignment horizontal="left" vertical="top" wrapText="1"/>
    </xf>
    <xf numFmtId="0" fontId="13" fillId="5" borderId="3" xfId="0" applyFont="1" applyFill="1" applyBorder="1" applyAlignment="1" applyProtection="1">
      <alignment horizontal="center" vertical="center"/>
    </xf>
    <xf numFmtId="0" fontId="9" fillId="5" borderId="37" xfId="0" applyFont="1" applyFill="1" applyBorder="1" applyAlignment="1" applyProtection="1">
      <alignment horizontal="center" vertical="center"/>
    </xf>
    <xf numFmtId="0" fontId="9" fillId="5" borderId="2" xfId="0" applyFont="1" applyFill="1" applyBorder="1" applyAlignment="1" applyProtection="1">
      <alignment horizontal="center" vertical="center"/>
    </xf>
    <xf numFmtId="0" fontId="9" fillId="5" borderId="38" xfId="0" applyFont="1" applyFill="1" applyBorder="1" applyAlignment="1" applyProtection="1">
      <alignment horizontal="center" vertical="center"/>
    </xf>
    <xf numFmtId="0" fontId="3" fillId="5" borderId="37" xfId="0" applyFont="1" applyFill="1" applyBorder="1" applyAlignment="1" applyProtection="1">
      <alignment horizontal="left" vertical="top" wrapText="1"/>
    </xf>
    <xf numFmtId="0" fontId="3" fillId="5" borderId="2" xfId="0" applyFont="1" applyFill="1" applyBorder="1" applyAlignment="1" applyProtection="1">
      <alignment horizontal="left" vertical="top" wrapText="1"/>
    </xf>
    <xf numFmtId="0" fontId="3" fillId="5" borderId="38" xfId="0" applyFont="1" applyFill="1" applyBorder="1" applyAlignment="1" applyProtection="1">
      <alignment horizontal="left" vertical="top" wrapText="1"/>
    </xf>
    <xf numFmtId="0" fontId="13" fillId="6" borderId="37" xfId="0" applyFont="1" applyFill="1" applyBorder="1" applyAlignment="1" applyProtection="1">
      <alignment horizontal="center" vertical="center"/>
    </xf>
    <xf numFmtId="0" fontId="13" fillId="6" borderId="2" xfId="0" applyFont="1" applyFill="1" applyBorder="1" applyAlignment="1" applyProtection="1">
      <alignment horizontal="center" vertical="center"/>
    </xf>
    <xf numFmtId="0" fontId="13" fillId="6" borderId="38" xfId="0" applyFont="1" applyFill="1" applyBorder="1" applyAlignment="1" applyProtection="1">
      <alignment horizontal="center" vertical="center"/>
    </xf>
    <xf numFmtId="0" fontId="13" fillId="5" borderId="37"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3" fillId="5" borderId="84" xfId="0" applyFont="1" applyFill="1" applyBorder="1" applyAlignment="1" applyProtection="1">
      <alignment horizontal="center" vertical="center"/>
    </xf>
    <xf numFmtId="0" fontId="13" fillId="5" borderId="3" xfId="0" applyFont="1" applyFill="1" applyBorder="1" applyAlignment="1" applyProtection="1">
      <alignment horizontal="left" vertical="center"/>
    </xf>
    <xf numFmtId="0" fontId="13" fillId="5" borderId="13" xfId="0" applyFont="1" applyFill="1" applyBorder="1" applyAlignment="1" applyProtection="1">
      <alignment horizontal="center" vertical="center"/>
    </xf>
    <xf numFmtId="0" fontId="13" fillId="5" borderId="37" xfId="0" applyFont="1" applyFill="1" applyBorder="1" applyAlignment="1" applyProtection="1">
      <alignment horizontal="right" vertical="center"/>
    </xf>
    <xf numFmtId="0" fontId="13"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3" fillId="5" borderId="3" xfId="0" applyFont="1" applyFill="1" applyBorder="1" applyAlignment="1" applyProtection="1">
      <alignment horizontal="center" vertical="top"/>
    </xf>
    <xf numFmtId="0" fontId="3" fillId="5" borderId="37"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38" xfId="0" applyFont="1" applyFill="1" applyBorder="1" applyAlignment="1" applyProtection="1">
      <alignment horizontal="left" vertical="center" wrapText="1"/>
    </xf>
    <xf numFmtId="166" fontId="13" fillId="5" borderId="13" xfId="0" applyNumberFormat="1" applyFont="1" applyFill="1" applyBorder="1" applyAlignment="1" applyProtection="1">
      <alignment horizontal="center" vertical="center"/>
    </xf>
    <xf numFmtId="0" fontId="13" fillId="5" borderId="11" xfId="0" applyFont="1" applyFill="1" applyBorder="1" applyAlignment="1" applyProtection="1">
      <alignment horizontal="center" vertical="center"/>
    </xf>
    <xf numFmtId="0" fontId="13" fillId="5" borderId="5" xfId="0" applyFont="1" applyFill="1" applyBorder="1" applyAlignment="1" applyProtection="1">
      <alignment horizontal="left"/>
    </xf>
    <xf numFmtId="0" fontId="13" fillId="5" borderId="38" xfId="0" applyFont="1" applyFill="1" applyBorder="1" applyAlignment="1" applyProtection="1">
      <alignment horizontal="left"/>
    </xf>
    <xf numFmtId="0" fontId="13" fillId="5" borderId="84" xfId="0" applyFont="1" applyFill="1" applyBorder="1" applyAlignment="1" applyProtection="1">
      <alignment horizontal="left" vertical="center"/>
    </xf>
    <xf numFmtId="0" fontId="13" fillId="5" borderId="88" xfId="0" applyFont="1" applyFill="1" applyBorder="1" applyAlignment="1" applyProtection="1">
      <alignment horizontal="left" vertical="center"/>
    </xf>
    <xf numFmtId="0" fontId="13" fillId="5" borderId="85" xfId="0" applyFont="1" applyFill="1" applyBorder="1" applyAlignment="1" applyProtection="1">
      <alignment horizontal="left" vertical="center"/>
    </xf>
    <xf numFmtId="0" fontId="13" fillId="5" borderId="10" xfId="0" applyFont="1" applyFill="1" applyBorder="1" applyAlignment="1" applyProtection="1">
      <alignment horizontal="left" vertical="center"/>
    </xf>
    <xf numFmtId="0" fontId="13" fillId="5" borderId="14" xfId="0" applyFont="1" applyFill="1" applyBorder="1" applyAlignment="1" applyProtection="1">
      <alignment horizontal="left" vertical="center"/>
    </xf>
    <xf numFmtId="0" fontId="13" fillId="5" borderId="15" xfId="0" applyFont="1" applyFill="1" applyBorder="1" applyAlignment="1" applyProtection="1">
      <alignment horizontal="left" vertical="center"/>
    </xf>
    <xf numFmtId="0" fontId="3" fillId="5" borderId="29" xfId="0" applyFont="1" applyFill="1" applyBorder="1" applyAlignment="1" applyProtection="1">
      <alignment horizontal="left" vertical="top" wrapText="1"/>
    </xf>
    <xf numFmtId="0" fontId="3" fillId="5" borderId="60" xfId="0" applyFont="1" applyFill="1" applyBorder="1" applyAlignment="1" applyProtection="1">
      <alignment horizontal="left" vertical="top" wrapText="1"/>
    </xf>
    <xf numFmtId="0" fontId="3" fillId="5" borderId="30" xfId="0" applyFont="1" applyFill="1" applyBorder="1" applyAlignment="1" applyProtection="1">
      <alignment horizontal="left" vertical="top" wrapText="1"/>
    </xf>
    <xf numFmtId="0" fontId="3" fillId="5" borderId="34" xfId="0" applyFont="1" applyFill="1" applyBorder="1" applyAlignment="1" applyProtection="1">
      <alignment horizontal="left" vertical="top" wrapText="1"/>
    </xf>
    <xf numFmtId="0" fontId="3" fillId="5" borderId="61" xfId="0" applyFont="1" applyFill="1" applyBorder="1" applyAlignment="1" applyProtection="1">
      <alignment horizontal="left" vertical="top" wrapText="1"/>
    </xf>
    <xf numFmtId="0" fontId="3" fillId="5" borderId="35" xfId="0" applyFont="1" applyFill="1" applyBorder="1" applyAlignment="1" applyProtection="1">
      <alignment horizontal="left" vertical="top" wrapText="1"/>
    </xf>
    <xf numFmtId="175" fontId="13" fillId="5" borderId="37" xfId="0" applyNumberFormat="1" applyFont="1" applyFill="1" applyBorder="1" applyAlignment="1" applyProtection="1">
      <alignment horizontal="left" vertical="center"/>
    </xf>
    <xf numFmtId="175" fontId="13" fillId="5" borderId="2" xfId="0" applyNumberFormat="1" applyFont="1" applyFill="1" applyBorder="1" applyAlignment="1" applyProtection="1">
      <alignment horizontal="left" vertical="center"/>
    </xf>
    <xf numFmtId="175" fontId="13" fillId="5" borderId="38" xfId="0" applyNumberFormat="1" applyFont="1" applyFill="1" applyBorder="1" applyAlignment="1" applyProtection="1">
      <alignment horizontal="left" vertical="center"/>
    </xf>
    <xf numFmtId="0" fontId="3"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3" fillId="5" borderId="84" xfId="0" applyFont="1" applyFill="1" applyBorder="1" applyAlignment="1" applyProtection="1">
      <alignment horizontal="left" vertical="top" wrapText="1"/>
    </xf>
    <xf numFmtId="0" fontId="3" fillId="5" borderId="88" xfId="0" applyFont="1" applyFill="1" applyBorder="1" applyAlignment="1" applyProtection="1">
      <alignment horizontal="left" vertical="top" wrapText="1"/>
    </xf>
    <xf numFmtId="0" fontId="3" fillId="5" borderId="85" xfId="0" applyFont="1" applyFill="1" applyBorder="1" applyAlignment="1" applyProtection="1">
      <alignment horizontal="left" vertical="top" wrapText="1"/>
    </xf>
    <xf numFmtId="0" fontId="19" fillId="5" borderId="37" xfId="0" applyFont="1" applyFill="1" applyBorder="1" applyAlignment="1" applyProtection="1">
      <alignment horizontal="left"/>
    </xf>
    <xf numFmtId="0" fontId="19" fillId="5" borderId="2" xfId="0" applyFont="1" applyFill="1" applyBorder="1" applyAlignment="1" applyProtection="1">
      <alignment horizontal="left"/>
    </xf>
    <xf numFmtId="0" fontId="19" fillId="5" borderId="38" xfId="0" applyFont="1" applyFill="1" applyBorder="1" applyAlignment="1" applyProtection="1">
      <alignment horizontal="left"/>
    </xf>
    <xf numFmtId="0" fontId="13" fillId="5" borderId="37" xfId="0" applyFont="1" applyFill="1" applyBorder="1" applyAlignment="1" applyProtection="1">
      <alignment horizontal="center" vertical="top"/>
    </xf>
    <xf numFmtId="0" fontId="13" fillId="5" borderId="38" xfId="0" applyFont="1" applyFill="1" applyBorder="1" applyAlignment="1" applyProtection="1">
      <alignment horizontal="center" vertical="top"/>
    </xf>
    <xf numFmtId="0" fontId="3" fillId="5" borderId="84" xfId="0" applyFont="1" applyFill="1" applyBorder="1" applyAlignment="1" applyProtection="1">
      <alignment horizontal="left" vertical="center" wrapText="1"/>
    </xf>
    <xf numFmtId="0" fontId="3" fillId="5" borderId="88" xfId="0" applyFont="1" applyFill="1" applyBorder="1" applyAlignment="1" applyProtection="1">
      <alignment horizontal="left" vertical="center" wrapText="1"/>
    </xf>
    <xf numFmtId="0" fontId="3" fillId="5" borderId="85" xfId="0" applyFont="1" applyFill="1" applyBorder="1" applyAlignment="1" applyProtection="1">
      <alignment horizontal="left" vertical="center" wrapText="1"/>
    </xf>
    <xf numFmtId="0" fontId="12" fillId="5" borderId="3" xfId="0" applyFont="1" applyFill="1" applyBorder="1" applyAlignment="1" applyProtection="1">
      <alignment horizontal="center" vertical="center"/>
    </xf>
    <xf numFmtId="0" fontId="13" fillId="5" borderId="84" xfId="0" applyFont="1" applyFill="1" applyBorder="1" applyAlignment="1" applyProtection="1">
      <alignment horizontal="center"/>
    </xf>
    <xf numFmtId="0" fontId="13" fillId="5" borderId="88" xfId="0" applyFont="1" applyFill="1" applyBorder="1" applyAlignment="1" applyProtection="1">
      <alignment horizontal="center"/>
    </xf>
    <xf numFmtId="0" fontId="13" fillId="5" borderId="85" xfId="0" applyFont="1" applyFill="1" applyBorder="1" applyAlignment="1" applyProtection="1">
      <alignment horizontal="center"/>
    </xf>
    <xf numFmtId="0" fontId="3" fillId="7" borderId="0" xfId="0" applyFont="1" applyFill="1" applyProtection="1"/>
    <xf numFmtId="38" fontId="7" fillId="5" borderId="3" xfId="0" applyNumberFormat="1" applyFont="1" applyFill="1" applyBorder="1" applyAlignment="1" applyProtection="1">
      <alignment horizontal="center" vertical="center"/>
    </xf>
    <xf numFmtId="1" fontId="3" fillId="5" borderId="3" xfId="0" applyNumberFormat="1"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6" fillId="5" borderId="37" xfId="0" applyFont="1" applyFill="1" applyBorder="1" applyAlignment="1" applyProtection="1">
      <alignment horizontal="left" vertical="center"/>
    </xf>
    <xf numFmtId="0" fontId="6" fillId="5" borderId="2" xfId="0" applyFont="1" applyFill="1" applyBorder="1" applyAlignment="1" applyProtection="1">
      <alignment horizontal="left" vertical="center"/>
    </xf>
    <xf numFmtId="0" fontId="6" fillId="5" borderId="38" xfId="0" applyFont="1" applyFill="1" applyBorder="1" applyAlignment="1" applyProtection="1">
      <alignment horizontal="left" vertical="center"/>
    </xf>
    <xf numFmtId="0" fontId="54" fillId="5" borderId="84" xfId="0" applyFont="1" applyFill="1" applyBorder="1" applyAlignment="1" applyProtection="1">
      <alignment horizontal="center" vertical="center"/>
    </xf>
    <xf numFmtId="0" fontId="54" fillId="5" borderId="88" xfId="0" applyFont="1" applyFill="1" applyBorder="1" applyAlignment="1" applyProtection="1">
      <alignment horizontal="center" vertical="center"/>
    </xf>
    <xf numFmtId="0" fontId="54" fillId="5" borderId="85" xfId="0" applyFont="1" applyFill="1" applyBorder="1" applyAlignment="1" applyProtection="1">
      <alignment horizontal="center" vertical="center"/>
    </xf>
    <xf numFmtId="0" fontId="13" fillId="5" borderId="17" xfId="0" applyFont="1" applyFill="1" applyBorder="1" applyAlignment="1" applyProtection="1">
      <alignment horizontal="center" vertical="center"/>
    </xf>
    <xf numFmtId="0" fontId="13" fillId="5" borderId="19" xfId="0" applyFont="1" applyFill="1" applyBorder="1" applyAlignment="1" applyProtection="1">
      <alignment horizontal="center" vertical="center"/>
    </xf>
    <xf numFmtId="0" fontId="55" fillId="5" borderId="37" xfId="0" applyFont="1" applyFill="1" applyBorder="1" applyAlignment="1" applyProtection="1">
      <alignment horizontal="left" vertical="top" wrapText="1"/>
    </xf>
    <xf numFmtId="0" fontId="55" fillId="5" borderId="2" xfId="0" applyFont="1" applyFill="1" applyBorder="1" applyAlignment="1" applyProtection="1">
      <alignment horizontal="left" vertical="top" wrapText="1"/>
    </xf>
    <xf numFmtId="0" fontId="55" fillId="5" borderId="38" xfId="0" applyFont="1" applyFill="1" applyBorder="1" applyAlignment="1" applyProtection="1">
      <alignment horizontal="left" vertical="top" wrapText="1"/>
    </xf>
    <xf numFmtId="0" fontId="13" fillId="5" borderId="18" xfId="0" applyFont="1" applyFill="1" applyBorder="1" applyAlignment="1" applyProtection="1">
      <alignment horizontal="center" vertical="center"/>
    </xf>
    <xf numFmtId="0" fontId="12" fillId="5" borderId="3" xfId="0" applyFont="1" applyFill="1" applyBorder="1" applyAlignment="1" applyProtection="1">
      <alignment horizontal="center"/>
    </xf>
    <xf numFmtId="0" fontId="19" fillId="5" borderId="37" xfId="0" applyFont="1" applyFill="1" applyBorder="1" applyAlignment="1" applyProtection="1">
      <alignment horizontal="left" vertical="center"/>
    </xf>
    <xf numFmtId="0" fontId="19" fillId="5" borderId="2" xfId="0" applyFont="1" applyFill="1" applyBorder="1" applyAlignment="1" applyProtection="1">
      <alignment horizontal="left" vertical="center"/>
    </xf>
    <xf numFmtId="0" fontId="19" fillId="5" borderId="38" xfId="0" applyFont="1" applyFill="1" applyBorder="1" applyAlignment="1" applyProtection="1">
      <alignment horizontal="left" vertical="center"/>
    </xf>
    <xf numFmtId="0" fontId="55" fillId="5" borderId="37" xfId="0" applyFont="1" applyFill="1" applyBorder="1" applyAlignment="1" applyProtection="1">
      <alignment horizontal="left" vertical="center" wrapText="1"/>
    </xf>
    <xf numFmtId="176" fontId="54" fillId="5" borderId="3" xfId="0" applyNumberFormat="1" applyFont="1" applyFill="1" applyBorder="1" applyAlignment="1" applyProtection="1">
      <alignment horizontal="center" vertical="center"/>
    </xf>
    <xf numFmtId="0" fontId="13" fillId="5" borderId="23"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3" fillId="5" borderId="37" xfId="0" applyFont="1" applyFill="1" applyBorder="1" applyAlignment="1" applyProtection="1">
      <alignment horizontal="center"/>
    </xf>
    <xf numFmtId="0" fontId="6" fillId="5" borderId="2" xfId="0" applyFont="1" applyFill="1" applyBorder="1" applyAlignment="1" applyProtection="1">
      <alignment horizontal="center"/>
    </xf>
    <xf numFmtId="0" fontId="6" fillId="5" borderId="38" xfId="0" applyFont="1" applyFill="1" applyBorder="1" applyAlignment="1" applyProtection="1">
      <alignment horizontal="center"/>
    </xf>
    <xf numFmtId="0" fontId="54" fillId="5" borderId="37"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0" fontId="6" fillId="5" borderId="37"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5" borderId="38" xfId="0" applyFont="1" applyFill="1" applyBorder="1" applyAlignment="1" applyProtection="1">
      <alignment horizontal="center" vertical="center"/>
    </xf>
    <xf numFmtId="3" fontId="3" fillId="10" borderId="84" xfId="0" applyNumberFormat="1" applyFont="1" applyFill="1" applyBorder="1" applyAlignment="1" applyProtection="1">
      <alignment horizontal="center" vertical="center"/>
    </xf>
    <xf numFmtId="3" fontId="3" fillId="10" borderId="85" xfId="0" applyNumberFormat="1" applyFont="1" applyFill="1" applyBorder="1" applyAlignment="1" applyProtection="1">
      <alignment horizontal="center" vertical="center"/>
    </xf>
    <xf numFmtId="3" fontId="3" fillId="10" borderId="86" xfId="0" applyNumberFormat="1" applyFont="1" applyFill="1" applyBorder="1" applyAlignment="1" applyProtection="1">
      <alignment horizontal="center" vertical="center"/>
    </xf>
    <xf numFmtId="3" fontId="3" fillId="10" borderId="87" xfId="0" applyNumberFormat="1" applyFont="1" applyFill="1" applyBorder="1" applyAlignment="1" applyProtection="1">
      <alignment horizontal="center" vertical="center"/>
    </xf>
    <xf numFmtId="3" fontId="3" fillId="10" borderId="59" xfId="0" applyNumberFormat="1" applyFont="1" applyFill="1" applyBorder="1" applyAlignment="1" applyProtection="1">
      <alignment horizontal="center" vertical="center"/>
    </xf>
    <xf numFmtId="3" fontId="3" fillId="10" borderId="36"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wrapText="1"/>
    </xf>
    <xf numFmtId="0" fontId="3" fillId="5" borderId="6"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55" fillId="5" borderId="37" xfId="0" applyFont="1" applyFill="1" applyBorder="1" applyAlignment="1" applyProtection="1">
      <alignment horizontal="justify" vertical="top" wrapText="1"/>
    </xf>
    <xf numFmtId="0" fontId="0" fillId="0" borderId="2" xfId="0" applyBorder="1" applyProtection="1"/>
    <xf numFmtId="3" fontId="3" fillId="5" borderId="37" xfId="0" applyNumberFormat="1" applyFont="1" applyFill="1" applyBorder="1" applyAlignment="1" applyProtection="1">
      <alignment horizontal="left" vertical="center" wrapText="1"/>
    </xf>
    <xf numFmtId="3" fontId="3" fillId="5" borderId="38" xfId="0" applyNumberFormat="1" applyFont="1" applyFill="1" applyBorder="1" applyAlignment="1" applyProtection="1">
      <alignment horizontal="left" vertical="center" wrapText="1"/>
    </xf>
    <xf numFmtId="0" fontId="7" fillId="5" borderId="17"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3" fontId="7" fillId="5" borderId="3" xfId="0" applyNumberFormat="1" applyFont="1" applyFill="1" applyBorder="1" applyAlignment="1" applyProtection="1">
      <alignment horizontal="center" vertical="center"/>
    </xf>
    <xf numFmtId="0" fontId="7" fillId="5" borderId="3" xfId="0" applyFont="1" applyFill="1" applyBorder="1" applyAlignment="1" applyProtection="1">
      <alignment horizontal="center" vertical="top"/>
    </xf>
    <xf numFmtId="0" fontId="7" fillId="5" borderId="17" xfId="0" applyFont="1" applyFill="1" applyBorder="1" applyAlignment="1" applyProtection="1">
      <alignment horizontal="center" vertical="top"/>
    </xf>
    <xf numFmtId="0" fontId="7" fillId="5" borderId="18" xfId="0" applyFont="1" applyFill="1" applyBorder="1" applyAlignment="1" applyProtection="1">
      <alignment horizontal="center" vertical="top"/>
    </xf>
    <xf numFmtId="0" fontId="7" fillId="5" borderId="19" xfId="0" applyFont="1" applyFill="1" applyBorder="1" applyAlignment="1" applyProtection="1">
      <alignment horizontal="center" vertical="top"/>
    </xf>
  </cellXfs>
  <cellStyles count="71">
    <cellStyle name="20% - Accent1 2" xfId="13"/>
    <cellStyle name="40% - Accent1 2" xfId="14"/>
    <cellStyle name="Comma" xfId="1" builtinId="3"/>
    <cellStyle name="Comma 2" xfId="15"/>
    <cellStyle name="Comma 2 2" xfId="16"/>
    <cellStyle name="Comma 2 3" xfId="17"/>
    <cellStyle name="Comma 3" xfId="18"/>
    <cellStyle name="Comma 4" xfId="19"/>
    <cellStyle name="Currency" xfId="2" builtinId="4"/>
    <cellStyle name="Currency 2" xfId="20"/>
    <cellStyle name="Currency 2 2" xfId="21"/>
    <cellStyle name="Currency 2 3" xfId="22"/>
    <cellStyle name="Currency 3" xfId="23"/>
    <cellStyle name="Currency 4" xfId="24"/>
    <cellStyle name="Grey" xfId="3"/>
    <cellStyle name="Header1" xfId="4"/>
    <cellStyle name="Header2" xfId="5"/>
    <cellStyle name="Header2 2" xfId="25"/>
    <cellStyle name="Hyperlink" xfId="6" builtinId="8"/>
    <cellStyle name="Hyperlink 2" xfId="26"/>
    <cellStyle name="Hyperlink 2 2" xfId="27"/>
    <cellStyle name="Input [yellow]" xfId="7"/>
    <cellStyle name="Normal" xfId="0" builtinId="0"/>
    <cellStyle name="Normal - Style1" xfId="8"/>
    <cellStyle name="Normal - Style1 2" xfId="28"/>
    <cellStyle name="Normal 10" xfId="29"/>
    <cellStyle name="Normal 11" xfId="30"/>
    <cellStyle name="Normal 12" xfId="31"/>
    <cellStyle name="Normal 13" xfId="32"/>
    <cellStyle name="Normal 14" xfId="33"/>
    <cellStyle name="Normal 15" xfId="34"/>
    <cellStyle name="Normal 16" xfId="35"/>
    <cellStyle name="Normal 17" xfId="36"/>
    <cellStyle name="Normal 18" xfId="37"/>
    <cellStyle name="Normal 19" xfId="38"/>
    <cellStyle name="Normal 2" xfId="39"/>
    <cellStyle name="Normal 20" xfId="40"/>
    <cellStyle name="Normal 21" xfId="12"/>
    <cellStyle name="Normal 3" xfId="41"/>
    <cellStyle name="Normal 4" xfId="42"/>
    <cellStyle name="Normal 5" xfId="43"/>
    <cellStyle name="Normal 6" xfId="44"/>
    <cellStyle name="Normal 7" xfId="45"/>
    <cellStyle name="Normal 8" xfId="46"/>
    <cellStyle name="Normal 9" xfId="47"/>
    <cellStyle name="Normal_'96-'97 Rent Tables" xfId="9"/>
    <cellStyle name="Percent" xfId="10" builtinId="5"/>
    <cellStyle name="Percent [2]" xfId="11"/>
    <cellStyle name="Percent [2] 2" xfId="48"/>
    <cellStyle name="Percent 10" xfId="49"/>
    <cellStyle name="Percent 11" xfId="50"/>
    <cellStyle name="Percent 12" xfId="51"/>
    <cellStyle name="Percent 13" xfId="52"/>
    <cellStyle name="Percent 14" xfId="53"/>
    <cellStyle name="Percent 15" xfId="54"/>
    <cellStyle name="Percent 16" xfId="55"/>
    <cellStyle name="Percent 17" xfId="56"/>
    <cellStyle name="Percent 18" xfId="57"/>
    <cellStyle name="Percent 19" xfId="58"/>
    <cellStyle name="Percent 2" xfId="59"/>
    <cellStyle name="Percent 2 2" xfId="60"/>
    <cellStyle name="Percent 20" xfId="61"/>
    <cellStyle name="Percent 21" xfId="62"/>
    <cellStyle name="Percent 3" xfId="63"/>
    <cellStyle name="Percent 4" xfId="64"/>
    <cellStyle name="Percent 5" xfId="65"/>
    <cellStyle name="Percent 6" xfId="66"/>
    <cellStyle name="Percent 7" xfId="67"/>
    <cellStyle name="Percent 8" xfId="68"/>
    <cellStyle name="Percent 9" xfId="69"/>
    <cellStyle name="Total 2" xfId="70"/>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2012-019, Walton Oaks Family 2, Richmond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3553</v>
      </c>
      <c r="B3" s="883"/>
      <c r="C3" s="883"/>
      <c r="D3" s="883"/>
      <c r="E3" s="883"/>
      <c r="F3" s="883"/>
      <c r="G3" s="883"/>
    </row>
    <row r="4" spans="1:9" s="40" customFormat="1" ht="8.25" customHeight="1">
      <c r="A4" s="95"/>
      <c r="B4" s="872" t="s">
        <v>1243</v>
      </c>
      <c r="C4" s="873"/>
      <c r="D4" s="873"/>
      <c r="E4" s="873" t="s">
        <v>3618</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3975</v>
      </c>
      <c r="I8" s="1235"/>
    </row>
    <row r="9" spans="1:9" s="40" customFormat="1" ht="12.6" customHeight="1" thickBot="1">
      <c r="A9" s="101"/>
      <c r="B9" s="789"/>
      <c r="C9" s="390"/>
      <c r="D9" s="390"/>
      <c r="E9" s="391" t="s">
        <v>3941</v>
      </c>
      <c r="F9" s="391"/>
      <c r="G9" s="1234" t="s">
        <v>3975</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3975</v>
      </c>
    </row>
    <row r="12" spans="1:9" s="40" customFormat="1" ht="12.6" customHeight="1">
      <c r="A12" s="386"/>
      <c r="B12" s="1237"/>
      <c r="C12" s="1237"/>
      <c r="D12" s="1237"/>
      <c r="E12" s="1236" t="s">
        <v>3942</v>
      </c>
      <c r="F12" s="395"/>
      <c r="G12" s="1234" t="s">
        <v>2104</v>
      </c>
    </row>
    <row r="13" spans="1:9" s="40" customFormat="1" ht="12.6" customHeight="1">
      <c r="A13" s="386"/>
      <c r="B13" s="1237"/>
      <c r="C13" s="1237"/>
      <c r="D13" s="1237"/>
      <c r="E13" s="1236" t="s">
        <v>3938</v>
      </c>
      <c r="F13" s="395"/>
      <c r="G13" s="1234" t="s">
        <v>2104</v>
      </c>
    </row>
    <row r="14" spans="1:9" s="40" customFormat="1" ht="12" customHeight="1">
      <c r="A14" s="101"/>
      <c r="B14" s="391"/>
      <c r="C14" s="391"/>
      <c r="D14" s="391"/>
      <c r="E14" s="392" t="s">
        <v>749</v>
      </c>
      <c r="F14" s="391"/>
      <c r="G14" s="1234" t="s">
        <v>3975</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3975</v>
      </c>
    </row>
    <row r="17" spans="1:7" s="40" customFormat="1" ht="12" customHeight="1">
      <c r="A17" s="101"/>
      <c r="B17" s="239"/>
      <c r="C17" s="789"/>
      <c r="D17" s="391"/>
      <c r="E17" s="391" t="s">
        <v>3929</v>
      </c>
      <c r="F17" s="391"/>
      <c r="G17" s="1234" t="s">
        <v>3975</v>
      </c>
    </row>
    <row r="18" spans="1:7" s="40" customFormat="1" ht="12" customHeight="1">
      <c r="A18" s="101"/>
      <c r="B18" s="239"/>
      <c r="C18" s="789"/>
      <c r="D18" s="391"/>
      <c r="E18" s="391" t="s">
        <v>3969</v>
      </c>
      <c r="F18" s="391"/>
      <c r="G18" s="1234" t="s">
        <v>3975</v>
      </c>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3495</v>
      </c>
      <c r="F25" s="391"/>
      <c r="G25" s="1234" t="s">
        <v>2104</v>
      </c>
    </row>
    <row r="26" spans="1:7" s="40" customFormat="1" ht="12" customHeight="1">
      <c r="A26" s="101"/>
      <c r="B26" s="391"/>
      <c r="C26" s="391"/>
      <c r="D26" s="391"/>
      <c r="E26" s="1236" t="s">
        <v>3277</v>
      </c>
      <c r="F26" s="391"/>
      <c r="G26" s="1234" t="s">
        <v>2104</v>
      </c>
    </row>
    <row r="27" spans="1:7" s="40" customFormat="1" ht="12" customHeight="1">
      <c r="A27" s="101"/>
      <c r="B27" s="391"/>
      <c r="C27" s="416"/>
      <c r="D27" s="391"/>
      <c r="E27" s="1236" t="s">
        <v>2003</v>
      </c>
      <c r="F27" s="391"/>
      <c r="G27" s="1234" t="s">
        <v>3975</v>
      </c>
    </row>
    <row r="28" spans="1:7" s="40" customFormat="1" ht="12" customHeight="1">
      <c r="A28" s="101"/>
      <c r="B28" s="391"/>
      <c r="C28" s="391"/>
      <c r="D28" s="391"/>
      <c r="E28" s="1236" t="s">
        <v>2679</v>
      </c>
      <c r="F28" s="391"/>
      <c r="G28" s="1234" t="s">
        <v>3975</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3957</v>
      </c>
      <c r="F30" s="391"/>
      <c r="G30" s="1234" t="s">
        <v>2104</v>
      </c>
    </row>
    <row r="31" spans="1:7" s="40" customFormat="1" ht="12" customHeight="1">
      <c r="A31" s="101"/>
      <c r="B31" s="239"/>
      <c r="D31" s="1236" t="s">
        <v>3649</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3901</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t="s">
        <v>3975</v>
      </c>
    </row>
    <row r="36" spans="1:7" s="40" customFormat="1" ht="12" customHeight="1">
      <c r="A36" s="97"/>
      <c r="B36" s="393"/>
      <c r="C36" s="393"/>
      <c r="D36" s="393"/>
      <c r="E36" s="395" t="s">
        <v>3335</v>
      </c>
      <c r="F36" s="394"/>
      <c r="G36" s="1234" t="s">
        <v>3975</v>
      </c>
    </row>
    <row r="37" spans="1:7" s="40" customFormat="1" ht="12" customHeight="1">
      <c r="A37" s="97"/>
      <c r="B37" s="393"/>
      <c r="C37" s="393"/>
      <c r="D37" s="393"/>
      <c r="E37" s="395" t="s">
        <v>168</v>
      </c>
      <c r="F37" s="394"/>
      <c r="G37" s="1234" t="s">
        <v>3975</v>
      </c>
    </row>
    <row r="38" spans="1:7" s="40" customFormat="1" ht="26.25" customHeight="1">
      <c r="A38" s="97"/>
      <c r="B38" s="393"/>
      <c r="C38" s="393"/>
      <c r="D38" s="393"/>
      <c r="E38" s="865" t="s">
        <v>3696</v>
      </c>
      <c r="F38" s="866"/>
      <c r="G38" s="1234" t="s">
        <v>3975</v>
      </c>
    </row>
    <row r="39" spans="1:7" s="40" customFormat="1" ht="12" customHeight="1">
      <c r="A39" s="101"/>
      <c r="B39" s="239"/>
      <c r="C39" s="391"/>
      <c r="D39" s="391"/>
      <c r="E39" s="395" t="s">
        <v>3274</v>
      </c>
      <c r="F39" s="391"/>
      <c r="G39" s="1234" t="s">
        <v>3975</v>
      </c>
    </row>
    <row r="40" spans="1:7" s="40" customFormat="1" ht="12" customHeight="1">
      <c r="A40" s="101"/>
      <c r="B40" s="239"/>
      <c r="C40" s="391"/>
      <c r="D40" s="391"/>
      <c r="E40" s="395" t="s">
        <v>3634</v>
      </c>
      <c r="F40" s="391"/>
      <c r="G40" s="1234" t="s">
        <v>3975</v>
      </c>
    </row>
    <row r="41" spans="1:7" s="40" customFormat="1" ht="12" customHeight="1">
      <c r="A41" s="97"/>
      <c r="B41" s="393"/>
      <c r="C41" s="393"/>
      <c r="D41" s="393"/>
      <c r="E41" s="395" t="s">
        <v>1782</v>
      </c>
      <c r="F41" s="394"/>
      <c r="G41" s="1234" t="s">
        <v>3975</v>
      </c>
    </row>
    <row r="42" spans="1:7" s="40" customFormat="1" ht="12" customHeight="1">
      <c r="A42" s="97"/>
      <c r="B42" s="393"/>
      <c r="C42" s="393"/>
      <c r="D42" s="393"/>
      <c r="E42" s="395" t="s">
        <v>1781</v>
      </c>
      <c r="F42" s="394"/>
      <c r="G42" s="1234" t="s">
        <v>3975</v>
      </c>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t="s">
        <v>2104</v>
      </c>
    </row>
    <row r="45" spans="1:7" s="40" customFormat="1" ht="11.25" customHeight="1">
      <c r="A45" s="101"/>
      <c r="B45" s="1242"/>
      <c r="C45" s="143"/>
      <c r="D45" s="143"/>
      <c r="E45" s="1236" t="s">
        <v>3677</v>
      </c>
      <c r="F45" s="391"/>
      <c r="G45" s="1234" t="s">
        <v>2104</v>
      </c>
    </row>
    <row r="46" spans="1:7" s="40" customFormat="1" ht="12" customHeight="1">
      <c r="A46" s="101"/>
      <c r="B46" s="1243"/>
      <c r="C46" s="1244"/>
      <c r="D46" s="1244"/>
      <c r="E46" s="1236" t="s">
        <v>3678</v>
      </c>
      <c r="F46" s="391"/>
      <c r="G46" s="1234" t="s">
        <v>2104</v>
      </c>
    </row>
    <row r="47" spans="1:7" s="40" customFormat="1" ht="26.25" customHeight="1">
      <c r="A47" s="99"/>
      <c r="B47" s="393"/>
      <c r="C47" s="393"/>
      <c r="D47" s="393"/>
      <c r="E47" s="865" t="s">
        <v>3697</v>
      </c>
      <c r="F47" s="866"/>
      <c r="G47" s="1234" t="s">
        <v>2104</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t="s">
        <v>3975</v>
      </c>
    </row>
    <row r="50" spans="1:7" s="40" customFormat="1" ht="13.5">
      <c r="A50" s="386"/>
      <c r="B50" s="406"/>
      <c r="C50" s="1245" t="s">
        <v>3930</v>
      </c>
      <c r="D50" s="391"/>
      <c r="E50" s="865" t="s">
        <v>3968</v>
      </c>
      <c r="F50" s="866"/>
      <c r="G50" s="1234" t="s">
        <v>3975</v>
      </c>
    </row>
    <row r="51" spans="1:7" s="40" customFormat="1" ht="12" customHeight="1">
      <c r="A51" s="101"/>
      <c r="B51" s="239"/>
      <c r="C51" s="789"/>
      <c r="D51" s="391"/>
      <c r="E51" s="391" t="s">
        <v>3259</v>
      </c>
      <c r="F51" s="391"/>
      <c r="G51" s="1234" t="s">
        <v>3975</v>
      </c>
    </row>
    <row r="52" spans="1:7" s="40" customFormat="1" ht="12" customHeight="1">
      <c r="A52" s="101"/>
      <c r="B52" s="239"/>
      <c r="C52" s="789"/>
      <c r="D52" s="391"/>
      <c r="E52" s="391" t="s">
        <v>3917</v>
      </c>
      <c r="F52" s="391"/>
      <c r="G52" s="1234" t="s">
        <v>3975</v>
      </c>
    </row>
    <row r="53" spans="1:7" s="40" customFormat="1" ht="12" customHeight="1">
      <c r="A53" s="101"/>
      <c r="B53" s="239"/>
      <c r="C53" s="391"/>
      <c r="D53" s="391"/>
      <c r="E53" s="395" t="s">
        <v>3200</v>
      </c>
      <c r="F53" s="395"/>
      <c r="G53" s="1234" t="s">
        <v>3975</v>
      </c>
    </row>
    <row r="54" spans="1:7" s="40" customFormat="1" ht="12" customHeight="1">
      <c r="A54" s="101"/>
      <c r="B54" s="239"/>
      <c r="C54" s="391"/>
      <c r="D54" s="391"/>
      <c r="E54" s="865" t="s">
        <v>3919</v>
      </c>
      <c r="F54" s="866"/>
      <c r="G54" s="1234" t="s">
        <v>3975</v>
      </c>
    </row>
    <row r="55" spans="1:7" s="40" customFormat="1" ht="3" customHeight="1">
      <c r="A55" s="97"/>
      <c r="B55" s="393"/>
      <c r="C55" s="393"/>
      <c r="D55" s="393"/>
      <c r="E55" s="393"/>
      <c r="F55" s="394"/>
      <c r="G55" s="311"/>
    </row>
    <row r="56" spans="1:7" s="40" customFormat="1" ht="12" customHeight="1">
      <c r="A56" s="101"/>
      <c r="B56" s="395"/>
      <c r="C56" s="868" t="s">
        <v>3922</v>
      </c>
      <c r="D56" s="868"/>
      <c r="E56" s="395" t="s">
        <v>3287</v>
      </c>
      <c r="F56" s="395"/>
      <c r="G56" s="1234" t="s">
        <v>3975</v>
      </c>
    </row>
    <row r="57" spans="1:7" s="40" customFormat="1" ht="12" customHeight="1">
      <c r="A57" s="101"/>
      <c r="B57" s="395"/>
      <c r="C57" s="868"/>
      <c r="D57" s="868"/>
      <c r="E57" s="395" t="s">
        <v>3288</v>
      </c>
      <c r="F57" s="395"/>
      <c r="G57" s="1234" t="s">
        <v>3975</v>
      </c>
    </row>
    <row r="58" spans="1:7" s="1246" customFormat="1" ht="12" customHeight="1">
      <c r="A58" s="101"/>
      <c r="B58" s="395"/>
      <c r="C58" s="395"/>
      <c r="D58" s="414"/>
      <c r="E58" s="395" t="s">
        <v>3308</v>
      </c>
      <c r="F58" s="395"/>
      <c r="G58" s="1234" t="s">
        <v>3975</v>
      </c>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t="s">
        <v>2104</v>
      </c>
    </row>
    <row r="61" spans="1:7" s="40" customFormat="1" ht="12" customHeight="1">
      <c r="A61" s="101"/>
      <c r="B61" s="395"/>
      <c r="C61" s="390"/>
      <c r="D61" s="395"/>
      <c r="E61" s="865" t="s">
        <v>3689</v>
      </c>
      <c r="F61" s="866"/>
      <c r="G61" s="1234" t="s">
        <v>2104</v>
      </c>
    </row>
    <row r="62" spans="1:7" s="40" customFormat="1" ht="12" customHeight="1">
      <c r="A62" s="101"/>
      <c r="B62" s="395"/>
      <c r="C62" s="413"/>
      <c r="D62" s="395"/>
      <c r="E62" s="395" t="s">
        <v>3904</v>
      </c>
      <c r="G62" s="1234" t="s">
        <v>2104</v>
      </c>
    </row>
    <row r="63" spans="1:7" s="40" customFormat="1" ht="12" customHeight="1">
      <c r="A63" s="101"/>
      <c r="B63" s="395"/>
      <c r="C63" s="395"/>
      <c r="D63" s="414"/>
      <c r="E63" s="395" t="s">
        <v>3690</v>
      </c>
      <c r="G63" s="1234" t="s">
        <v>2104</v>
      </c>
    </row>
    <row r="64" spans="1:7" s="40" customFormat="1" ht="12" customHeight="1">
      <c r="A64" s="101"/>
      <c r="B64" s="395"/>
      <c r="C64" s="395"/>
      <c r="D64" s="414"/>
      <c r="E64" s="395" t="s">
        <v>3691</v>
      </c>
      <c r="G64" s="1234" t="s">
        <v>2104</v>
      </c>
    </row>
    <row r="65" spans="1:7" s="1246" customFormat="1" ht="12" customHeight="1">
      <c r="A65" s="101"/>
      <c r="B65" s="395"/>
      <c r="C65" s="395"/>
      <c r="D65" s="414"/>
      <c r="E65" s="865" t="s">
        <v>3692</v>
      </c>
      <c r="F65" s="866"/>
      <c r="G65" s="1234" t="s">
        <v>2104</v>
      </c>
    </row>
    <row r="66" spans="1:7" s="40" customFormat="1" ht="12" customHeight="1">
      <c r="A66" s="101"/>
      <c r="D66" s="391"/>
      <c r="E66" s="867" t="s">
        <v>3693</v>
      </c>
      <c r="F66" s="866"/>
      <c r="G66" s="1234" t="s">
        <v>2104</v>
      </c>
    </row>
    <row r="67" spans="1:7" s="40" customFormat="1" ht="12" customHeight="1">
      <c r="A67" s="101"/>
      <c r="B67" s="395"/>
      <c r="C67" s="390"/>
      <c r="D67" s="395"/>
      <c r="E67" s="395" t="s">
        <v>3694</v>
      </c>
      <c r="G67" s="1234" t="s">
        <v>2104</v>
      </c>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3924</v>
      </c>
      <c r="F70" s="391"/>
      <c r="G70" s="1234" t="s">
        <v>2104</v>
      </c>
    </row>
    <row r="71" spans="1:7" s="40" customFormat="1" ht="12" customHeight="1">
      <c r="A71" s="101"/>
      <c r="B71" s="391"/>
      <c r="C71" s="391"/>
      <c r="D71" s="1236"/>
      <c r="E71" s="396" t="s">
        <v>3309</v>
      </c>
      <c r="F71" s="395"/>
      <c r="G71" s="1234" t="s">
        <v>2104</v>
      </c>
    </row>
    <row r="72" spans="1:7" s="40" customFormat="1" ht="12" customHeight="1">
      <c r="A72" s="386"/>
      <c r="B72" s="1237"/>
      <c r="C72" s="391"/>
      <c r="D72" s="391"/>
      <c r="E72" s="1236" t="s">
        <v>3923</v>
      </c>
      <c r="F72" s="391"/>
      <c r="G72" s="1234" t="s">
        <v>3975</v>
      </c>
    </row>
    <row r="73" spans="1:7" s="40" customFormat="1" ht="12" customHeight="1">
      <c r="A73" s="386"/>
      <c r="B73" s="1237"/>
      <c r="C73" s="391"/>
      <c r="D73" s="391"/>
      <c r="E73" s="1236" t="s">
        <v>3953</v>
      </c>
      <c r="F73" s="391"/>
      <c r="G73" s="1234" t="s">
        <v>2104</v>
      </c>
    </row>
    <row r="74" spans="1:7" s="40" customFormat="1" ht="12" customHeight="1">
      <c r="A74" s="386"/>
      <c r="B74" s="1237"/>
      <c r="C74" s="391"/>
      <c r="D74" s="391"/>
      <c r="E74" s="1236" t="s">
        <v>3659</v>
      </c>
      <c r="F74" s="391"/>
      <c r="G74" s="1234" t="s">
        <v>2104</v>
      </c>
    </row>
    <row r="75" spans="1:7" s="40" customFormat="1" ht="12" customHeight="1">
      <c r="A75" s="386"/>
      <c r="B75" s="1237"/>
      <c r="C75" s="391"/>
      <c r="D75" s="391"/>
      <c r="E75" s="1236" t="s">
        <v>3278</v>
      </c>
      <c r="F75" s="391"/>
      <c r="G75" s="1234" t="s">
        <v>2104</v>
      </c>
    </row>
    <row r="76" spans="1:7" s="40" customFormat="1" ht="12" customHeight="1">
      <c r="A76" s="386"/>
      <c r="B76" s="1237"/>
      <c r="C76" s="391"/>
      <c r="D76" s="391"/>
      <c r="E76" s="1236" t="s">
        <v>3925</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3954</v>
      </c>
      <c r="F78" s="391"/>
      <c r="G78" s="1234" t="s">
        <v>2104</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4" t="s">
        <v>3975</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3975</v>
      </c>
    </row>
    <row r="93" spans="1:7" s="40" customFormat="1" ht="12" customHeight="1">
      <c r="A93" s="101"/>
      <c r="B93" s="391"/>
      <c r="C93" s="411"/>
      <c r="D93" s="411"/>
      <c r="E93" s="395" t="s">
        <v>1780</v>
      </c>
      <c r="F93" s="399"/>
      <c r="G93" s="1234" t="s">
        <v>3975</v>
      </c>
    </row>
    <row r="94" spans="1:7" s="40" customFormat="1" ht="12" customHeight="1">
      <c r="A94" s="101"/>
      <c r="B94" s="391"/>
      <c r="C94" s="391"/>
      <c r="D94" s="391"/>
      <c r="E94" s="397" t="s">
        <v>3905</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3679</v>
      </c>
      <c r="D96" s="391"/>
      <c r="E96" s="1236"/>
      <c r="F96" s="397"/>
      <c r="G96" s="149"/>
    </row>
    <row r="97" spans="1:7" s="40" customFormat="1" ht="12.75" customHeight="1">
      <c r="A97" s="387"/>
      <c r="D97" s="1248" t="s">
        <v>3680</v>
      </c>
      <c r="E97" s="1236" t="s">
        <v>3926</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3279</v>
      </c>
      <c r="F101" s="391"/>
      <c r="G101" s="1234" t="s">
        <v>2104</v>
      </c>
    </row>
    <row r="102" spans="1:7" s="40" customFormat="1" ht="12" customHeight="1">
      <c r="A102" s="101"/>
      <c r="B102" s="391"/>
      <c r="C102" s="411"/>
      <c r="D102" s="411"/>
      <c r="E102" s="395" t="s">
        <v>3584</v>
      </c>
      <c r="F102" s="399"/>
      <c r="G102" s="1234" t="s">
        <v>2104</v>
      </c>
    </row>
    <row r="103" spans="1:7" s="40" customFormat="1" ht="12" customHeight="1">
      <c r="A103" s="101"/>
      <c r="B103" s="391"/>
      <c r="C103" s="411"/>
      <c r="D103" s="411"/>
      <c r="E103" s="395" t="s">
        <v>3585</v>
      </c>
      <c r="F103" s="399"/>
      <c r="G103" s="1234" t="s">
        <v>2104</v>
      </c>
    </row>
    <row r="104" spans="1:7" s="40" customFormat="1" ht="12" customHeight="1">
      <c r="A104" s="101"/>
      <c r="B104" s="391"/>
      <c r="C104" s="391"/>
      <c r="D104" s="391"/>
      <c r="E104" s="391" t="s">
        <v>3586</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3975</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4" t="s">
        <v>3975</v>
      </c>
    </row>
    <row r="109" spans="1:7" s="40" customFormat="1" ht="12" customHeight="1">
      <c r="A109" s="101"/>
      <c r="B109" s="239"/>
      <c r="C109" s="789"/>
      <c r="D109" s="391"/>
      <c r="E109" s="397" t="s">
        <v>3916</v>
      </c>
      <c r="F109" s="397"/>
      <c r="G109" s="1234" t="s">
        <v>2104</v>
      </c>
    </row>
    <row r="110" spans="1:7" s="40" customFormat="1" ht="12" customHeight="1">
      <c r="A110" s="101"/>
      <c r="B110" s="239"/>
      <c r="C110" s="789"/>
      <c r="D110" s="391"/>
      <c r="E110" s="397" t="s">
        <v>3908</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3683</v>
      </c>
      <c r="F112" s="866"/>
      <c r="G112" s="1234" t="s">
        <v>3975</v>
      </c>
    </row>
    <row r="113" spans="1:7" s="40" customFormat="1" ht="12" customHeight="1">
      <c r="A113" s="101"/>
      <c r="B113" s="395"/>
      <c r="C113" s="239"/>
      <c r="D113" s="395"/>
      <c r="E113" s="395" t="s">
        <v>680</v>
      </c>
      <c r="F113" s="401"/>
      <c r="G113" s="1234" t="s">
        <v>3975</v>
      </c>
    </row>
    <row r="114" spans="1:7" s="40" customFormat="1" ht="12" customHeight="1">
      <c r="A114" s="101"/>
      <c r="B114" s="391"/>
      <c r="C114" s="239"/>
      <c r="D114" s="391"/>
      <c r="E114" s="395" t="s">
        <v>3606</v>
      </c>
      <c r="F114" s="397"/>
      <c r="G114" s="1234" t="s">
        <v>3975</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4" t="s">
        <v>3975</v>
      </c>
    </row>
    <row r="117" spans="1:7" s="40" customFormat="1" ht="12" customHeight="1">
      <c r="A117" s="101"/>
      <c r="B117" s="239"/>
      <c r="C117" s="239"/>
      <c r="D117" s="391"/>
      <c r="E117" s="391" t="s">
        <v>3115</v>
      </c>
      <c r="F117" s="391"/>
      <c r="G117" s="1234" t="s">
        <v>2104</v>
      </c>
    </row>
    <row r="118" spans="1:7" s="40" customFormat="1" ht="12" customHeight="1">
      <c r="A118" s="101"/>
      <c r="B118" s="391"/>
      <c r="C118" s="239"/>
      <c r="D118" s="391"/>
      <c r="E118" s="391" t="s">
        <v>3058</v>
      </c>
      <c r="F118" s="391"/>
      <c r="G118" s="1234" t="s">
        <v>3975</v>
      </c>
    </row>
    <row r="119" spans="1:7" s="40" customFormat="1" ht="12" customHeight="1">
      <c r="A119" s="101"/>
      <c r="B119" s="390"/>
      <c r="C119" s="239"/>
      <c r="D119" s="391"/>
      <c r="E119" s="395" t="s">
        <v>3684</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3686</v>
      </c>
      <c r="F121" s="865"/>
      <c r="G121" s="1234" t="s">
        <v>3975</v>
      </c>
    </row>
    <row r="122" spans="1:7" s="40" customFormat="1" ht="12" customHeight="1">
      <c r="A122" s="104"/>
      <c r="B122" s="390"/>
      <c r="C122" s="239"/>
      <c r="D122" s="395"/>
      <c r="E122" s="865" t="s">
        <v>3685</v>
      </c>
      <c r="F122" s="866"/>
      <c r="G122" s="1234" t="s">
        <v>3975</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4" t="s">
        <v>2104</v>
      </c>
    </row>
    <row r="125" spans="1:7" s="40" customFormat="1" ht="12" customHeight="1">
      <c r="A125" s="386"/>
      <c r="B125" s="404"/>
      <c r="C125" s="239"/>
      <c r="D125" s="391"/>
      <c r="E125" s="395" t="s">
        <v>3280</v>
      </c>
      <c r="F125" s="395"/>
      <c r="G125" s="1234" t="s">
        <v>2104</v>
      </c>
    </row>
    <row r="126" spans="1:7" s="40" customFormat="1" ht="12" customHeight="1">
      <c r="A126" s="101"/>
      <c r="B126" s="395"/>
      <c r="C126" s="239"/>
      <c r="D126" s="395"/>
      <c r="E126" s="396" t="s">
        <v>3494</v>
      </c>
      <c r="F126" s="391"/>
      <c r="G126" s="1234" t="s">
        <v>2104</v>
      </c>
    </row>
    <row r="127" spans="1:7" s="40" customFormat="1" ht="12" customHeight="1">
      <c r="A127" s="101"/>
      <c r="B127" s="391"/>
      <c r="C127" s="239"/>
      <c r="D127" s="1236"/>
      <c r="E127" s="391" t="s">
        <v>3281</v>
      </c>
      <c r="F127" s="391"/>
      <c r="G127" s="1234" t="s">
        <v>3975</v>
      </c>
    </row>
    <row r="128" spans="1:7" s="40" customFormat="1" ht="12" customHeight="1">
      <c r="A128" s="101"/>
      <c r="B128" s="390"/>
      <c r="C128" s="239"/>
      <c r="D128" s="391"/>
      <c r="E128" s="391" t="s">
        <v>1537</v>
      </c>
      <c r="F128" s="391"/>
      <c r="G128" s="1234" t="s">
        <v>3975</v>
      </c>
    </row>
    <row r="129" spans="1:7" s="40" customFormat="1" ht="12" customHeight="1">
      <c r="A129" s="101"/>
      <c r="B129" s="391"/>
      <c r="C129" s="239"/>
      <c r="D129" s="391"/>
      <c r="E129" s="395" t="s">
        <v>1538</v>
      </c>
      <c r="F129" s="401"/>
      <c r="G129" s="1234" t="s">
        <v>3975</v>
      </c>
    </row>
    <row r="130" spans="1:7" s="40" customFormat="1" ht="12" customHeight="1">
      <c r="A130" s="101"/>
      <c r="B130" s="395"/>
      <c r="C130" s="239"/>
      <c r="D130" s="395"/>
      <c r="E130" s="395" t="s">
        <v>3240</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3975</v>
      </c>
    </row>
    <row r="133" spans="1:7" s="40" customFormat="1" ht="12" customHeight="1">
      <c r="A133" s="101"/>
      <c r="B133" s="884"/>
      <c r="C133" s="885"/>
      <c r="D133" s="885"/>
      <c r="E133" s="395" t="s">
        <v>1785</v>
      </c>
      <c r="F133" s="395"/>
      <c r="G133" s="1234" t="s">
        <v>3975</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4" t="s">
        <v>2104</v>
      </c>
    </row>
    <row r="137" spans="1:7" s="40" customFormat="1" ht="12" customHeight="1">
      <c r="A137" s="101"/>
      <c r="B137" s="587" t="s">
        <v>2882</v>
      </c>
      <c r="C137" s="239"/>
      <c r="D137" s="1251"/>
      <c r="E137" s="867" t="s">
        <v>3934</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3975</v>
      </c>
    </row>
    <row r="140" spans="1:7" s="40" customFormat="1" ht="12" customHeight="1">
      <c r="A140" s="386"/>
      <c r="B140" s="587" t="s">
        <v>3177</v>
      </c>
      <c r="C140" s="404"/>
      <c r="D140" s="391"/>
      <c r="E140" s="392" t="s">
        <v>2373</v>
      </c>
      <c r="F140" s="391"/>
      <c r="G140" s="1234" t="s">
        <v>3975</v>
      </c>
    </row>
    <row r="141" spans="1:7" s="40" customFormat="1" ht="12" customHeight="1">
      <c r="A141" s="101"/>
      <c r="B141" s="239"/>
      <c r="C141" s="391"/>
      <c r="D141" s="391"/>
      <c r="E141" s="391" t="s">
        <v>3091</v>
      </c>
      <c r="F141" s="391"/>
      <c r="G141" s="1234" t="s">
        <v>3975</v>
      </c>
    </row>
    <row r="142" spans="1:7" s="40" customFormat="1" ht="12" customHeight="1">
      <c r="A142" s="101"/>
      <c r="B142" s="391"/>
      <c r="C142" s="391"/>
      <c r="D142" s="391"/>
      <c r="E142" s="391" t="s">
        <v>3607</v>
      </c>
      <c r="F142" s="391"/>
      <c r="G142" s="1234" t="s">
        <v>3975</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3975</v>
      </c>
    </row>
    <row r="145" spans="1:7" s="40" customFormat="1" ht="12" customHeight="1">
      <c r="A145" s="101"/>
      <c r="B145" s="395"/>
      <c r="C145" s="390"/>
      <c r="D145" s="395"/>
      <c r="E145" s="395" t="s">
        <v>3400</v>
      </c>
      <c r="F145" s="395"/>
      <c r="G145" s="1234" t="s">
        <v>3975</v>
      </c>
    </row>
    <row r="146" spans="1:7" s="40" customFormat="1" ht="12" customHeight="1">
      <c r="A146" s="101"/>
      <c r="B146" s="395"/>
      <c r="C146" s="413"/>
      <c r="D146" s="395"/>
      <c r="E146" s="395" t="s">
        <v>678</v>
      </c>
      <c r="F146" s="395"/>
      <c r="G146" s="1234" t="s">
        <v>3975</v>
      </c>
    </row>
    <row r="147" spans="1:7" s="40" customFormat="1" ht="12" customHeight="1">
      <c r="A147" s="101"/>
      <c r="B147" s="395"/>
      <c r="C147" s="395"/>
      <c r="D147" s="414"/>
      <c r="E147" s="395" t="s">
        <v>679</v>
      </c>
      <c r="F147" s="395"/>
      <c r="G147" s="1234" t="s">
        <v>3975</v>
      </c>
    </row>
    <row r="148" spans="1:7" s="40" customFormat="1" ht="12" customHeight="1">
      <c r="A148" s="101"/>
      <c r="B148" s="395"/>
      <c r="C148" s="395"/>
      <c r="D148" s="414"/>
      <c r="E148" s="395" t="s">
        <v>911</v>
      </c>
      <c r="F148" s="395"/>
      <c r="G148" s="1234" t="s">
        <v>3975</v>
      </c>
    </row>
    <row r="149" spans="1:7" s="1246" customFormat="1" ht="12" customHeight="1">
      <c r="A149" s="101"/>
      <c r="B149" s="395"/>
      <c r="C149" s="395"/>
      <c r="D149" s="414"/>
      <c r="E149" s="395" t="s">
        <v>2142</v>
      </c>
      <c r="F149" s="395"/>
      <c r="G149" s="1234" t="s">
        <v>3975</v>
      </c>
    </row>
    <row r="150" spans="1:7" s="40" customFormat="1" ht="12" customHeight="1">
      <c r="A150" s="101"/>
      <c r="B150" s="395"/>
      <c r="C150" s="395"/>
      <c r="D150" s="395"/>
      <c r="E150" s="789" t="s">
        <v>3333</v>
      </c>
      <c r="F150" s="401"/>
      <c r="G150" s="1234" t="s">
        <v>3975</v>
      </c>
    </row>
    <row r="151" spans="1:7" s="40" customFormat="1" ht="12" customHeight="1">
      <c r="A151" s="101"/>
      <c r="B151" s="395"/>
      <c r="C151" s="395"/>
      <c r="D151" s="395"/>
      <c r="E151" s="789" t="s">
        <v>3698</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3096</v>
      </c>
      <c r="F159" s="391"/>
      <c r="G159" s="1234" t="s">
        <v>2104</v>
      </c>
    </row>
    <row r="160" spans="1:7" s="40" customFormat="1" ht="12" customHeight="1">
      <c r="A160" s="101"/>
      <c r="B160" s="239"/>
      <c r="C160" s="239"/>
      <c r="D160" s="239"/>
      <c r="E160" s="395" t="s">
        <v>3126</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3122</v>
      </c>
      <c r="F163" s="391"/>
      <c r="G163" s="1234" t="s">
        <v>2104</v>
      </c>
    </row>
    <row r="164" spans="1:7" s="40" customFormat="1" ht="12" customHeight="1">
      <c r="A164" s="101"/>
      <c r="B164" s="395"/>
      <c r="C164" s="395"/>
      <c r="D164" s="395"/>
      <c r="E164" s="395" t="s">
        <v>3123</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3975</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945</v>
      </c>
      <c r="C169" s="239"/>
      <c r="D169" s="1236"/>
      <c r="E169" s="397" t="s">
        <v>3276</v>
      </c>
      <c r="F169" s="391"/>
      <c r="G169" s="1234" t="s">
        <v>3975</v>
      </c>
    </row>
    <row r="170" spans="1:7" s="40" customFormat="1" ht="12" customHeight="1">
      <c r="A170" s="101"/>
      <c r="B170" s="239"/>
      <c r="C170" s="789"/>
      <c r="D170" s="1236"/>
      <c r="E170" s="867" t="s">
        <v>807</v>
      </c>
      <c r="F170" s="866"/>
      <c r="G170" s="1234" t="s">
        <v>3975</v>
      </c>
    </row>
    <row r="171" spans="1:7" s="40" customFormat="1" ht="12" customHeight="1">
      <c r="A171" s="101"/>
      <c r="B171" s="400"/>
      <c r="C171" s="1236"/>
      <c r="D171" s="1236"/>
      <c r="E171" s="397" t="s">
        <v>36</v>
      </c>
      <c r="F171" s="391"/>
      <c r="G171" s="1234" t="s">
        <v>3975</v>
      </c>
    </row>
    <row r="172" spans="1:7" s="40" customFormat="1" ht="27" customHeight="1">
      <c r="A172" s="101"/>
      <c r="B172" s="400"/>
      <c r="C172" s="1236"/>
      <c r="D172" s="1236"/>
      <c r="E172" s="867" t="s">
        <v>645</v>
      </c>
      <c r="F172" s="866"/>
      <c r="G172" s="1234" t="s">
        <v>3975</v>
      </c>
    </row>
    <row r="173" spans="1:7" s="40" customFormat="1" ht="37.5" customHeight="1">
      <c r="A173" s="101"/>
      <c r="B173" s="400"/>
      <c r="C173" s="1236"/>
      <c r="D173" s="1236"/>
      <c r="E173" s="881" t="s">
        <v>3699</v>
      </c>
      <c r="F173" s="882"/>
      <c r="G173" s="1234" t="s">
        <v>2104</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3909</v>
      </c>
      <c r="F175" s="866"/>
      <c r="G175" s="1234" t="s">
        <v>3975</v>
      </c>
    </row>
    <row r="176" spans="1:7" s="40" customFormat="1" ht="11.25" customHeight="1">
      <c r="A176" s="386"/>
      <c r="B176" s="1257"/>
      <c r="C176" s="239"/>
      <c r="D176" s="1237"/>
      <c r="E176" s="867" t="s">
        <v>590</v>
      </c>
      <c r="F176" s="866"/>
      <c r="G176" s="1234" t="s">
        <v>3975</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2104</v>
      </c>
    </row>
    <row r="179" spans="1:7" s="40" customFormat="1" ht="12" customHeight="1">
      <c r="A179" s="101"/>
      <c r="B179" s="1237"/>
      <c r="C179" s="239"/>
      <c r="E179" s="823" t="s">
        <v>3660</v>
      </c>
      <c r="F179" s="824"/>
      <c r="G179" s="1234" t="s">
        <v>2104</v>
      </c>
    </row>
    <row r="180" spans="1:7" s="40" customFormat="1" ht="12" customHeight="1">
      <c r="A180" s="101"/>
      <c r="B180" s="406"/>
      <c r="C180" s="239"/>
      <c r="D180" s="1237"/>
      <c r="E180" s="867" t="s">
        <v>591</v>
      </c>
      <c r="F180" s="866"/>
      <c r="G180" s="1234" t="s">
        <v>2104</v>
      </c>
    </row>
    <row r="181" spans="1:7" s="40" customFormat="1" ht="12" customHeight="1">
      <c r="A181" s="101"/>
      <c r="B181" s="406"/>
      <c r="C181" s="239"/>
      <c r="D181" s="1237"/>
      <c r="E181" s="867" t="s">
        <v>592</v>
      </c>
      <c r="F181" s="866"/>
      <c r="G181" s="1234" t="s">
        <v>2104</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3674</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67" t="s">
        <v>3911</v>
      </c>
      <c r="F189" s="866"/>
      <c r="G189" s="1234" t="s">
        <v>3975</v>
      </c>
    </row>
    <row r="190" spans="1:7" s="40" customFormat="1" ht="12" customHeight="1">
      <c r="A190" s="101"/>
      <c r="B190" s="1237"/>
      <c r="C190" s="239"/>
      <c r="D190" s="1237"/>
      <c r="E190" s="1236" t="s">
        <v>3675</v>
      </c>
      <c r="G190" s="1234" t="s">
        <v>3975</v>
      </c>
    </row>
    <row r="191" spans="1:7" s="40" customFormat="1" ht="12" customHeight="1">
      <c r="A191" s="386"/>
      <c r="B191" s="1258"/>
      <c r="C191" s="1237"/>
      <c r="D191" s="1237"/>
      <c r="E191" s="867" t="s">
        <v>3912</v>
      </c>
      <c r="F191" s="1167"/>
      <c r="G191" s="1234" t="s">
        <v>3975</v>
      </c>
    </row>
    <row r="192" spans="1:7" s="40" customFormat="1" ht="12" customHeight="1">
      <c r="A192" s="388"/>
      <c r="B192" s="1258"/>
      <c r="C192" s="1237"/>
      <c r="D192" s="1237"/>
      <c r="E192" s="867" t="s">
        <v>3676</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3975</v>
      </c>
    </row>
    <row r="195" spans="1:7" s="40" customFormat="1" ht="26.25" customHeight="1">
      <c r="A195" s="101"/>
      <c r="B195" s="1237"/>
      <c r="C195" s="239"/>
      <c r="D195" s="1237"/>
      <c r="E195" s="1260" t="s">
        <v>3910</v>
      </c>
      <c r="F195" s="1261"/>
      <c r="G195" s="1234" t="s">
        <v>3975</v>
      </c>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3312</v>
      </c>
      <c r="F202" s="1268"/>
      <c r="G202" s="1234" t="s">
        <v>2104</v>
      </c>
    </row>
    <row r="203" spans="1:7" s="40" customFormat="1" ht="12" customHeight="1">
      <c r="A203" s="101"/>
      <c r="C203" s="1236"/>
      <c r="D203" s="1237"/>
      <c r="E203" s="1236" t="s">
        <v>3313</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3522</v>
      </c>
      <c r="F205" s="395"/>
      <c r="G205" s="1234" t="s">
        <v>3975</v>
      </c>
    </row>
    <row r="206" spans="1:7" s="40" customFormat="1" ht="12" customHeight="1">
      <c r="A206" s="101"/>
      <c r="B206" s="239"/>
      <c r="C206" s="1236"/>
      <c r="D206" s="1237"/>
      <c r="E206" s="1236" t="s">
        <v>3164</v>
      </c>
      <c r="F206" s="395"/>
      <c r="G206" s="1234" t="s">
        <v>3975</v>
      </c>
    </row>
    <row r="207" spans="1:7" s="40" customFormat="1" ht="12" customHeight="1">
      <c r="A207" s="101"/>
      <c r="B207" s="1236"/>
      <c r="C207" s="390"/>
      <c r="D207" s="1237"/>
      <c r="E207" s="1236" t="s">
        <v>155</v>
      </c>
      <c r="F207" s="395"/>
      <c r="G207" s="1234" t="s">
        <v>3975</v>
      </c>
    </row>
    <row r="208" spans="1:7" s="40" customFormat="1" ht="12" customHeight="1">
      <c r="A208" s="101"/>
      <c r="B208" s="1236"/>
      <c r="C208" s="1245"/>
      <c r="D208" s="1237"/>
      <c r="E208" s="1236" t="s">
        <v>3608</v>
      </c>
      <c r="F208" s="395"/>
      <c r="G208" s="1234" t="s">
        <v>3975</v>
      </c>
    </row>
    <row r="209" spans="1:7" s="40" customFormat="1" ht="12" customHeight="1">
      <c r="A209" s="101"/>
      <c r="B209" s="789"/>
      <c r="C209" s="1245"/>
      <c r="D209" s="1237"/>
      <c r="E209" s="1236" t="s">
        <v>156</v>
      </c>
      <c r="F209" s="395"/>
      <c r="G209" s="1234" t="s">
        <v>3975</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3975</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3282</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3681</v>
      </c>
      <c r="F227" s="824"/>
      <c r="G227" s="1234" t="s">
        <v>2104</v>
      </c>
    </row>
    <row r="228" spans="1:7" s="40" customFormat="1" ht="26.25" customHeight="1">
      <c r="A228" s="388"/>
      <c r="B228" s="239"/>
      <c r="C228" s="239"/>
      <c r="D228" s="1237"/>
      <c r="E228" s="867" t="s">
        <v>3682</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3726</v>
      </c>
      <c r="F230" s="1271" t="s">
        <v>4056</v>
      </c>
      <c r="G230" s="1234" t="s">
        <v>3975</v>
      </c>
    </row>
    <row r="231" spans="1:7" s="40" customFormat="1" ht="12.6" customHeight="1">
      <c r="A231" s="101"/>
      <c r="C231" s="1272" t="s">
        <v>946</v>
      </c>
      <c r="D231" s="1167"/>
      <c r="E231" s="1273" t="s">
        <v>3726</v>
      </c>
      <c r="F231" s="1273" t="s">
        <v>4057</v>
      </c>
      <c r="G231" s="1274" t="s">
        <v>3975</v>
      </c>
    </row>
    <row r="232" spans="1:7" s="40" customFormat="1" ht="12.6" customHeight="1">
      <c r="A232" s="101"/>
      <c r="C232" s="1272"/>
      <c r="D232" s="1167"/>
      <c r="E232" s="1273" t="s">
        <v>3726</v>
      </c>
      <c r="F232" s="1273" t="s">
        <v>4058</v>
      </c>
      <c r="G232" s="1274" t="s">
        <v>3975</v>
      </c>
    </row>
    <row r="233" spans="1:7" s="40" customFormat="1" ht="12.6" customHeight="1">
      <c r="A233" s="101"/>
      <c r="C233" s="1272"/>
      <c r="D233" s="1167"/>
      <c r="E233" s="1273" t="s">
        <v>3726</v>
      </c>
      <c r="F233" s="1273" t="s">
        <v>4059</v>
      </c>
      <c r="G233" s="1274" t="s">
        <v>3975</v>
      </c>
    </row>
    <row r="234" spans="1:7" s="40" customFormat="1" ht="12.6" customHeight="1">
      <c r="A234" s="101"/>
      <c r="C234" s="1272"/>
      <c r="D234" s="1167"/>
      <c r="E234" s="1273" t="s">
        <v>3726</v>
      </c>
      <c r="F234" s="1273" t="s">
        <v>4060</v>
      </c>
      <c r="G234" s="1274" t="s">
        <v>3975</v>
      </c>
    </row>
    <row r="235" spans="1:7" s="40" customFormat="1" ht="12.6" customHeight="1">
      <c r="A235" s="101"/>
      <c r="C235" s="1166"/>
      <c r="D235" s="1167"/>
      <c r="E235" s="1275" t="s">
        <v>3726</v>
      </c>
      <c r="F235" s="1275" t="s">
        <v>4061</v>
      </c>
      <c r="G235" s="1274" t="s">
        <v>3975</v>
      </c>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t="s">
        <v>3975</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3610</v>
      </c>
      <c r="F241" s="991"/>
      <c r="G241" s="1234" t="s">
        <v>3975</v>
      </c>
    </row>
    <row r="242" spans="1:7" s="40" customFormat="1" ht="12" customHeight="1">
      <c r="A242" s="101"/>
      <c r="B242" s="391"/>
      <c r="C242" s="390"/>
      <c r="D242" s="1236"/>
      <c r="E242" s="391" t="s">
        <v>285</v>
      </c>
      <c r="F242" s="391"/>
      <c r="G242" s="1234" t="s">
        <v>3975</v>
      </c>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password="BEC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6"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2012-019 Walton Oaks Family 2, Augusta, Richmond County</v>
      </c>
      <c r="B1" s="994"/>
      <c r="C1" s="994"/>
      <c r="D1" s="994"/>
      <c r="E1" s="994"/>
      <c r="F1" s="994"/>
      <c r="G1" s="994"/>
      <c r="H1" s="994"/>
      <c r="I1" s="994"/>
      <c r="J1" s="994"/>
      <c r="K1" s="994"/>
      <c r="L1" s="994"/>
      <c r="M1" s="994"/>
      <c r="N1" s="994"/>
      <c r="O1" s="994"/>
      <c r="P1" s="995"/>
      <c r="T1" s="1103" t="str">
        <f>A1</f>
        <v>PART SIX - PROJECTED REVENUES &amp; EXPENSES  -  2012-019 Walton Oaks Family 2, Augusta, Richmond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3229</v>
      </c>
      <c r="AC4" s="1081" t="s">
        <v>3230</v>
      </c>
      <c r="AD4" s="1081" t="s">
        <v>3231</v>
      </c>
      <c r="AE4" s="1081" t="s">
        <v>3232</v>
      </c>
      <c r="AF4" s="1081" t="s">
        <v>1414</v>
      </c>
      <c r="AG4" s="1081" t="s">
        <v>3233</v>
      </c>
      <c r="AH4" s="1081" t="s">
        <v>3234</v>
      </c>
      <c r="AI4" s="1081" t="s">
        <v>3235</v>
      </c>
      <c r="AJ4" s="1081" t="s">
        <v>3236</v>
      </c>
      <c r="AK4" s="1081" t="s">
        <v>140</v>
      </c>
      <c r="AL4" s="1081" t="s">
        <v>3237</v>
      </c>
      <c r="AM4" s="1081" t="s">
        <v>3238</v>
      </c>
      <c r="AN4" s="1081" t="s">
        <v>3239</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3413</v>
      </c>
      <c r="BU4" s="1081" t="s">
        <v>3414</v>
      </c>
      <c r="BV4" s="1081" t="s">
        <v>3415</v>
      </c>
      <c r="BW4" s="1081" t="s">
        <v>3416</v>
      </c>
      <c r="BX4" s="1081" t="s">
        <v>3417</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3412</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2672</v>
      </c>
      <c r="DV4" s="1082" t="s">
        <v>2673</v>
      </c>
      <c r="DW4" s="1082" t="s">
        <v>2674</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3108</v>
      </c>
      <c r="EM4" s="1082" t="s">
        <v>3109</v>
      </c>
      <c r="EN4" s="1082" t="s">
        <v>3110</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3537</v>
      </c>
      <c r="GQ4" s="1082" t="s">
        <v>3538</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36"/>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37" t="s">
        <v>3976</v>
      </c>
      <c r="J6" s="848" t="s">
        <v>3385</v>
      </c>
      <c r="N6" s="1100" t="str">
        <f>'Part I-Project Information'!$J$26</f>
        <v>Augusta-Richmond Co.</v>
      </c>
      <c r="O6" s="1100"/>
      <c r="P6" s="672">
        <f>VLOOKUP('Part I-Project Information'!$J$26,'DCA Underwriting Assumptions'!$C$84:$D$194,2)</f>
        <v>57900</v>
      </c>
      <c r="Q6" s="769"/>
      <c r="R6" s="1102" t="s">
        <v>3974</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3386</v>
      </c>
      <c r="K7" s="2"/>
      <c r="L7" s="2"/>
      <c r="M7" s="2"/>
      <c r="N7" s="37"/>
      <c r="O7" s="37"/>
      <c r="P7" s="817"/>
      <c r="Q7" s="817"/>
      <c r="R7" s="818"/>
      <c r="S7" s="819" t="s">
        <v>3971</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3361</v>
      </c>
      <c r="H8" s="848" t="s">
        <v>3359</v>
      </c>
      <c r="I8" s="848" t="s">
        <v>1284</v>
      </c>
      <c r="J8" s="848" t="s">
        <v>3387</v>
      </c>
      <c r="K8" s="1098" t="s">
        <v>170</v>
      </c>
      <c r="L8" s="1098"/>
      <c r="M8" s="848" t="s">
        <v>3332</v>
      </c>
      <c r="N8" s="848" t="s">
        <v>768</v>
      </c>
      <c r="O8" s="848" t="s">
        <v>457</v>
      </c>
      <c r="P8" s="1101" t="s">
        <v>1551</v>
      </c>
      <c r="Q8" s="1101"/>
      <c r="R8" s="849" t="s">
        <v>3970</v>
      </c>
      <c r="S8" s="849" t="s">
        <v>3972</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3423</v>
      </c>
      <c r="EX8" s="776" t="s">
        <v>3424</v>
      </c>
      <c r="EY8" s="776" t="s">
        <v>3425</v>
      </c>
      <c r="EZ8" s="776" t="s">
        <v>3426</v>
      </c>
      <c r="FA8" s="1082" t="s">
        <v>3503</v>
      </c>
      <c r="FB8" s="1082" t="s">
        <v>3503</v>
      </c>
      <c r="FC8" s="1082" t="s">
        <v>3503</v>
      </c>
      <c r="FD8" s="1082" t="s">
        <v>3503</v>
      </c>
      <c r="FE8" s="1082" t="s">
        <v>3503</v>
      </c>
      <c r="FF8" s="776" t="s">
        <v>673</v>
      </c>
      <c r="FG8" s="776" t="s">
        <v>3423</v>
      </c>
      <c r="FH8" s="776" t="s">
        <v>3424</v>
      </c>
      <c r="FI8" s="776" t="s">
        <v>3425</v>
      </c>
      <c r="FJ8" s="776" t="s">
        <v>3426</v>
      </c>
      <c r="FK8" s="1082" t="s">
        <v>3505</v>
      </c>
      <c r="FL8" s="1082" t="s">
        <v>3505</v>
      </c>
      <c r="FM8" s="1082" t="s">
        <v>3505</v>
      </c>
      <c r="FN8" s="1082" t="s">
        <v>3505</v>
      </c>
      <c r="FO8" s="1082" t="s">
        <v>3505</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3360</v>
      </c>
      <c r="I9" s="848" t="s">
        <v>1285</v>
      </c>
      <c r="J9" s="758" t="s">
        <v>422</v>
      </c>
      <c r="K9" s="848" t="s">
        <v>2131</v>
      </c>
      <c r="L9" s="848" t="s">
        <v>775</v>
      </c>
      <c r="M9" s="848" t="s">
        <v>2068</v>
      </c>
      <c r="N9" s="848" t="s">
        <v>1863</v>
      </c>
      <c r="O9" s="848" t="s">
        <v>458</v>
      </c>
      <c r="P9" s="849" t="s">
        <v>1549</v>
      </c>
      <c r="Q9" s="849" t="s">
        <v>1550</v>
      </c>
      <c r="R9" s="849" t="s">
        <v>2070</v>
      </c>
      <c r="S9" s="849" t="s">
        <v>3973</v>
      </c>
      <c r="T9" s="976" t="s">
        <v>2716</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3502</v>
      </c>
      <c r="EX9" s="776" t="s">
        <v>3502</v>
      </c>
      <c r="EY9" s="776" t="s">
        <v>3502</v>
      </c>
      <c r="EZ9" s="776" t="s">
        <v>3502</v>
      </c>
      <c r="FA9" s="1082"/>
      <c r="FB9" s="1082"/>
      <c r="FC9" s="1082"/>
      <c r="FD9" s="1082"/>
      <c r="FE9" s="1082"/>
      <c r="FF9" s="776" t="s">
        <v>3504</v>
      </c>
      <c r="FG9" s="776" t="s">
        <v>3504</v>
      </c>
      <c r="FH9" s="776" t="s">
        <v>3504</v>
      </c>
      <c r="FI9" s="776" t="s">
        <v>3504</v>
      </c>
      <c r="FJ9" s="776" t="s">
        <v>3504</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38" t="s">
        <v>1670</v>
      </c>
      <c r="C10" s="1539">
        <v>1</v>
      </c>
      <c r="D10" s="1540">
        <v>1</v>
      </c>
      <c r="E10" s="1541">
        <v>16</v>
      </c>
      <c r="F10" s="1541">
        <v>800</v>
      </c>
      <c r="G10" s="1541">
        <v>626</v>
      </c>
      <c r="H10" s="1541">
        <v>611</v>
      </c>
      <c r="I10" s="1541">
        <v>136</v>
      </c>
      <c r="J10" s="1542"/>
      <c r="K10" s="224">
        <f>MAX(0,H10-I10)</f>
        <v>475</v>
      </c>
      <c r="L10" s="224">
        <f t="shared" ref="L10:L47" si="0">MAX(0,E10*K10)</f>
        <v>7600</v>
      </c>
      <c r="M10" s="1543" t="s">
        <v>3976</v>
      </c>
      <c r="N10" s="1543" t="s">
        <v>4038</v>
      </c>
      <c r="O10" s="1543" t="s">
        <v>3212</v>
      </c>
      <c r="P10" s="673">
        <f>IF(H10="","",H10*12/0.3)</f>
        <v>24440</v>
      </c>
      <c r="Q10" s="674">
        <f>IF(H10="","",P10/($P$6*VLOOKUP(C10,'DCA Underwriting Assumptions'!$J$84:$K$89,2,FALSE)))</f>
        <v>0.56280944156591828</v>
      </c>
      <c r="R10" s="820"/>
      <c r="S10" s="674"/>
      <c r="T10" s="1481"/>
      <c r="U10" s="1482"/>
      <c r="V10" s="757" t="str">
        <f t="shared" ref="V10:V47" si="1">IF(AND(C10="Efficiency",B10="60% AMI",NOT(M10="Common")),E10,"")</f>
        <v/>
      </c>
      <c r="W10" s="757">
        <f t="shared" ref="W10:W47" si="2">IF(AND(C10=1,B10="60% AMI",NOT(M10="Common")),E10,"")</f>
        <v>16</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t="str">
        <f t="shared" ref="AB10:AB47" si="7">IF(AND(C10=1,B10="50% AMI",NOT(M10="Common")),E10,"")</f>
        <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f t="shared" ref="BZ10:BZ47" si="27">IF(OR(AND(C10=1,B10="60% AMI",NOT(M10="Common")),AND(C10=1,B10="HOME 60% AMI",NOT(M10="Common"))),E10*F10,"")</f>
        <v>12800</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t="str">
        <f t="shared" ref="CE10:CE47" si="32">IF(OR(AND(C10=1,B10="50% AMI",NOT(M10="Common")),AND(C10=1,B10="HOME 50% AMI",NOT(M10="Common"))),E10*F10,"")</f>
        <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16</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16</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16</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44" t="s">
        <v>1670</v>
      </c>
      <c r="C11" s="1545">
        <v>2</v>
      </c>
      <c r="D11" s="1546">
        <v>2</v>
      </c>
      <c r="E11" s="1547">
        <v>46</v>
      </c>
      <c r="F11" s="1547">
        <v>1150</v>
      </c>
      <c r="G11" s="1547">
        <v>751</v>
      </c>
      <c r="H11" s="1547">
        <v>703</v>
      </c>
      <c r="I11" s="1547">
        <v>178</v>
      </c>
      <c r="J11" s="1548"/>
      <c r="K11" s="225">
        <f t="shared" ref="K11:K27" si="172">MAX(0,H11-I11)</f>
        <v>525</v>
      </c>
      <c r="L11" s="225">
        <f t="shared" si="0"/>
        <v>24150</v>
      </c>
      <c r="M11" s="1549" t="s">
        <v>3976</v>
      </c>
      <c r="N11" s="1549" t="s">
        <v>4038</v>
      </c>
      <c r="O11" s="1549" t="s">
        <v>3212</v>
      </c>
      <c r="P11" s="673">
        <f>IF(H11="","",H11*12/0.3)</f>
        <v>28120</v>
      </c>
      <c r="Q11" s="674">
        <f>IF(H11="","",P11/($P$6*VLOOKUP(C11,'DCA Underwriting Assumptions'!$J$84:$K$89,2,FALSE)))</f>
        <v>0.53962771061216652</v>
      </c>
      <c r="R11" s="820"/>
      <c r="S11" s="674"/>
      <c r="T11" s="1483"/>
      <c r="U11" s="1484"/>
      <c r="V11" s="757" t="str">
        <f t="shared" si="1"/>
        <v/>
      </c>
      <c r="W11" s="757" t="str">
        <f t="shared" si="2"/>
        <v/>
      </c>
      <c r="X11" s="757">
        <f t="shared" si="3"/>
        <v>46</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f t="shared" si="28"/>
        <v>52900</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46</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46</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46</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44" t="s">
        <v>1670</v>
      </c>
      <c r="C12" s="1545">
        <v>3</v>
      </c>
      <c r="D12" s="1546">
        <v>2</v>
      </c>
      <c r="E12" s="1547">
        <v>12</v>
      </c>
      <c r="F12" s="1547">
        <v>1350</v>
      </c>
      <c r="G12" s="1547">
        <v>867</v>
      </c>
      <c r="H12" s="1547">
        <v>846</v>
      </c>
      <c r="I12" s="1547">
        <v>221</v>
      </c>
      <c r="J12" s="1548"/>
      <c r="K12" s="225">
        <f t="shared" si="172"/>
        <v>625</v>
      </c>
      <c r="L12" s="225">
        <f t="shared" si="0"/>
        <v>7500</v>
      </c>
      <c r="M12" s="1549" t="s">
        <v>3976</v>
      </c>
      <c r="N12" s="1549" t="s">
        <v>4038</v>
      </c>
      <c r="O12" s="1549" t="s">
        <v>3212</v>
      </c>
      <c r="P12" s="673">
        <f>IF(H12="","",H12*12/0.3)</f>
        <v>33840</v>
      </c>
      <c r="Q12" s="674">
        <f>IF(H12="","",P12/($P$6*VLOOKUP(C12,'DCA Underwriting Assumptions'!$J$84:$K$89,2,FALSE)))</f>
        <v>0.56197688322040651</v>
      </c>
      <c r="R12" s="820"/>
      <c r="S12" s="674"/>
      <c r="T12" s="1483"/>
      <c r="U12" s="1484"/>
      <c r="V12" s="757" t="str">
        <f t="shared" si="1"/>
        <v/>
      </c>
      <c r="W12" s="757" t="str">
        <f t="shared" si="2"/>
        <v/>
      </c>
      <c r="X12" s="757" t="str">
        <f t="shared" si="3"/>
        <v/>
      </c>
      <c r="Y12" s="757">
        <f t="shared" si="4"/>
        <v>12</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f t="shared" si="29"/>
        <v>16200</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12</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12</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f t="shared" si="144"/>
        <v>12</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44" t="s">
        <v>1670</v>
      </c>
      <c r="C13" s="1545">
        <v>1</v>
      </c>
      <c r="D13" s="1546">
        <v>1</v>
      </c>
      <c r="E13" s="1547">
        <v>8</v>
      </c>
      <c r="F13" s="1547">
        <v>800</v>
      </c>
      <c r="G13" s="1547">
        <v>626</v>
      </c>
      <c r="H13" s="1547">
        <v>0</v>
      </c>
      <c r="I13" s="1547">
        <v>136</v>
      </c>
      <c r="J13" s="1548" t="s">
        <v>4039</v>
      </c>
      <c r="K13" s="225">
        <f t="shared" si="172"/>
        <v>0</v>
      </c>
      <c r="L13" s="225">
        <f t="shared" si="0"/>
        <v>0</v>
      </c>
      <c r="M13" s="1549" t="s">
        <v>3976</v>
      </c>
      <c r="N13" s="1549" t="s">
        <v>4038</v>
      </c>
      <c r="O13" s="1549" t="s">
        <v>3212</v>
      </c>
      <c r="P13" s="673">
        <f>IF(H13="","",H13*12/0.3)</f>
        <v>0</v>
      </c>
      <c r="Q13" s="674">
        <f>IF(H13="","",P13/($P$6*VLOOKUP(C13,'DCA Underwriting Assumptions'!$J$84:$K$89,2,FALSE)))</f>
        <v>0</v>
      </c>
      <c r="R13" s="820"/>
      <c r="S13" s="674"/>
      <c r="T13" s="1483"/>
      <c r="U13" s="1484"/>
      <c r="V13" s="757" t="str">
        <f t="shared" si="1"/>
        <v/>
      </c>
      <c r="W13" s="757">
        <f t="shared" si="2"/>
        <v>8</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f t="shared" si="199"/>
        <v>8</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6400</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f t="shared" si="47"/>
        <v>6400</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8</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8</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f t="shared" si="142"/>
        <v>8</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44" t="s">
        <v>1670</v>
      </c>
      <c r="C14" s="1545">
        <v>2</v>
      </c>
      <c r="D14" s="1546">
        <v>2</v>
      </c>
      <c r="E14" s="1547">
        <v>20</v>
      </c>
      <c r="F14" s="1547">
        <v>1150</v>
      </c>
      <c r="G14" s="1547">
        <v>751</v>
      </c>
      <c r="H14" s="1547">
        <v>0</v>
      </c>
      <c r="I14" s="1547">
        <v>178</v>
      </c>
      <c r="J14" s="1548" t="s">
        <v>4039</v>
      </c>
      <c r="K14" s="225">
        <f t="shared" si="172"/>
        <v>0</v>
      </c>
      <c r="L14" s="225">
        <f t="shared" si="0"/>
        <v>0</v>
      </c>
      <c r="M14" s="1549" t="s">
        <v>3976</v>
      </c>
      <c r="N14" s="1549" t="s">
        <v>4038</v>
      </c>
      <c r="O14" s="1549" t="s">
        <v>3212</v>
      </c>
      <c r="P14" s="673">
        <f>IF(H14="","",H14*12/0.3)</f>
        <v>0</v>
      </c>
      <c r="Q14" s="674">
        <f>IF(H14="","",P14/($P$6*VLOOKUP(C14,'DCA Underwriting Assumptions'!$J$84:$K$89,2,FALSE)))</f>
        <v>0</v>
      </c>
      <c r="R14" s="820"/>
      <c r="S14" s="674"/>
      <c r="T14" s="1483"/>
      <c r="U14" s="1484"/>
      <c r="V14" s="757" t="str">
        <f t="shared" si="1"/>
        <v/>
      </c>
      <c r="W14" s="757" t="str">
        <f t="shared" si="2"/>
        <v/>
      </c>
      <c r="X14" s="757">
        <f t="shared" si="3"/>
        <v>20</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f t="shared" si="200"/>
        <v>20</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23000</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f t="shared" si="48"/>
        <v>23000</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20</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20</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20</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44" t="s">
        <v>1670</v>
      </c>
      <c r="C15" s="1545">
        <v>3</v>
      </c>
      <c r="D15" s="1546">
        <v>2</v>
      </c>
      <c r="E15" s="1547">
        <v>4</v>
      </c>
      <c r="F15" s="1547">
        <v>1350</v>
      </c>
      <c r="G15" s="1547">
        <v>867</v>
      </c>
      <c r="H15" s="1547">
        <v>0</v>
      </c>
      <c r="I15" s="1547">
        <v>221</v>
      </c>
      <c r="J15" s="1548" t="s">
        <v>4039</v>
      </c>
      <c r="K15" s="225">
        <f t="shared" si="172"/>
        <v>0</v>
      </c>
      <c r="L15" s="225">
        <f t="shared" si="0"/>
        <v>0</v>
      </c>
      <c r="M15" s="1549" t="s">
        <v>3976</v>
      </c>
      <c r="N15" s="1549" t="s">
        <v>4038</v>
      </c>
      <c r="O15" s="1549" t="s">
        <v>3212</v>
      </c>
      <c r="P15" s="673">
        <f t="shared" ref="P15:P47" si="203">IF(H15="","",H15*12/0.3)</f>
        <v>0</v>
      </c>
      <c r="Q15" s="674">
        <f>IF(H15="","",P15/($P$6*VLOOKUP(C15,'DCA Underwriting Assumptions'!$J$84:$K$89,2,FALSE)))</f>
        <v>0</v>
      </c>
      <c r="R15" s="820"/>
      <c r="S15" s="674"/>
      <c r="T15" s="1483"/>
      <c r="U15" s="1484"/>
      <c r="V15" s="757" t="str">
        <f t="shared" si="1"/>
        <v/>
      </c>
      <c r="W15" s="757" t="str">
        <f t="shared" si="2"/>
        <v/>
      </c>
      <c r="X15" s="757" t="str">
        <f t="shared" si="3"/>
        <v/>
      </c>
      <c r="Y15" s="757">
        <f t="shared" si="4"/>
        <v>4</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f t="shared" si="201"/>
        <v>4</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5400</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f t="shared" si="49"/>
        <v>5400</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4</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4</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f t="shared" si="144"/>
        <v>4</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44" t="s">
        <v>2626</v>
      </c>
      <c r="C16" s="1545"/>
      <c r="D16" s="1546"/>
      <c r="E16" s="1547"/>
      <c r="F16" s="1547"/>
      <c r="G16" s="1547"/>
      <c r="H16" s="1547"/>
      <c r="I16" s="1547"/>
      <c r="J16" s="1548"/>
      <c r="K16" s="225">
        <f t="shared" si="172"/>
        <v>0</v>
      </c>
      <c r="L16" s="225">
        <f t="shared" si="0"/>
        <v>0</v>
      </c>
      <c r="M16" s="1549"/>
      <c r="N16" s="1549"/>
      <c r="O16" s="1549"/>
      <c r="P16" s="673" t="str">
        <f t="shared" si="203"/>
        <v/>
      </c>
      <c r="Q16" s="674" t="str">
        <f>IF(H16="","",P16/($P$6*VLOOKUP(C16,'DCA Underwriting Assumptions'!$J$84:$K$89,2,FALSE)))</f>
        <v/>
      </c>
      <c r="R16" s="820"/>
      <c r="S16" s="674"/>
      <c r="T16" s="1483"/>
      <c r="U16" s="1484"/>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44" t="s">
        <v>2626</v>
      </c>
      <c r="C17" s="1545"/>
      <c r="D17" s="1546"/>
      <c r="E17" s="1547"/>
      <c r="F17" s="1547"/>
      <c r="G17" s="1547"/>
      <c r="H17" s="1547"/>
      <c r="I17" s="1547"/>
      <c r="J17" s="1548"/>
      <c r="K17" s="225">
        <f t="shared" si="172"/>
        <v>0</v>
      </c>
      <c r="L17" s="225">
        <f t="shared" si="0"/>
        <v>0</v>
      </c>
      <c r="M17" s="1549"/>
      <c r="N17" s="1549"/>
      <c r="O17" s="1549"/>
      <c r="P17" s="673" t="str">
        <f t="shared" si="203"/>
        <v/>
      </c>
      <c r="Q17" s="674" t="str">
        <f>IF(H17="","",P17/($P$6*VLOOKUP(C17,'DCA Underwriting Assumptions'!$J$84:$K$89,2,FALSE)))</f>
        <v/>
      </c>
      <c r="R17" s="820"/>
      <c r="S17" s="674"/>
      <c r="T17" s="1483"/>
      <c r="U17" s="1484"/>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44" t="s">
        <v>2626</v>
      </c>
      <c r="C18" s="1545"/>
      <c r="D18" s="1546"/>
      <c r="E18" s="1547"/>
      <c r="F18" s="1547"/>
      <c r="G18" s="1547"/>
      <c r="H18" s="1547"/>
      <c r="I18" s="1547"/>
      <c r="J18" s="1548"/>
      <c r="K18" s="225">
        <f t="shared" si="172"/>
        <v>0</v>
      </c>
      <c r="L18" s="225">
        <f t="shared" si="0"/>
        <v>0</v>
      </c>
      <c r="M18" s="1549"/>
      <c r="N18" s="1549"/>
      <c r="O18" s="1549"/>
      <c r="P18" s="673" t="str">
        <f t="shared" si="203"/>
        <v/>
      </c>
      <c r="Q18" s="674" t="str">
        <f>IF(H18="","",P18/($P$6*VLOOKUP(C18,'DCA Underwriting Assumptions'!$J$84:$K$89,2,FALSE)))</f>
        <v/>
      </c>
      <c r="R18" s="820"/>
      <c r="S18" s="674"/>
      <c r="T18" s="1483"/>
      <c r="U18" s="1484"/>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44" t="s">
        <v>2626</v>
      </c>
      <c r="C19" s="1545"/>
      <c r="D19" s="1546"/>
      <c r="E19" s="1547"/>
      <c r="F19" s="1547"/>
      <c r="G19" s="1547"/>
      <c r="H19" s="1547"/>
      <c r="I19" s="1547"/>
      <c r="J19" s="1548"/>
      <c r="K19" s="225">
        <f t="shared" si="172"/>
        <v>0</v>
      </c>
      <c r="L19" s="225">
        <f t="shared" si="0"/>
        <v>0</v>
      </c>
      <c r="M19" s="1549"/>
      <c r="N19" s="1549"/>
      <c r="O19" s="1549"/>
      <c r="P19" s="673" t="str">
        <f t="shared" si="203"/>
        <v/>
      </c>
      <c r="Q19" s="674" t="str">
        <f>IF(H19="","",P19/($P$6*VLOOKUP(C19,'DCA Underwriting Assumptions'!$J$84:$K$89,2,FALSE)))</f>
        <v/>
      </c>
      <c r="R19" s="820"/>
      <c r="S19" s="674"/>
      <c r="T19" s="1483"/>
      <c r="U19" s="1484"/>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44" t="s">
        <v>2626</v>
      </c>
      <c r="C20" s="1545"/>
      <c r="D20" s="1546"/>
      <c r="E20" s="1547"/>
      <c r="F20" s="1544"/>
      <c r="G20" s="1547"/>
      <c r="H20" s="1547"/>
      <c r="I20" s="1547"/>
      <c r="J20" s="1548"/>
      <c r="K20" s="225">
        <f t="shared" si="172"/>
        <v>0</v>
      </c>
      <c r="L20" s="225">
        <f t="shared" si="0"/>
        <v>0</v>
      </c>
      <c r="M20" s="1549"/>
      <c r="N20" s="1549"/>
      <c r="O20" s="1549"/>
      <c r="P20" s="673" t="str">
        <f t="shared" si="203"/>
        <v/>
      </c>
      <c r="Q20" s="674" t="str">
        <f>IF(H20="","",P20/($P$6*VLOOKUP(C20,'DCA Underwriting Assumptions'!$J$84:$K$89,2,FALSE)))</f>
        <v/>
      </c>
      <c r="R20" s="820"/>
      <c r="S20" s="674"/>
      <c r="T20" s="1483"/>
      <c r="U20" s="1484"/>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44" t="s">
        <v>2626</v>
      </c>
      <c r="C21" s="1545"/>
      <c r="D21" s="1546"/>
      <c r="E21" s="1547"/>
      <c r="F21" s="1547"/>
      <c r="G21" s="1547"/>
      <c r="H21" s="1547"/>
      <c r="I21" s="1547"/>
      <c r="J21" s="1548"/>
      <c r="K21" s="225">
        <f t="shared" si="172"/>
        <v>0</v>
      </c>
      <c r="L21" s="225">
        <f t="shared" si="0"/>
        <v>0</v>
      </c>
      <c r="M21" s="1549"/>
      <c r="N21" s="1549"/>
      <c r="O21" s="1549"/>
      <c r="P21" s="673" t="str">
        <f t="shared" si="203"/>
        <v/>
      </c>
      <c r="Q21" s="674" t="str">
        <f>IF(H21="","",P21/($P$6*VLOOKUP(C21,'DCA Underwriting Assumptions'!$J$84:$K$89,2,FALSE)))</f>
        <v/>
      </c>
      <c r="R21" s="820"/>
      <c r="S21" s="674"/>
      <c r="T21" s="1483"/>
      <c r="U21" s="1484"/>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44" t="s">
        <v>2626</v>
      </c>
      <c r="C22" s="1545"/>
      <c r="D22" s="1546"/>
      <c r="E22" s="1547"/>
      <c r="F22" s="1547"/>
      <c r="G22" s="1547"/>
      <c r="H22" s="1547"/>
      <c r="I22" s="1547"/>
      <c r="J22" s="1548"/>
      <c r="K22" s="225">
        <f t="shared" si="172"/>
        <v>0</v>
      </c>
      <c r="L22" s="225">
        <f t="shared" si="0"/>
        <v>0</v>
      </c>
      <c r="M22" s="1549"/>
      <c r="N22" s="1549"/>
      <c r="O22" s="1549"/>
      <c r="P22" s="673" t="str">
        <f t="shared" si="203"/>
        <v/>
      </c>
      <c r="Q22" s="674" t="str">
        <f>IF(H22="","",P22/($P$6*VLOOKUP(C22,'DCA Underwriting Assumptions'!$J$84:$K$89,2,FALSE)))</f>
        <v/>
      </c>
      <c r="R22" s="820"/>
      <c r="S22" s="674"/>
      <c r="T22" s="1483"/>
      <c r="U22" s="1484"/>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44" t="s">
        <v>2626</v>
      </c>
      <c r="C23" s="1545"/>
      <c r="D23" s="1546"/>
      <c r="E23" s="1547"/>
      <c r="F23" s="1547"/>
      <c r="G23" s="1547"/>
      <c r="H23" s="1547"/>
      <c r="I23" s="1547"/>
      <c r="J23" s="1548"/>
      <c r="K23" s="225">
        <f t="shared" si="172"/>
        <v>0</v>
      </c>
      <c r="L23" s="225">
        <f t="shared" si="0"/>
        <v>0</v>
      </c>
      <c r="M23" s="1549"/>
      <c r="N23" s="1549"/>
      <c r="O23" s="1549"/>
      <c r="P23" s="673" t="str">
        <f t="shared" si="203"/>
        <v/>
      </c>
      <c r="Q23" s="674" t="str">
        <f>IF(H23="","",P23/($P$6*VLOOKUP(C23,'DCA Underwriting Assumptions'!$J$84:$K$89,2,FALSE)))</f>
        <v/>
      </c>
      <c r="R23" s="820"/>
      <c r="S23" s="674"/>
      <c r="T23" s="1483"/>
      <c r="U23" s="1484"/>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44" t="s">
        <v>2626</v>
      </c>
      <c r="C24" s="1545"/>
      <c r="D24" s="1546"/>
      <c r="E24" s="1547"/>
      <c r="F24" s="1547"/>
      <c r="G24" s="1547"/>
      <c r="H24" s="1547"/>
      <c r="I24" s="1547"/>
      <c r="J24" s="1548"/>
      <c r="K24" s="225">
        <f t="shared" si="172"/>
        <v>0</v>
      </c>
      <c r="L24" s="225">
        <f t="shared" si="0"/>
        <v>0</v>
      </c>
      <c r="M24" s="1549"/>
      <c r="N24" s="1549"/>
      <c r="O24" s="1549"/>
      <c r="P24" s="673" t="str">
        <f t="shared" si="203"/>
        <v/>
      </c>
      <c r="Q24" s="674" t="str">
        <f>IF(H24="","",P24/($P$6*VLOOKUP(C24,'DCA Underwriting Assumptions'!$J$84:$K$89,2,FALSE)))</f>
        <v/>
      </c>
      <c r="R24" s="820"/>
      <c r="S24" s="674"/>
      <c r="T24" s="1483"/>
      <c r="U24" s="1484"/>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44" t="s">
        <v>2626</v>
      </c>
      <c r="C25" s="1545"/>
      <c r="D25" s="1546"/>
      <c r="E25" s="1547"/>
      <c r="F25" s="1547"/>
      <c r="G25" s="1547"/>
      <c r="H25" s="1547"/>
      <c r="I25" s="1547"/>
      <c r="J25" s="1548"/>
      <c r="K25" s="225">
        <f t="shared" si="172"/>
        <v>0</v>
      </c>
      <c r="L25" s="225">
        <f t="shared" si="0"/>
        <v>0</v>
      </c>
      <c r="M25" s="1549"/>
      <c r="N25" s="1549"/>
      <c r="O25" s="1549"/>
      <c r="P25" s="673" t="str">
        <f t="shared" si="203"/>
        <v/>
      </c>
      <c r="Q25" s="674" t="str">
        <f>IF(H25="","",P25/($P$6*VLOOKUP(C25,'DCA Underwriting Assumptions'!$J$84:$K$89,2,FALSE)))</f>
        <v/>
      </c>
      <c r="R25" s="820"/>
      <c r="S25" s="674"/>
      <c r="T25" s="1483"/>
      <c r="U25" s="1484"/>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44" t="s">
        <v>2626</v>
      </c>
      <c r="C26" s="1545"/>
      <c r="D26" s="1546"/>
      <c r="E26" s="1547"/>
      <c r="F26" s="1547"/>
      <c r="G26" s="1547"/>
      <c r="H26" s="1547"/>
      <c r="I26" s="1547"/>
      <c r="J26" s="1548"/>
      <c r="K26" s="225">
        <f t="shared" si="172"/>
        <v>0</v>
      </c>
      <c r="L26" s="225">
        <f t="shared" si="0"/>
        <v>0</v>
      </c>
      <c r="M26" s="1549"/>
      <c r="N26" s="1549"/>
      <c r="O26" s="1549"/>
      <c r="P26" s="673" t="str">
        <f t="shared" si="203"/>
        <v/>
      </c>
      <c r="Q26" s="674" t="str">
        <f>IF(H26="","",P26/($P$6*VLOOKUP(C26,'DCA Underwriting Assumptions'!$J$84:$K$89,2,FALSE)))</f>
        <v/>
      </c>
      <c r="R26" s="820"/>
      <c r="S26" s="674"/>
      <c r="T26" s="1483"/>
      <c r="U26" s="1484"/>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44" t="s">
        <v>2626</v>
      </c>
      <c r="C27" s="1545"/>
      <c r="D27" s="1546"/>
      <c r="E27" s="1547"/>
      <c r="F27" s="1547"/>
      <c r="G27" s="1547"/>
      <c r="H27" s="1547"/>
      <c r="I27" s="1547"/>
      <c r="J27" s="1548"/>
      <c r="K27" s="225">
        <f t="shared" si="172"/>
        <v>0</v>
      </c>
      <c r="L27" s="225">
        <f t="shared" si="0"/>
        <v>0</v>
      </c>
      <c r="M27" s="1549"/>
      <c r="N27" s="1549"/>
      <c r="O27" s="1549"/>
      <c r="P27" s="673" t="str">
        <f t="shared" si="203"/>
        <v/>
      </c>
      <c r="Q27" s="674" t="str">
        <f>IF(H27="","",P27/($P$6*VLOOKUP(C27,'DCA Underwriting Assumptions'!$J$84:$K$89,2,FALSE)))</f>
        <v/>
      </c>
      <c r="R27" s="820"/>
      <c r="S27" s="674"/>
      <c r="T27" s="1483"/>
      <c r="U27" s="1484"/>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44" t="s">
        <v>2626</v>
      </c>
      <c r="C28" s="1545"/>
      <c r="D28" s="1546"/>
      <c r="E28" s="1547"/>
      <c r="F28" s="1547"/>
      <c r="G28" s="1547"/>
      <c r="H28" s="1547"/>
      <c r="I28" s="1547"/>
      <c r="J28" s="1548"/>
      <c r="K28" s="225">
        <f>MAX(0,H28-I28)</f>
        <v>0</v>
      </c>
      <c r="L28" s="225">
        <f t="shared" si="0"/>
        <v>0</v>
      </c>
      <c r="M28" s="1549"/>
      <c r="N28" s="1549"/>
      <c r="O28" s="1549"/>
      <c r="P28" s="673" t="str">
        <f t="shared" si="203"/>
        <v/>
      </c>
      <c r="Q28" s="674" t="str">
        <f>IF(H28="","",P28/($P$6*VLOOKUP(C28,'DCA Underwriting Assumptions'!$J$84:$K$89,2,FALSE)))</f>
        <v/>
      </c>
      <c r="R28" s="820"/>
      <c r="S28" s="674"/>
      <c r="T28" s="1483"/>
      <c r="U28" s="1484"/>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44" t="s">
        <v>2626</v>
      </c>
      <c r="C29" s="1545"/>
      <c r="D29" s="1546"/>
      <c r="E29" s="1547"/>
      <c r="F29" s="1547"/>
      <c r="G29" s="1547"/>
      <c r="H29" s="1547"/>
      <c r="I29" s="1547"/>
      <c r="J29" s="1548"/>
      <c r="K29" s="225">
        <f t="shared" ref="K29:K47" si="204">MAX(0,H29-I29)</f>
        <v>0</v>
      </c>
      <c r="L29" s="225">
        <f t="shared" si="0"/>
        <v>0</v>
      </c>
      <c r="M29" s="1549"/>
      <c r="N29" s="1549"/>
      <c r="O29" s="1549"/>
      <c r="P29" s="673" t="str">
        <f t="shared" si="203"/>
        <v/>
      </c>
      <c r="Q29" s="674" t="str">
        <f>IF(H29="","",P29/($P$6*VLOOKUP(C29,'DCA Underwriting Assumptions'!$J$84:$K$89,2,FALSE)))</f>
        <v/>
      </c>
      <c r="R29" s="820"/>
      <c r="S29" s="674"/>
      <c r="T29" s="1483"/>
      <c r="U29" s="1484"/>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44" t="s">
        <v>2626</v>
      </c>
      <c r="C30" s="1545"/>
      <c r="D30" s="1546"/>
      <c r="E30" s="1547"/>
      <c r="F30" s="1547"/>
      <c r="G30" s="1547"/>
      <c r="H30" s="1547"/>
      <c r="I30" s="1547"/>
      <c r="J30" s="1548"/>
      <c r="K30" s="225">
        <f t="shared" si="204"/>
        <v>0</v>
      </c>
      <c r="L30" s="225">
        <f t="shared" si="0"/>
        <v>0</v>
      </c>
      <c r="M30" s="1549"/>
      <c r="N30" s="1549"/>
      <c r="O30" s="1549"/>
      <c r="P30" s="673" t="str">
        <f t="shared" si="203"/>
        <v/>
      </c>
      <c r="Q30" s="674" t="str">
        <f>IF(H30="","",P30/($P$6*VLOOKUP(C30,'DCA Underwriting Assumptions'!$J$84:$K$89,2,FALSE)))</f>
        <v/>
      </c>
      <c r="R30" s="820"/>
      <c r="S30" s="674"/>
      <c r="T30" s="1483"/>
      <c r="U30" s="1484"/>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44" t="s">
        <v>2626</v>
      </c>
      <c r="C31" s="1545"/>
      <c r="D31" s="1546"/>
      <c r="E31" s="1547"/>
      <c r="F31" s="1547"/>
      <c r="G31" s="1547"/>
      <c r="H31" s="1547"/>
      <c r="I31" s="1547"/>
      <c r="J31" s="1548"/>
      <c r="K31" s="225">
        <f t="shared" si="204"/>
        <v>0</v>
      </c>
      <c r="L31" s="225">
        <f t="shared" si="0"/>
        <v>0</v>
      </c>
      <c r="M31" s="1549"/>
      <c r="N31" s="1549"/>
      <c r="O31" s="1549"/>
      <c r="P31" s="673" t="str">
        <f t="shared" si="203"/>
        <v/>
      </c>
      <c r="Q31" s="674" t="str">
        <f>IF(H31="","",P31/($P$6*VLOOKUP(C31,'DCA Underwriting Assumptions'!$J$84:$K$89,2,FALSE)))</f>
        <v/>
      </c>
      <c r="R31" s="820"/>
      <c r="S31" s="674"/>
      <c r="T31" s="1483"/>
      <c r="U31" s="1484"/>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44" t="s">
        <v>2626</v>
      </c>
      <c r="C32" s="1545"/>
      <c r="D32" s="1546"/>
      <c r="E32" s="1547"/>
      <c r="F32" s="1547"/>
      <c r="G32" s="1547"/>
      <c r="H32" s="1547"/>
      <c r="I32" s="1547"/>
      <c r="J32" s="1548"/>
      <c r="K32" s="225">
        <f t="shared" si="204"/>
        <v>0</v>
      </c>
      <c r="L32" s="225">
        <f t="shared" si="0"/>
        <v>0</v>
      </c>
      <c r="M32" s="1549"/>
      <c r="N32" s="1549"/>
      <c r="O32" s="1549"/>
      <c r="P32" s="673" t="str">
        <f t="shared" si="203"/>
        <v/>
      </c>
      <c r="Q32" s="674" t="str">
        <f>IF(H32="","",P32/($P$6*VLOOKUP(C32,'DCA Underwriting Assumptions'!$J$84:$K$89,2,FALSE)))</f>
        <v/>
      </c>
      <c r="R32" s="820"/>
      <c r="S32" s="674"/>
      <c r="T32" s="1483"/>
      <c r="U32" s="1484"/>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44" t="s">
        <v>2626</v>
      </c>
      <c r="C33" s="1545"/>
      <c r="D33" s="1546"/>
      <c r="E33" s="1547"/>
      <c r="F33" s="1547"/>
      <c r="G33" s="1547"/>
      <c r="H33" s="1547"/>
      <c r="I33" s="1547"/>
      <c r="J33" s="1548"/>
      <c r="K33" s="225">
        <f t="shared" si="204"/>
        <v>0</v>
      </c>
      <c r="L33" s="225">
        <f t="shared" si="0"/>
        <v>0</v>
      </c>
      <c r="M33" s="1549"/>
      <c r="N33" s="1549"/>
      <c r="O33" s="1549"/>
      <c r="P33" s="673" t="str">
        <f t="shared" si="203"/>
        <v/>
      </c>
      <c r="Q33" s="674" t="str">
        <f>IF(H33="","",P33/($P$6*VLOOKUP(C33,'DCA Underwriting Assumptions'!$J$84:$K$89,2,FALSE)))</f>
        <v/>
      </c>
      <c r="R33" s="820"/>
      <c r="S33" s="674"/>
      <c r="T33" s="1483"/>
      <c r="U33" s="1484"/>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44" t="s">
        <v>2626</v>
      </c>
      <c r="C34" s="1545"/>
      <c r="D34" s="1546"/>
      <c r="E34" s="1547"/>
      <c r="F34" s="1547"/>
      <c r="G34" s="1547"/>
      <c r="H34" s="1547"/>
      <c r="I34" s="1547"/>
      <c r="J34" s="1548"/>
      <c r="K34" s="225">
        <f t="shared" si="204"/>
        <v>0</v>
      </c>
      <c r="L34" s="225">
        <f t="shared" si="0"/>
        <v>0</v>
      </c>
      <c r="M34" s="1549"/>
      <c r="N34" s="1549"/>
      <c r="O34" s="1549"/>
      <c r="P34" s="673" t="str">
        <f t="shared" si="203"/>
        <v/>
      </c>
      <c r="Q34" s="674" t="str">
        <f>IF(H34="","",P34/($P$6*VLOOKUP(C34,'DCA Underwriting Assumptions'!$J$84:$K$89,2,FALSE)))</f>
        <v/>
      </c>
      <c r="R34" s="820"/>
      <c r="S34" s="674"/>
      <c r="T34" s="1483"/>
      <c r="U34" s="1484"/>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44" t="s">
        <v>2626</v>
      </c>
      <c r="C35" s="1545"/>
      <c r="D35" s="1546"/>
      <c r="E35" s="1547"/>
      <c r="F35" s="1547"/>
      <c r="G35" s="1547"/>
      <c r="H35" s="1547"/>
      <c r="I35" s="1547"/>
      <c r="J35" s="1548"/>
      <c r="K35" s="225">
        <f t="shared" si="204"/>
        <v>0</v>
      </c>
      <c r="L35" s="225">
        <f t="shared" si="0"/>
        <v>0</v>
      </c>
      <c r="M35" s="1549"/>
      <c r="N35" s="1549"/>
      <c r="O35" s="1549"/>
      <c r="P35" s="673" t="str">
        <f t="shared" si="203"/>
        <v/>
      </c>
      <c r="Q35" s="674" t="str">
        <f>IF(H35="","",P35/($P$6*VLOOKUP(C35,'DCA Underwriting Assumptions'!$J$84:$K$89,2,FALSE)))</f>
        <v/>
      </c>
      <c r="R35" s="820"/>
      <c r="S35" s="674"/>
      <c r="T35" s="1483"/>
      <c r="U35" s="1484"/>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44" t="s">
        <v>2626</v>
      </c>
      <c r="C36" s="1545"/>
      <c r="D36" s="1546"/>
      <c r="E36" s="1547"/>
      <c r="F36" s="1547"/>
      <c r="G36" s="1547"/>
      <c r="H36" s="1547"/>
      <c r="I36" s="1547"/>
      <c r="J36" s="1548"/>
      <c r="K36" s="225">
        <f t="shared" si="204"/>
        <v>0</v>
      </c>
      <c r="L36" s="225">
        <f t="shared" si="0"/>
        <v>0</v>
      </c>
      <c r="M36" s="1549"/>
      <c r="N36" s="1549"/>
      <c r="O36" s="1549"/>
      <c r="P36" s="673" t="str">
        <f t="shared" si="203"/>
        <v/>
      </c>
      <c r="Q36" s="674" t="str">
        <f>IF(H36="","",P36/($P$6*VLOOKUP(C36,'DCA Underwriting Assumptions'!$J$84:$K$89,2,FALSE)))</f>
        <v/>
      </c>
      <c r="R36" s="820"/>
      <c r="S36" s="674"/>
      <c r="T36" s="1483"/>
      <c r="U36" s="1484"/>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44" t="s">
        <v>2626</v>
      </c>
      <c r="C37" s="1545"/>
      <c r="D37" s="1546"/>
      <c r="E37" s="1547"/>
      <c r="F37" s="1547"/>
      <c r="G37" s="1547"/>
      <c r="H37" s="1547"/>
      <c r="I37" s="1547"/>
      <c r="J37" s="1548"/>
      <c r="K37" s="225">
        <f t="shared" si="204"/>
        <v>0</v>
      </c>
      <c r="L37" s="225">
        <f t="shared" si="0"/>
        <v>0</v>
      </c>
      <c r="M37" s="1549"/>
      <c r="N37" s="1549"/>
      <c r="O37" s="1549"/>
      <c r="P37" s="673" t="str">
        <f t="shared" si="203"/>
        <v/>
      </c>
      <c r="Q37" s="674" t="str">
        <f>IF(H37="","",P37/($P$6*VLOOKUP(C37,'DCA Underwriting Assumptions'!$J$84:$K$89,2,FALSE)))</f>
        <v/>
      </c>
      <c r="R37" s="820"/>
      <c r="S37" s="674"/>
      <c r="T37" s="1483"/>
      <c r="U37" s="1484"/>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44" t="s">
        <v>2626</v>
      </c>
      <c r="C38" s="1545"/>
      <c r="D38" s="1546"/>
      <c r="E38" s="1547"/>
      <c r="F38" s="1547"/>
      <c r="G38" s="1547"/>
      <c r="H38" s="1547"/>
      <c r="I38" s="1547"/>
      <c r="J38" s="1548"/>
      <c r="K38" s="225">
        <f>MAX(0,H38-I38)</f>
        <v>0</v>
      </c>
      <c r="L38" s="225">
        <f t="shared" si="0"/>
        <v>0</v>
      </c>
      <c r="M38" s="1549"/>
      <c r="N38" s="1549"/>
      <c r="O38" s="1549"/>
      <c r="P38" s="673" t="str">
        <f t="shared" si="203"/>
        <v/>
      </c>
      <c r="Q38" s="674" t="str">
        <f>IF(H38="","",P38/($P$6*VLOOKUP(C38,'DCA Underwriting Assumptions'!$J$84:$K$89,2,FALSE)))</f>
        <v/>
      </c>
      <c r="R38" s="820"/>
      <c r="S38" s="674"/>
      <c r="T38" s="1483"/>
      <c r="U38" s="1484"/>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44" t="s">
        <v>2626</v>
      </c>
      <c r="C39" s="1545"/>
      <c r="D39" s="1546"/>
      <c r="E39" s="1547"/>
      <c r="F39" s="1547"/>
      <c r="G39" s="1547"/>
      <c r="H39" s="1547"/>
      <c r="I39" s="1547"/>
      <c r="J39" s="1548"/>
      <c r="K39" s="225">
        <f t="shared" ref="K39:K46" si="205">MAX(0,H39-I39)</f>
        <v>0</v>
      </c>
      <c r="L39" s="225">
        <f t="shared" si="0"/>
        <v>0</v>
      </c>
      <c r="M39" s="1549"/>
      <c r="N39" s="1549"/>
      <c r="O39" s="1549"/>
      <c r="P39" s="673" t="str">
        <f t="shared" si="203"/>
        <v/>
      </c>
      <c r="Q39" s="674" t="str">
        <f>IF(H39="","",P39/($P$6*VLOOKUP(C39,'DCA Underwriting Assumptions'!$J$84:$K$89,2,FALSE)))</f>
        <v/>
      </c>
      <c r="R39" s="820"/>
      <c r="S39" s="674"/>
      <c r="T39" s="1483"/>
      <c r="U39" s="1484"/>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44" t="s">
        <v>2626</v>
      </c>
      <c r="C40" s="1545"/>
      <c r="D40" s="1546"/>
      <c r="E40" s="1547"/>
      <c r="F40" s="1547"/>
      <c r="G40" s="1547"/>
      <c r="H40" s="1547"/>
      <c r="I40" s="1547"/>
      <c r="J40" s="1548"/>
      <c r="K40" s="225">
        <f t="shared" si="205"/>
        <v>0</v>
      </c>
      <c r="L40" s="225">
        <f t="shared" si="0"/>
        <v>0</v>
      </c>
      <c r="M40" s="1549"/>
      <c r="N40" s="1549"/>
      <c r="O40" s="1549"/>
      <c r="P40" s="673" t="str">
        <f t="shared" si="203"/>
        <v/>
      </c>
      <c r="Q40" s="674" t="str">
        <f>IF(H40="","",P40/($P$6*VLOOKUP(C40,'DCA Underwriting Assumptions'!$J$84:$K$89,2,FALSE)))</f>
        <v/>
      </c>
      <c r="R40" s="820"/>
      <c r="S40" s="674"/>
      <c r="T40" s="1483"/>
      <c r="U40" s="1484"/>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44" t="s">
        <v>2626</v>
      </c>
      <c r="C41" s="1545"/>
      <c r="D41" s="1546"/>
      <c r="E41" s="1547"/>
      <c r="F41" s="1547"/>
      <c r="G41" s="1547"/>
      <c r="H41" s="1547"/>
      <c r="I41" s="1547"/>
      <c r="J41" s="1548"/>
      <c r="K41" s="225">
        <f t="shared" si="205"/>
        <v>0</v>
      </c>
      <c r="L41" s="225">
        <f t="shared" si="0"/>
        <v>0</v>
      </c>
      <c r="M41" s="1549"/>
      <c r="N41" s="1549"/>
      <c r="O41" s="1549"/>
      <c r="P41" s="673" t="str">
        <f t="shared" si="203"/>
        <v/>
      </c>
      <c r="Q41" s="674" t="str">
        <f>IF(H41="","",P41/($P$6*VLOOKUP(C41,'DCA Underwriting Assumptions'!$J$84:$K$89,2,FALSE)))</f>
        <v/>
      </c>
      <c r="R41" s="820"/>
      <c r="S41" s="674"/>
      <c r="T41" s="1483"/>
      <c r="U41" s="1484"/>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44" t="s">
        <v>2626</v>
      </c>
      <c r="C42" s="1545"/>
      <c r="D42" s="1546"/>
      <c r="E42" s="1547"/>
      <c r="F42" s="1547"/>
      <c r="G42" s="1547"/>
      <c r="H42" s="1547"/>
      <c r="I42" s="1547"/>
      <c r="J42" s="1548"/>
      <c r="K42" s="225">
        <f t="shared" si="205"/>
        <v>0</v>
      </c>
      <c r="L42" s="225">
        <f t="shared" si="0"/>
        <v>0</v>
      </c>
      <c r="M42" s="1549"/>
      <c r="N42" s="1549"/>
      <c r="O42" s="1549"/>
      <c r="P42" s="673" t="str">
        <f t="shared" si="203"/>
        <v/>
      </c>
      <c r="Q42" s="674" t="str">
        <f>IF(H42="","",P42/($P$6*VLOOKUP(C42,'DCA Underwriting Assumptions'!$J$84:$K$89,2,FALSE)))</f>
        <v/>
      </c>
      <c r="R42" s="820"/>
      <c r="S42" s="674"/>
      <c r="T42" s="1483"/>
      <c r="U42" s="1484"/>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44" t="s">
        <v>2626</v>
      </c>
      <c r="C43" s="1545"/>
      <c r="D43" s="1546"/>
      <c r="E43" s="1547"/>
      <c r="F43" s="1547"/>
      <c r="G43" s="1547"/>
      <c r="H43" s="1547"/>
      <c r="I43" s="1547"/>
      <c r="J43" s="1548"/>
      <c r="K43" s="225">
        <f t="shared" si="205"/>
        <v>0</v>
      </c>
      <c r="L43" s="225">
        <f t="shared" si="0"/>
        <v>0</v>
      </c>
      <c r="M43" s="1549"/>
      <c r="N43" s="1549"/>
      <c r="O43" s="1549"/>
      <c r="P43" s="673" t="str">
        <f t="shared" si="203"/>
        <v/>
      </c>
      <c r="Q43" s="674" t="str">
        <f>IF(H43="","",P43/($P$6*VLOOKUP(C43,'DCA Underwriting Assumptions'!$J$84:$K$89,2,FALSE)))</f>
        <v/>
      </c>
      <c r="R43" s="820"/>
      <c r="S43" s="674"/>
      <c r="T43" s="1483"/>
      <c r="U43" s="1484"/>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44" t="s">
        <v>2626</v>
      </c>
      <c r="C44" s="1545"/>
      <c r="D44" s="1546"/>
      <c r="E44" s="1547"/>
      <c r="F44" s="1547"/>
      <c r="G44" s="1547"/>
      <c r="H44" s="1547"/>
      <c r="I44" s="1547"/>
      <c r="J44" s="1548"/>
      <c r="K44" s="225">
        <f t="shared" si="205"/>
        <v>0</v>
      </c>
      <c r="L44" s="225">
        <f t="shared" si="0"/>
        <v>0</v>
      </c>
      <c r="M44" s="1549"/>
      <c r="N44" s="1549"/>
      <c r="O44" s="1549"/>
      <c r="P44" s="673" t="str">
        <f t="shared" si="203"/>
        <v/>
      </c>
      <c r="Q44" s="674" t="str">
        <f>IF(H44="","",P44/($P$6*VLOOKUP(C44,'DCA Underwriting Assumptions'!$J$84:$K$89,2,FALSE)))</f>
        <v/>
      </c>
      <c r="R44" s="820"/>
      <c r="S44" s="674"/>
      <c r="T44" s="1483"/>
      <c r="U44" s="1484"/>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44" t="s">
        <v>2626</v>
      </c>
      <c r="C45" s="1545"/>
      <c r="D45" s="1546"/>
      <c r="E45" s="1547"/>
      <c r="F45" s="1547"/>
      <c r="G45" s="1547"/>
      <c r="H45" s="1547"/>
      <c r="I45" s="1547"/>
      <c r="J45" s="1548"/>
      <c r="K45" s="225">
        <f t="shared" si="205"/>
        <v>0</v>
      </c>
      <c r="L45" s="225">
        <f t="shared" si="0"/>
        <v>0</v>
      </c>
      <c r="M45" s="1549"/>
      <c r="N45" s="1549"/>
      <c r="O45" s="1549"/>
      <c r="P45" s="673" t="str">
        <f t="shared" si="203"/>
        <v/>
      </c>
      <c r="Q45" s="674" t="str">
        <f>IF(H45="","",P45/($P$6*VLOOKUP(C45,'DCA Underwriting Assumptions'!$J$84:$K$89,2,FALSE)))</f>
        <v/>
      </c>
      <c r="R45" s="820"/>
      <c r="S45" s="674"/>
      <c r="T45" s="1483"/>
      <c r="U45" s="1484"/>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44" t="s">
        <v>2626</v>
      </c>
      <c r="C46" s="1545"/>
      <c r="D46" s="1546"/>
      <c r="E46" s="1547"/>
      <c r="F46" s="1547"/>
      <c r="G46" s="1547"/>
      <c r="H46" s="1547"/>
      <c r="I46" s="1547"/>
      <c r="J46" s="1548"/>
      <c r="K46" s="225">
        <f t="shared" si="205"/>
        <v>0</v>
      </c>
      <c r="L46" s="225">
        <f t="shared" si="0"/>
        <v>0</v>
      </c>
      <c r="M46" s="1549"/>
      <c r="N46" s="1549"/>
      <c r="O46" s="1549"/>
      <c r="P46" s="673" t="str">
        <f t="shared" si="203"/>
        <v/>
      </c>
      <c r="Q46" s="674" t="str">
        <f>IF(H46="","",P46/($P$6*VLOOKUP(C46,'DCA Underwriting Assumptions'!$J$84:$K$89,2,FALSE)))</f>
        <v/>
      </c>
      <c r="R46" s="820"/>
      <c r="S46" s="674"/>
      <c r="T46" s="1483"/>
      <c r="U46" s="1484"/>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50" t="s">
        <v>2626</v>
      </c>
      <c r="C47" s="1551"/>
      <c r="D47" s="1552"/>
      <c r="E47" s="1553"/>
      <c r="F47" s="1553"/>
      <c r="G47" s="1553"/>
      <c r="H47" s="1553"/>
      <c r="I47" s="1553"/>
      <c r="J47" s="1554"/>
      <c r="K47" s="226">
        <f t="shared" si="204"/>
        <v>0</v>
      </c>
      <c r="L47" s="226">
        <f t="shared" si="0"/>
        <v>0</v>
      </c>
      <c r="M47" s="1555"/>
      <c r="N47" s="1555"/>
      <c r="O47" s="1555"/>
      <c r="P47" s="673" t="str">
        <f t="shared" si="203"/>
        <v/>
      </c>
      <c r="Q47" s="674" t="str">
        <f>IF(H47="","",P47/($P$6*VLOOKUP(C47,'DCA Underwriting Assumptions'!$J$84:$K$89,2,FALSE)))</f>
        <v/>
      </c>
      <c r="R47" s="820"/>
      <c r="S47" s="674"/>
      <c r="T47" s="1486"/>
      <c r="U47" s="1487"/>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106</v>
      </c>
      <c r="F48" s="172">
        <f>(E10*F10+E11*F11+E12*F12+E13*F13+E14*F14+E15*F15+E16*F16+E17*F17+E18*F18+E19*F19+E20*F20+E21*F21+E22*F22+E23*F23+E24*F24+E25*F25+E26*F26+E27*F27+E28*F28+E29*F29+E30*F30+E31*F31+E32*F32+E33*F33+E34*F34+E35*F35+E36*F36+E37*F37+E38*F38+E39*F39+E40*F40+E41*F41+E42*F42+E43*F43+E44*F44+E45*F45+E46*F46+E47*F47)</f>
        <v>116700</v>
      </c>
      <c r="G48" s="163"/>
      <c r="H48" s="164"/>
      <c r="I48" s="164"/>
      <c r="J48" s="164"/>
      <c r="K48" s="15" t="s">
        <v>1869</v>
      </c>
      <c r="L48" s="170">
        <f>SUM(L10:L47)</f>
        <v>39250</v>
      </c>
      <c r="M48" s="2"/>
      <c r="N48" s="40"/>
      <c r="O48" s="2"/>
      <c r="P48" s="676"/>
      <c r="Q48" s="676"/>
      <c r="R48" s="676"/>
      <c r="S48" s="676"/>
      <c r="T48" s="675"/>
      <c r="U48" s="677"/>
      <c r="V48" s="779">
        <f t="shared" ref="V48:CK48" si="206">SUM(V10:V47)</f>
        <v>0</v>
      </c>
      <c r="W48" s="779">
        <f t="shared" si="206"/>
        <v>24</v>
      </c>
      <c r="X48" s="779">
        <f t="shared" si="206"/>
        <v>66</v>
      </c>
      <c r="Y48" s="779">
        <f t="shared" si="206"/>
        <v>16</v>
      </c>
      <c r="Z48" s="779">
        <f t="shared" si="206"/>
        <v>0</v>
      </c>
      <c r="AA48" s="779">
        <f t="shared" si="206"/>
        <v>0</v>
      </c>
      <c r="AB48" s="779">
        <f t="shared" si="206"/>
        <v>0</v>
      </c>
      <c r="AC48" s="779">
        <f t="shared" si="206"/>
        <v>0</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8</v>
      </c>
      <c r="BQ48" s="779">
        <f t="shared" si="207"/>
        <v>20</v>
      </c>
      <c r="BR48" s="779">
        <f t="shared" si="207"/>
        <v>4</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19200</v>
      </c>
      <c r="CA48" s="779">
        <f t="shared" si="206"/>
        <v>75900</v>
      </c>
      <c r="CB48" s="779">
        <f t="shared" si="206"/>
        <v>21600</v>
      </c>
      <c r="CC48" s="779">
        <f t="shared" si="206"/>
        <v>0</v>
      </c>
      <c r="CD48" s="779">
        <f t="shared" si="206"/>
        <v>0</v>
      </c>
      <c r="CE48" s="779">
        <f t="shared" si="206"/>
        <v>0</v>
      </c>
      <c r="CF48" s="779">
        <f t="shared" si="206"/>
        <v>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6400</v>
      </c>
      <c r="CU48" s="779">
        <f t="shared" si="208"/>
        <v>23000</v>
      </c>
      <c r="CV48" s="779">
        <f t="shared" si="208"/>
        <v>5400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24</v>
      </c>
      <c r="DE48" s="779">
        <f t="shared" si="208"/>
        <v>66</v>
      </c>
      <c r="DF48" s="779">
        <f t="shared" si="208"/>
        <v>16</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24</v>
      </c>
      <c r="EX48" s="779">
        <f t="shared" si="209"/>
        <v>66</v>
      </c>
      <c r="EY48" s="779">
        <f t="shared" si="209"/>
        <v>16</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24</v>
      </c>
      <c r="GL48" s="779">
        <f t="shared" si="209"/>
        <v>66</v>
      </c>
      <c r="GM48" s="779">
        <f t="shared" si="209"/>
        <v>16</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471000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3670</v>
      </c>
      <c r="B51" s="1556"/>
      <c r="C51" s="1556"/>
      <c r="D51" s="1556"/>
      <c r="E51" s="1556"/>
      <c r="F51" s="1556"/>
      <c r="G51" s="1556"/>
      <c r="H51" s="1556"/>
      <c r="I51" s="1556"/>
      <c r="J51" s="1556"/>
      <c r="K51" s="1556"/>
      <c r="L51" s="1556"/>
      <c r="M51" s="1556"/>
      <c r="N51" s="1556"/>
      <c r="O51" s="1556"/>
      <c r="P51" s="155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56"/>
      <c r="B52" s="1556"/>
      <c r="C52" s="1556"/>
      <c r="D52" s="1556"/>
      <c r="E52" s="1556"/>
      <c r="F52" s="1556"/>
      <c r="G52" s="1556"/>
      <c r="H52" s="1556"/>
      <c r="I52" s="1556"/>
      <c r="J52" s="1556"/>
      <c r="K52" s="1556"/>
      <c r="L52" s="1556"/>
      <c r="M52" s="1556"/>
      <c r="N52" s="1556"/>
      <c r="O52" s="1556"/>
      <c r="P52" s="155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2716</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24</v>
      </c>
      <c r="J56" s="380">
        <f>X48</f>
        <v>66</v>
      </c>
      <c r="K56" s="380">
        <f>Y48</f>
        <v>16</v>
      </c>
      <c r="L56" s="380">
        <f>Z48</f>
        <v>0</v>
      </c>
      <c r="M56" s="380">
        <f t="shared" ref="M56:M62" si="211">SUM(H56:L56)</f>
        <v>106</v>
      </c>
      <c r="N56" s="1096" t="s">
        <v>1382</v>
      </c>
      <c r="O56" s="1097"/>
      <c r="P56" s="853"/>
      <c r="Q56" s="643">
        <f t="shared" ref="Q56:Q62" si="212">ABS(M56-AF56)</f>
        <v>106</v>
      </c>
      <c r="R56" s="643"/>
      <c r="S56" s="643"/>
      <c r="T56" s="1481"/>
      <c r="U56" s="1482"/>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0</v>
      </c>
      <c r="J57" s="381">
        <f>AC48</f>
        <v>0</v>
      </c>
      <c r="K57" s="381">
        <f>AD48</f>
        <v>0</v>
      </c>
      <c r="L57" s="381">
        <f>AE48</f>
        <v>0</v>
      </c>
      <c r="M57" s="381">
        <f t="shared" si="211"/>
        <v>0</v>
      </c>
      <c r="N57" s="1096"/>
      <c r="O57" s="1097"/>
      <c r="P57" s="853"/>
      <c r="Q57" s="643">
        <f t="shared" si="212"/>
        <v>0</v>
      </c>
      <c r="R57" s="643"/>
      <c r="S57" s="643"/>
      <c r="T57" s="1483"/>
      <c r="U57" s="1484"/>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24</v>
      </c>
      <c r="J58" s="382">
        <f>SUM(J56:J57)</f>
        <v>66</v>
      </c>
      <c r="K58" s="382">
        <f>SUM(K56:K57)</f>
        <v>16</v>
      </c>
      <c r="L58" s="382">
        <f>SUM(L56:L57)</f>
        <v>0</v>
      </c>
      <c r="M58" s="382">
        <f t="shared" si="211"/>
        <v>106</v>
      </c>
      <c r="N58" s="385"/>
      <c r="O58" s="110"/>
      <c r="Q58" s="643">
        <f t="shared" si="212"/>
        <v>106</v>
      </c>
      <c r="R58" s="643"/>
      <c r="S58" s="643"/>
      <c r="T58" s="1483"/>
      <c r="U58" s="1484"/>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83"/>
      <c r="U59" s="1484"/>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24</v>
      </c>
      <c r="J60" s="382">
        <f>SUM(J58:J59)</f>
        <v>66</v>
      </c>
      <c r="K60" s="382">
        <f>SUM(K58:K59)</f>
        <v>16</v>
      </c>
      <c r="L60" s="382">
        <f>SUM(L58:L59)</f>
        <v>0</v>
      </c>
      <c r="M60" s="382">
        <f t="shared" si="211"/>
        <v>106</v>
      </c>
      <c r="N60" s="65"/>
      <c r="O60" s="110"/>
      <c r="Q60" s="643">
        <f t="shared" si="212"/>
        <v>106</v>
      </c>
      <c r="R60" s="643"/>
      <c r="S60" s="643"/>
      <c r="T60" s="1483"/>
      <c r="U60" s="1484"/>
      <c r="V60" s="783"/>
      <c r="W60" s="783"/>
      <c r="X60" s="783"/>
      <c r="Y60" s="783"/>
      <c r="Z60" s="784"/>
      <c r="AA60" s="785"/>
      <c r="AB60" s="785"/>
      <c r="AC60" s="785"/>
      <c r="AD60" s="785"/>
      <c r="AE60" s="785"/>
      <c r="AF60" s="785"/>
      <c r="AG60" s="754"/>
      <c r="AH60" s="769"/>
      <c r="GW60" s="781"/>
      <c r="HL60" s="757"/>
    </row>
    <row r="61" spans="1:221" ht="12" customHeight="1">
      <c r="A61" s="1093"/>
      <c r="B61" s="1093"/>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83"/>
      <c r="U61" s="1484"/>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24</v>
      </c>
      <c r="J62" s="382">
        <f>SUM(J60:J61)</f>
        <v>66</v>
      </c>
      <c r="K62" s="382">
        <f>SUM(K60:K61)</f>
        <v>16</v>
      </c>
      <c r="L62" s="382">
        <f>SUM(L60:L61)</f>
        <v>0</v>
      </c>
      <c r="M62" s="382">
        <f t="shared" si="211"/>
        <v>106</v>
      </c>
      <c r="O62" s="110"/>
      <c r="Q62" s="643">
        <f t="shared" si="212"/>
        <v>106</v>
      </c>
      <c r="R62" s="643"/>
      <c r="S62" s="643"/>
      <c r="T62" s="1486"/>
      <c r="U62" s="1487"/>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81"/>
      <c r="U64" s="1482"/>
      <c r="V64" s="783"/>
      <c r="W64" s="783"/>
      <c r="X64" s="787"/>
      <c r="Y64" s="783"/>
      <c r="Z64" s="784"/>
      <c r="AA64" s="785"/>
      <c r="AB64" s="785"/>
      <c r="AC64" s="785"/>
      <c r="AD64" s="785"/>
      <c r="AE64" s="785"/>
      <c r="AF64" s="785"/>
      <c r="AG64" s="784"/>
      <c r="AH64" s="769"/>
      <c r="GW64" s="781"/>
      <c r="HL64" s="757"/>
    </row>
    <row r="65" spans="1:220" ht="12" customHeight="1">
      <c r="A65" s="1093"/>
      <c r="B65" s="1093"/>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83"/>
      <c r="U65" s="1484"/>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86"/>
      <c r="U66" s="1487"/>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8</v>
      </c>
      <c r="J68" s="380">
        <f>BQ48</f>
        <v>20</v>
      </c>
      <c r="K68" s="380">
        <f>BR48</f>
        <v>4</v>
      </c>
      <c r="L68" s="380">
        <f>BS48</f>
        <v>0</v>
      </c>
      <c r="M68" s="380">
        <f>SUM(H68:L68)</f>
        <v>32</v>
      </c>
      <c r="N68" s="62"/>
      <c r="O68" s="110"/>
      <c r="Q68" s="643">
        <f>ABS(M68-AF68)</f>
        <v>32</v>
      </c>
      <c r="R68" s="643"/>
      <c r="S68" s="643"/>
      <c r="T68" s="1481"/>
      <c r="U68" s="1482"/>
      <c r="V68" s="769"/>
      <c r="W68" s="783"/>
      <c r="X68" s="787"/>
      <c r="Y68" s="783"/>
      <c r="Z68" s="784"/>
      <c r="AA68" s="785"/>
      <c r="AB68" s="785"/>
      <c r="AC68" s="785"/>
      <c r="AD68" s="785"/>
      <c r="AE68" s="785"/>
      <c r="AF68" s="785"/>
      <c r="AG68" s="784"/>
      <c r="AH68" s="769"/>
      <c r="GW68" s="781"/>
      <c r="HL68" s="757"/>
    </row>
    <row r="69" spans="1:220" ht="12" customHeight="1">
      <c r="A69" s="1093"/>
      <c r="B69" s="1093"/>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83"/>
      <c r="U69" s="1484"/>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8</v>
      </c>
      <c r="J70" s="382">
        <f>SUM(J68:J69)</f>
        <v>20</v>
      </c>
      <c r="K70" s="382">
        <f>SUM(K68:K69)</f>
        <v>4</v>
      </c>
      <c r="L70" s="382">
        <f>SUM(L68:L69)</f>
        <v>0</v>
      </c>
      <c r="M70" s="382">
        <f>SUM(H70:L70)</f>
        <v>32</v>
      </c>
      <c r="N70" s="62"/>
      <c r="O70" s="110"/>
      <c r="Q70" s="643">
        <f>ABS(M70-AF70)</f>
        <v>32</v>
      </c>
      <c r="R70" s="643"/>
      <c r="S70" s="643"/>
      <c r="T70" s="1486"/>
      <c r="U70" s="1487"/>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3212</v>
      </c>
      <c r="F72" s="2"/>
      <c r="G72" s="44" t="s">
        <v>2014</v>
      </c>
      <c r="H72" s="380">
        <f>DC48</f>
        <v>0</v>
      </c>
      <c r="I72" s="380">
        <f>DD48</f>
        <v>24</v>
      </c>
      <c r="J72" s="380">
        <f>DE48</f>
        <v>66</v>
      </c>
      <c r="K72" s="380">
        <f>DF48</f>
        <v>16</v>
      </c>
      <c r="L72" s="380">
        <f>DG48</f>
        <v>0</v>
      </c>
      <c r="M72" s="380">
        <f t="shared" ref="M72:M82" si="213">SUM(H72:L72)</f>
        <v>106</v>
      </c>
      <c r="N72" s="31"/>
      <c r="O72" s="110"/>
      <c r="Q72" s="643">
        <f t="shared" ref="Q72:Q80" si="214">ABS(M72-AF72)</f>
        <v>106</v>
      </c>
      <c r="R72" s="643"/>
      <c r="S72" s="643"/>
      <c r="T72" s="1481"/>
      <c r="U72" s="1482"/>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83"/>
      <c r="U73" s="1484"/>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24</v>
      </c>
      <c r="J74" s="382">
        <f>SUM(J72:J73)+DO48</f>
        <v>66</v>
      </c>
      <c r="K74" s="382">
        <f>SUM(K72:K73)+DP48</f>
        <v>16</v>
      </c>
      <c r="L74" s="382">
        <f>SUM(L72:L73)+DQ48</f>
        <v>0</v>
      </c>
      <c r="M74" s="382">
        <f t="shared" si="213"/>
        <v>106</v>
      </c>
      <c r="N74" s="62"/>
      <c r="O74" s="110"/>
      <c r="Q74" s="643">
        <f t="shared" si="214"/>
        <v>106</v>
      </c>
      <c r="R74" s="643"/>
      <c r="S74" s="643"/>
      <c r="T74" s="1483"/>
      <c r="U74" s="1484"/>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83"/>
      <c r="U75" s="1484"/>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83"/>
      <c r="U76" s="1484"/>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83"/>
      <c r="U77" s="1484"/>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83"/>
      <c r="U78" s="1484"/>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83"/>
      <c r="U79" s="1484"/>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83"/>
      <c r="U80" s="1484"/>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57"/>
      <c r="I81" s="1557"/>
      <c r="J81" s="1557"/>
      <c r="K81" s="1557"/>
      <c r="L81" s="1557"/>
      <c r="M81" s="380">
        <f t="shared" si="213"/>
        <v>0</v>
      </c>
      <c r="N81" s="31"/>
      <c r="O81" s="110"/>
      <c r="T81" s="1483"/>
      <c r="U81" s="1484"/>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58"/>
      <c r="I82" s="1558"/>
      <c r="J82" s="1558"/>
      <c r="K82" s="1558"/>
      <c r="L82" s="1558"/>
      <c r="M82" s="384">
        <f t="shared" si="213"/>
        <v>0</v>
      </c>
      <c r="N82" s="65"/>
      <c r="O82" s="110"/>
      <c r="T82" s="1486"/>
      <c r="U82" s="1487"/>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24</v>
      </c>
      <c r="J84" s="380">
        <f t="shared" si="215"/>
        <v>66</v>
      </c>
      <c r="K84" s="380">
        <f t="shared" si="215"/>
        <v>16</v>
      </c>
      <c r="L84" s="380">
        <f t="shared" si="215"/>
        <v>0</v>
      </c>
      <c r="M84" s="380">
        <f>SUM(H84:L84)</f>
        <v>106</v>
      </c>
      <c r="N84" s="31"/>
      <c r="O84" s="110"/>
      <c r="Q84" s="643">
        <f>ABS(M84-AF84)</f>
        <v>106</v>
      </c>
      <c r="R84" s="643"/>
      <c r="S84" s="643"/>
      <c r="T84" s="1481"/>
      <c r="U84" s="1482"/>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83"/>
      <c r="U85" s="1484"/>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83"/>
      <c r="U86" s="1484"/>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83"/>
      <c r="U87" s="1484"/>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24</v>
      </c>
      <c r="J88" s="383">
        <f t="shared" si="220"/>
        <v>66</v>
      </c>
      <c r="K88" s="383">
        <f t="shared" si="220"/>
        <v>16</v>
      </c>
      <c r="L88" s="383">
        <f t="shared" si="220"/>
        <v>0</v>
      </c>
      <c r="M88" s="383">
        <f t="shared" si="217"/>
        <v>106</v>
      </c>
      <c r="N88" s="31"/>
      <c r="O88" s="110"/>
      <c r="Q88" s="643"/>
      <c r="R88" s="643"/>
      <c r="S88" s="643"/>
      <c r="T88" s="1483"/>
      <c r="U88" s="1484"/>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83"/>
      <c r="U89" s="1484"/>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83"/>
      <c r="U90" s="1484"/>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83"/>
      <c r="U91" s="1484"/>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86"/>
      <c r="U92" s="1487"/>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19200</v>
      </c>
      <c r="J94" s="221">
        <f>CA48</f>
        <v>75900</v>
      </c>
      <c r="K94" s="221">
        <f>CB48</f>
        <v>21600</v>
      </c>
      <c r="L94" s="221">
        <f>CC48</f>
        <v>0</v>
      </c>
      <c r="M94" s="221">
        <f t="shared" ref="M94:M100" si="221">SUM(H94:L94)</f>
        <v>116700</v>
      </c>
      <c r="O94" s="110"/>
      <c r="Q94" s="643">
        <f t="shared" ref="Q94:Q100" si="222">ABS(M94-AF94)</f>
        <v>116700</v>
      </c>
      <c r="R94" s="643"/>
      <c r="S94" s="643"/>
      <c r="T94" s="1481"/>
      <c r="U94" s="1482"/>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0</v>
      </c>
      <c r="J95" s="223">
        <f>CF48</f>
        <v>0</v>
      </c>
      <c r="K95" s="223">
        <f>CG48</f>
        <v>0</v>
      </c>
      <c r="L95" s="223">
        <f>CH48</f>
        <v>0</v>
      </c>
      <c r="M95" s="223">
        <f t="shared" si="221"/>
        <v>0</v>
      </c>
      <c r="N95" s="6"/>
      <c r="O95" s="110"/>
      <c r="Q95" s="643">
        <f t="shared" si="222"/>
        <v>0</v>
      </c>
      <c r="R95" s="643"/>
      <c r="S95" s="643"/>
      <c r="T95" s="1483"/>
      <c r="U95" s="1484"/>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19200</v>
      </c>
      <c r="J96" s="220">
        <f>SUM(J94:J95)</f>
        <v>75900</v>
      </c>
      <c r="K96" s="220">
        <f>SUM(K94:K95)</f>
        <v>21600</v>
      </c>
      <c r="L96" s="220">
        <f>SUM(L94:L95)</f>
        <v>0</v>
      </c>
      <c r="M96" s="220">
        <f t="shared" si="221"/>
        <v>116700</v>
      </c>
      <c r="N96" s="6"/>
      <c r="O96" s="110"/>
      <c r="Q96" s="643">
        <f t="shared" si="222"/>
        <v>116700</v>
      </c>
      <c r="R96" s="643"/>
      <c r="S96" s="643"/>
      <c r="T96" s="1483"/>
      <c r="U96" s="1484"/>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83"/>
      <c r="U97" s="1484"/>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19200</v>
      </c>
      <c r="J98" s="220">
        <f>SUM(J96:J97)</f>
        <v>75900</v>
      </c>
      <c r="K98" s="220">
        <f>SUM(K96:K97)</f>
        <v>21600</v>
      </c>
      <c r="L98" s="220">
        <f>SUM(L96:L97)</f>
        <v>0</v>
      </c>
      <c r="M98" s="220">
        <f t="shared" si="221"/>
        <v>116700</v>
      </c>
      <c r="O98" s="110"/>
      <c r="Q98" s="643">
        <f t="shared" si="222"/>
        <v>116700</v>
      </c>
      <c r="R98" s="643"/>
      <c r="S98" s="643"/>
      <c r="T98" s="1483"/>
      <c r="U98" s="1484"/>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83"/>
      <c r="U99" s="1484"/>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19200</v>
      </c>
      <c r="J100" s="220">
        <f>SUM(J98:J99)</f>
        <v>75900</v>
      </c>
      <c r="K100" s="220">
        <f>SUM(K98:K99)</f>
        <v>21600</v>
      </c>
      <c r="L100" s="220">
        <f>SUM(L98:L99)</f>
        <v>0</v>
      </c>
      <c r="M100" s="220">
        <f t="shared" si="221"/>
        <v>116700</v>
      </c>
      <c r="O100" s="110"/>
      <c r="Q100" s="643">
        <f t="shared" si="222"/>
        <v>116700</v>
      </c>
      <c r="R100" s="643"/>
      <c r="S100" s="643"/>
      <c r="T100" s="1486"/>
      <c r="U100" s="1487"/>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59">
        <f>0.02*L49</f>
        <v>9420</v>
      </c>
      <c r="H104" s="1560"/>
      <c r="I104" s="147" t="s">
        <v>3962</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61">
        <f>350*12*32</f>
        <v>134400</v>
      </c>
      <c r="H109" s="1561">
        <f>G109*(1+'Part VII-Pro Forma'!$B$6)</f>
        <v>138432</v>
      </c>
      <c r="I109" s="1561">
        <f>H109*(1+'Part VII-Pro Forma'!$B$6)</f>
        <v>142584.95999999999</v>
      </c>
      <c r="J109" s="1561">
        <f>I109*(1+'Part VII-Pro Forma'!$B$6)</f>
        <v>146862.50879999998</v>
      </c>
      <c r="K109" s="1561">
        <f>J109*(1+'Part VII-Pro Forma'!$B$6)</f>
        <v>151268.38406399998</v>
      </c>
      <c r="L109" s="1561">
        <f>K109*(1+'Part VII-Pro Forma'!$B$6)</f>
        <v>155806.43558592</v>
      </c>
      <c r="M109" s="1561">
        <f>L109*(1+'Part VII-Pro Forma'!$B$6)</f>
        <v>160480.62865349761</v>
      </c>
      <c r="N109" s="1561">
        <f>M109*(1+'Part VII-Pro Forma'!$B$6)</f>
        <v>165295.04751310253</v>
      </c>
      <c r="O109" s="1561">
        <f>N109*(1+'Part VII-Pro Forma'!$B$6)</f>
        <v>170253.89893849561</v>
      </c>
      <c r="P109" s="1561">
        <f>O109*(1+'Part VII-Pro Forma'!$B$6)</f>
        <v>175361.51590665049</v>
      </c>
      <c r="T109" s="1481"/>
      <c r="U109" s="1482"/>
    </row>
    <row r="110" spans="1:222" ht="15" customHeight="1">
      <c r="B110" s="9" t="s">
        <v>1137</v>
      </c>
      <c r="C110" s="1562"/>
      <c r="D110" s="1563"/>
      <c r="E110" s="1563"/>
      <c r="F110" s="1564"/>
      <c r="G110" s="1565"/>
      <c r="H110" s="1565"/>
      <c r="I110" s="1565"/>
      <c r="J110" s="1565"/>
      <c r="K110" s="1566"/>
      <c r="L110" s="1565"/>
      <c r="M110" s="1565"/>
      <c r="N110" s="1565"/>
      <c r="O110" s="1565"/>
      <c r="P110" s="1565"/>
      <c r="T110" s="1483"/>
      <c r="U110" s="1484"/>
    </row>
    <row r="111" spans="1:222" ht="15" customHeight="1">
      <c r="C111" s="118" t="s">
        <v>1422</v>
      </c>
      <c r="G111" s="39">
        <f t="shared" ref="G111:P111" si="223">SUM(G109:G110)</f>
        <v>134400</v>
      </c>
      <c r="H111" s="39">
        <f t="shared" si="223"/>
        <v>138432</v>
      </c>
      <c r="I111" s="39">
        <f t="shared" si="223"/>
        <v>142584.95999999999</v>
      </c>
      <c r="J111" s="39">
        <f t="shared" si="223"/>
        <v>146862.50879999998</v>
      </c>
      <c r="K111" s="39">
        <f t="shared" si="223"/>
        <v>151268.38406399998</v>
      </c>
      <c r="L111" s="39">
        <f t="shared" si="223"/>
        <v>155806.43558592</v>
      </c>
      <c r="M111" s="39">
        <f t="shared" si="223"/>
        <v>160480.62865349761</v>
      </c>
      <c r="N111" s="39">
        <f t="shared" si="223"/>
        <v>165295.04751310253</v>
      </c>
      <c r="O111" s="39">
        <f t="shared" si="223"/>
        <v>170253.89893849561</v>
      </c>
      <c r="P111" s="39">
        <f t="shared" si="223"/>
        <v>175361.51590665049</v>
      </c>
      <c r="T111" s="1486"/>
      <c r="U111" s="1487"/>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61"/>
      <c r="H114" s="1561"/>
      <c r="I114" s="1561"/>
      <c r="J114" s="1561"/>
      <c r="K114" s="1567"/>
      <c r="L114" s="1561"/>
      <c r="M114" s="1561"/>
      <c r="N114" s="1561"/>
      <c r="O114" s="1561"/>
      <c r="P114" s="1561"/>
      <c r="T114" s="1483"/>
      <c r="U114" s="1484"/>
    </row>
    <row r="115" spans="2:21" ht="15" customHeight="1">
      <c r="B115" s="9" t="s">
        <v>1137</v>
      </c>
      <c r="C115" s="1562"/>
      <c r="D115" s="1563"/>
      <c r="E115" s="1563"/>
      <c r="F115" s="1564"/>
      <c r="G115" s="1565"/>
      <c r="H115" s="1565"/>
      <c r="I115" s="1565"/>
      <c r="J115" s="1565"/>
      <c r="K115" s="1566"/>
      <c r="L115" s="1565"/>
      <c r="M115" s="1565"/>
      <c r="N115" s="1565"/>
      <c r="O115" s="1565"/>
      <c r="P115" s="1565"/>
      <c r="T115" s="1483"/>
      <c r="U115" s="1484"/>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86"/>
      <c r="U116" s="1487"/>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61">
        <f>P109*(1+'Part VII-Pro Forma'!$B$6)</f>
        <v>180622.36138385002</v>
      </c>
      <c r="H119" s="1561">
        <f>G119*(1+'Part VII-Pro Forma'!$B$6)</f>
        <v>186041.03222536552</v>
      </c>
      <c r="I119" s="1561">
        <f>H119*(1+'Part VII-Pro Forma'!$B$6)</f>
        <v>191622.2631921265</v>
      </c>
      <c r="J119" s="1561">
        <f>I119*(1+'Part VII-Pro Forma'!$B$6)</f>
        <v>197370.93108789029</v>
      </c>
      <c r="K119" s="1561">
        <f>J119*(1+'Part VII-Pro Forma'!$B$6)</f>
        <v>203292.059020527</v>
      </c>
      <c r="L119" s="1561">
        <f>K119*(1+'Part VII-Pro Forma'!$B$6)</f>
        <v>209390.82079114282</v>
      </c>
      <c r="M119" s="1561">
        <f>L119*(1+'Part VII-Pro Forma'!$B$6)</f>
        <v>215672.5454148771</v>
      </c>
      <c r="N119" s="1561">
        <f>M119*(1+'Part VII-Pro Forma'!$B$6)</f>
        <v>222142.7217773234</v>
      </c>
      <c r="O119" s="1561">
        <f>N119*(1+'Part VII-Pro Forma'!$B$6)</f>
        <v>228807.00343064312</v>
      </c>
      <c r="P119" s="1561">
        <f>O119*(1+'Part VII-Pro Forma'!$B$6)</f>
        <v>235671.2135335624</v>
      </c>
      <c r="T119" s="1481"/>
      <c r="U119" s="1482"/>
    </row>
    <row r="120" spans="2:21" ht="15" customHeight="1">
      <c r="B120" s="9" t="s">
        <v>1137</v>
      </c>
      <c r="C120" s="1562"/>
      <c r="D120" s="1563"/>
      <c r="E120" s="1563"/>
      <c r="F120" s="1564"/>
      <c r="G120" s="1565"/>
      <c r="H120" s="1565"/>
      <c r="I120" s="1565"/>
      <c r="J120" s="1565"/>
      <c r="K120" s="1566"/>
      <c r="L120" s="1565"/>
      <c r="M120" s="1565"/>
      <c r="N120" s="1565"/>
      <c r="O120" s="1565"/>
      <c r="P120" s="1565"/>
      <c r="T120" s="1483"/>
      <c r="U120" s="1484"/>
    </row>
    <row r="121" spans="2:21" ht="15" customHeight="1">
      <c r="C121" s="118" t="s">
        <v>1422</v>
      </c>
      <c r="G121" s="39">
        <f t="shared" ref="G121:P121" si="225">SUM(G119:G120)</f>
        <v>180622.36138385002</v>
      </c>
      <c r="H121" s="39">
        <f t="shared" si="225"/>
        <v>186041.03222536552</v>
      </c>
      <c r="I121" s="39">
        <f t="shared" si="225"/>
        <v>191622.2631921265</v>
      </c>
      <c r="J121" s="39">
        <f t="shared" si="225"/>
        <v>197370.93108789029</v>
      </c>
      <c r="K121" s="39">
        <f t="shared" si="225"/>
        <v>203292.059020527</v>
      </c>
      <c r="L121" s="39">
        <f t="shared" si="225"/>
        <v>209390.82079114282</v>
      </c>
      <c r="M121" s="39">
        <f t="shared" si="225"/>
        <v>215672.5454148771</v>
      </c>
      <c r="N121" s="39">
        <f t="shared" si="225"/>
        <v>222142.7217773234</v>
      </c>
      <c r="O121" s="39">
        <f t="shared" si="225"/>
        <v>228807.00343064312</v>
      </c>
      <c r="P121" s="39">
        <f t="shared" si="225"/>
        <v>235671.2135335624</v>
      </c>
      <c r="T121" s="1486"/>
      <c r="U121" s="1487"/>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61"/>
      <c r="H124" s="1561"/>
      <c r="I124" s="1561"/>
      <c r="J124" s="1561"/>
      <c r="K124" s="1567"/>
      <c r="L124" s="1561"/>
      <c r="M124" s="1561"/>
      <c r="N124" s="1561"/>
      <c r="O124" s="1561"/>
      <c r="P124" s="1561"/>
      <c r="T124" s="1483"/>
      <c r="U124" s="1484"/>
    </row>
    <row r="125" spans="2:21" ht="15" customHeight="1">
      <c r="B125" s="9" t="s">
        <v>1137</v>
      </c>
      <c r="C125" s="1562"/>
      <c r="D125" s="1563"/>
      <c r="E125" s="1563"/>
      <c r="F125" s="1564"/>
      <c r="G125" s="1565"/>
      <c r="H125" s="1565"/>
      <c r="I125" s="1565"/>
      <c r="J125" s="1565"/>
      <c r="K125" s="1566"/>
      <c r="L125" s="1565"/>
      <c r="M125" s="1565"/>
      <c r="N125" s="1565"/>
      <c r="O125" s="1565"/>
      <c r="P125" s="1565"/>
      <c r="T125" s="1483"/>
      <c r="U125" s="1484"/>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86"/>
      <c r="U126" s="1487"/>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61">
        <f>P119*(1+'Part VII-Pro Forma'!$B$6)</f>
        <v>242741.34993956928</v>
      </c>
      <c r="H129" s="1561">
        <f>G129*(1+'Part VII-Pro Forma'!$B$6)</f>
        <v>250023.59043775636</v>
      </c>
      <c r="I129" s="1561">
        <f>H129*(1+'Part VII-Pro Forma'!$B$6)</f>
        <v>257524.29815088905</v>
      </c>
      <c r="J129" s="1561">
        <f>I129*(1+'Part VII-Pro Forma'!$B$6)</f>
        <v>265250.02709541575</v>
      </c>
      <c r="K129" s="1561">
        <f>J129*(1+'Part VII-Pro Forma'!$B$6)</f>
        <v>273207.52790827822</v>
      </c>
      <c r="L129" s="1561">
        <f>K129*(1+'Part VII-Pro Forma'!$B$6)</f>
        <v>281403.7537455266</v>
      </c>
      <c r="M129" s="1561">
        <f>L129*(1+'Part VII-Pro Forma'!$B$6)</f>
        <v>289845.8663578924</v>
      </c>
      <c r="N129" s="1561">
        <f>M129*(1+'Part VII-Pro Forma'!$B$6)</f>
        <v>298541.24234862917</v>
      </c>
      <c r="O129" s="1561">
        <f>N129*(1+'Part VII-Pro Forma'!$B$6)</f>
        <v>307497.47961908806</v>
      </c>
      <c r="P129" s="1561">
        <f>O129*(1+'Part VII-Pro Forma'!$B$6)</f>
        <v>316722.40400766069</v>
      </c>
      <c r="T129" s="1481"/>
      <c r="U129" s="1482"/>
    </row>
    <row r="130" spans="1:255" ht="15" customHeight="1">
      <c r="B130" s="9" t="s">
        <v>1137</v>
      </c>
      <c r="C130" s="1562"/>
      <c r="D130" s="1563"/>
      <c r="E130" s="1563"/>
      <c r="F130" s="1564"/>
      <c r="G130" s="1565"/>
      <c r="H130" s="1565"/>
      <c r="I130" s="1565"/>
      <c r="J130" s="1565"/>
      <c r="K130" s="1566"/>
      <c r="L130" s="1565"/>
      <c r="M130" s="1565"/>
      <c r="N130" s="1565"/>
      <c r="O130" s="1565"/>
      <c r="P130" s="1565"/>
      <c r="T130" s="1483"/>
      <c r="U130" s="1484"/>
    </row>
    <row r="131" spans="1:255" ht="15" customHeight="1">
      <c r="C131" s="118" t="s">
        <v>1422</v>
      </c>
      <c r="G131" s="39">
        <f t="shared" ref="G131:P131" si="227">SUM(G129:G130)</f>
        <v>242741.34993956928</v>
      </c>
      <c r="H131" s="39">
        <f t="shared" si="227"/>
        <v>250023.59043775636</v>
      </c>
      <c r="I131" s="39">
        <f t="shared" si="227"/>
        <v>257524.29815088905</v>
      </c>
      <c r="J131" s="39">
        <f t="shared" si="227"/>
        <v>265250.02709541575</v>
      </c>
      <c r="K131" s="39">
        <f t="shared" si="227"/>
        <v>273207.52790827822</v>
      </c>
      <c r="L131" s="39">
        <f t="shared" si="227"/>
        <v>281403.7537455266</v>
      </c>
      <c r="M131" s="39">
        <f t="shared" si="227"/>
        <v>289845.8663578924</v>
      </c>
      <c r="N131" s="39">
        <f t="shared" si="227"/>
        <v>298541.24234862917</v>
      </c>
      <c r="O131" s="39">
        <f t="shared" si="227"/>
        <v>307497.47961908806</v>
      </c>
      <c r="P131" s="39">
        <f t="shared" si="227"/>
        <v>316722.40400766069</v>
      </c>
      <c r="T131" s="1486"/>
      <c r="U131" s="1487"/>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61"/>
      <c r="H134" s="1561"/>
      <c r="I134" s="1561"/>
      <c r="J134" s="1561"/>
      <c r="K134" s="1567"/>
      <c r="L134" s="1561"/>
      <c r="M134" s="1561"/>
      <c r="N134" s="1561"/>
      <c r="O134" s="1561"/>
      <c r="P134" s="1561"/>
      <c r="T134" s="1483"/>
      <c r="U134" s="1484"/>
    </row>
    <row r="135" spans="1:255" ht="15" customHeight="1">
      <c r="B135" s="9" t="s">
        <v>1137</v>
      </c>
      <c r="C135" s="1562"/>
      <c r="D135" s="1563"/>
      <c r="E135" s="1563"/>
      <c r="F135" s="1564"/>
      <c r="G135" s="1565"/>
      <c r="H135" s="1565"/>
      <c r="I135" s="1565"/>
      <c r="J135" s="1565"/>
      <c r="K135" s="1566"/>
      <c r="L135" s="1565"/>
      <c r="M135" s="1565"/>
      <c r="N135" s="1565"/>
      <c r="O135" s="1565"/>
      <c r="P135" s="1565"/>
      <c r="T135" s="1483"/>
      <c r="U135" s="1484"/>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86"/>
      <c r="U136" s="1487"/>
    </row>
    <row r="137" spans="1:255" ht="9.6"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2716</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81"/>
      <c r="U140" s="1482"/>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68">
        <v>90000</v>
      </c>
      <c r="G141" s="1569"/>
      <c r="H141" s="2"/>
      <c r="I141" s="2" t="s">
        <v>1946</v>
      </c>
      <c r="J141" s="2"/>
      <c r="K141" s="1568"/>
      <c r="L141" s="1569"/>
      <c r="M141" s="2"/>
      <c r="N141" s="2" t="s">
        <v>1423</v>
      </c>
      <c r="O141" s="2"/>
      <c r="P141" s="1570"/>
      <c r="T141" s="1483"/>
      <c r="U141" s="1484"/>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68">
        <v>45000</v>
      </c>
      <c r="G142" s="1569"/>
      <c r="H142" s="2"/>
      <c r="I142" s="2" t="s">
        <v>1947</v>
      </c>
      <c r="J142" s="2"/>
      <c r="K142" s="1568"/>
      <c r="L142" s="1569"/>
      <c r="M142" s="2"/>
      <c r="N142" s="2" t="s">
        <v>182</v>
      </c>
      <c r="O142" s="2"/>
      <c r="P142" s="1570">
        <v>21200</v>
      </c>
      <c r="T142" s="1483"/>
      <c r="U142" s="1484"/>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68">
        <v>30000</v>
      </c>
      <c r="G143" s="1569"/>
      <c r="H143" s="2"/>
      <c r="I143" s="2"/>
      <c r="J143" s="169" t="s">
        <v>230</v>
      </c>
      <c r="K143" s="1089">
        <f>SUM(K141:L142)</f>
        <v>0</v>
      </c>
      <c r="L143" s="1090"/>
      <c r="M143" s="2"/>
      <c r="N143" s="1571" t="s">
        <v>57</v>
      </c>
      <c r="O143" s="1572"/>
      <c r="P143" s="1573"/>
      <c r="T143" s="1483"/>
      <c r="U143" s="1484"/>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74" t="s">
        <v>57</v>
      </c>
      <c r="C144" s="1575"/>
      <c r="D144" s="1575"/>
      <c r="E144" s="1576"/>
      <c r="F144" s="1577"/>
      <c r="G144" s="1578"/>
      <c r="H144" s="2"/>
      <c r="I144" s="2"/>
      <c r="J144" s="2"/>
      <c r="K144" s="2"/>
      <c r="L144" s="2"/>
      <c r="M144" s="2"/>
      <c r="N144" s="13" t="s">
        <v>230</v>
      </c>
      <c r="O144" s="2"/>
      <c r="P144" s="633">
        <f>SUM(P141:P143)</f>
        <v>21200</v>
      </c>
      <c r="T144" s="1483"/>
      <c r="U144" s="1484"/>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165000</v>
      </c>
      <c r="G145" s="1090"/>
      <c r="H145" s="2"/>
      <c r="I145" s="2"/>
      <c r="J145" s="14"/>
      <c r="K145" s="2"/>
      <c r="L145" s="2"/>
      <c r="M145" s="2"/>
      <c r="N145" s="2"/>
      <c r="O145" s="2"/>
      <c r="P145" s="2"/>
      <c r="T145" s="1483"/>
      <c r="U145" s="1484"/>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83"/>
      <c r="U146" s="1484"/>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29060</v>
      </c>
      <c r="T147" s="1483"/>
      <c r="U147" s="1484"/>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68">
        <v>19000</v>
      </c>
      <c r="G148" s="1569"/>
      <c r="H148" s="2"/>
      <c r="I148" s="2" t="s">
        <v>2211</v>
      </c>
      <c r="J148" s="2"/>
      <c r="K148" s="1579">
        <v>10000</v>
      </c>
      <c r="L148" s="1580"/>
      <c r="M148" s="2"/>
      <c r="N148" s="595">
        <f>+P147/(M62*0.93)</f>
        <v>294.78596064110366</v>
      </c>
      <c r="O148" s="30" t="s">
        <v>3587</v>
      </c>
      <c r="P148" s="2"/>
      <c r="T148" s="1483"/>
      <c r="U148" s="1484"/>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68">
        <v>8000</v>
      </c>
      <c r="G149" s="1569"/>
      <c r="H149" s="2"/>
      <c r="I149" s="2" t="s">
        <v>2934</v>
      </c>
      <c r="J149" s="2"/>
      <c r="K149" s="1581">
        <v>12000</v>
      </c>
      <c r="L149" s="1582"/>
      <c r="M149" s="2"/>
      <c r="N149" s="595">
        <f>+P147/(M62*0.93)/12</f>
        <v>24.565496720091971</v>
      </c>
      <c r="O149" s="30" t="s">
        <v>3588</v>
      </c>
      <c r="P149" s="2"/>
      <c r="T149" s="1483"/>
      <c r="U149" s="1484"/>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68">
        <v>5000</v>
      </c>
      <c r="G150" s="1569"/>
      <c r="H150" s="2"/>
      <c r="I150" s="2" t="s">
        <v>2212</v>
      </c>
      <c r="J150" s="2"/>
      <c r="K150" s="1581">
        <v>9000</v>
      </c>
      <c r="L150" s="1582"/>
      <c r="M150" s="2"/>
      <c r="N150" s="2"/>
      <c r="O150" s="2"/>
      <c r="P150" s="2"/>
      <c r="T150" s="1483"/>
      <c r="U150" s="1484"/>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68">
        <v>2000</v>
      </c>
      <c r="G151" s="1569"/>
      <c r="H151" s="2"/>
      <c r="I151" s="1571" t="s">
        <v>57</v>
      </c>
      <c r="J151" s="1572"/>
      <c r="K151" s="1579"/>
      <c r="L151" s="1580"/>
      <c r="M151" s="2"/>
      <c r="N151" s="1083" t="s">
        <v>3464</v>
      </c>
      <c r="O151" s="1084"/>
      <c r="P151" s="1084"/>
      <c r="T151" s="1483"/>
      <c r="U151" s="1484"/>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68">
        <v>9000</v>
      </c>
      <c r="G152" s="1569"/>
      <c r="H152" s="2"/>
      <c r="I152" s="11"/>
      <c r="J152" s="13" t="s">
        <v>230</v>
      </c>
      <c r="K152" s="1087">
        <f>SUM(K148:K151)</f>
        <v>31000</v>
      </c>
      <c r="L152" s="1088"/>
      <c r="M152" s="2"/>
      <c r="N152" s="1084"/>
      <c r="O152" s="1084"/>
      <c r="P152" s="1084"/>
      <c r="T152" s="1486"/>
      <c r="U152" s="1487"/>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74" t="s">
        <v>57</v>
      </c>
      <c r="C153" s="1575"/>
      <c r="D153" s="1575"/>
      <c r="E153" s="1576"/>
      <c r="F153" s="1577"/>
      <c r="G153" s="1578"/>
      <c r="H153" s="2"/>
      <c r="I153" s="2"/>
      <c r="J153" s="14"/>
      <c r="K153" s="2"/>
      <c r="L153" s="2"/>
      <c r="M153" s="2"/>
      <c r="N153" s="2"/>
      <c r="O153" s="2"/>
      <c r="P153" s="2"/>
      <c r="T153" s="1481"/>
      <c r="U153" s="1482"/>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43000</v>
      </c>
      <c r="G154" s="1090"/>
      <c r="H154" s="2"/>
      <c r="I154" s="2"/>
      <c r="J154" s="14"/>
      <c r="K154" s="2"/>
      <c r="L154" s="2"/>
      <c r="M154" s="2"/>
      <c r="N154" s="2"/>
      <c r="O154" s="2"/>
      <c r="P154" s="2"/>
      <c r="T154" s="1483"/>
      <c r="U154" s="1484"/>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83"/>
      <c r="U155" s="1484"/>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3316</v>
      </c>
      <c r="K156" s="2"/>
      <c r="L156" s="2"/>
      <c r="M156" s="2"/>
      <c r="N156" s="11" t="s">
        <v>3080</v>
      </c>
      <c r="O156" s="6"/>
      <c r="P156" s="6"/>
      <c r="T156" s="1483"/>
      <c r="U156" s="1484"/>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83">
        <v>20000</v>
      </c>
      <c r="G157" s="1584"/>
      <c r="H157" s="2"/>
      <c r="I157" s="2" t="s">
        <v>1936</v>
      </c>
      <c r="J157" s="630">
        <f>K157/12/$M$62</f>
        <v>25.157232704402514</v>
      </c>
      <c r="K157" s="1581">
        <v>32000</v>
      </c>
      <c r="L157" s="1582"/>
      <c r="M157" s="2"/>
      <c r="N157" s="364">
        <f>+$P$157/$M$62</f>
        <v>4011.8867924528304</v>
      </c>
      <c r="O157" s="30" t="s">
        <v>1974</v>
      </c>
      <c r="P157" s="631">
        <f>F145+F154+F165+K143+K152+K162+P144+P147</f>
        <v>425260</v>
      </c>
      <c r="T157" s="1483"/>
      <c r="U157" s="1484"/>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83">
        <v>15000</v>
      </c>
      <c r="G158" s="1584"/>
      <c r="H158" s="2"/>
      <c r="I158" s="2" t="s">
        <v>1937</v>
      </c>
      <c r="J158" s="630">
        <f>K158/12/$M$62</f>
        <v>0</v>
      </c>
      <c r="K158" s="1581">
        <v>0</v>
      </c>
      <c r="L158" s="1582"/>
      <c r="M158" s="2"/>
      <c r="N158" s="2"/>
      <c r="O158" s="2"/>
      <c r="P158" s="2"/>
      <c r="T158" s="1483"/>
      <c r="U158" s="1484"/>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83">
        <v>27000</v>
      </c>
      <c r="G159" s="1584"/>
      <c r="H159" s="2"/>
      <c r="I159" s="2" t="s">
        <v>3315</v>
      </c>
      <c r="J159" s="630">
        <f>K159/12/$M$62</f>
        <v>9.433962264150944</v>
      </c>
      <c r="K159" s="1581">
        <v>12000</v>
      </c>
      <c r="L159" s="1582"/>
      <c r="M159" s="2"/>
      <c r="N159" s="2"/>
      <c r="O159" s="2"/>
      <c r="P159" s="2"/>
      <c r="T159" s="1483"/>
      <c r="U159" s="1484"/>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68">
        <v>2000</v>
      </c>
      <c r="G160" s="1569"/>
      <c r="H160" s="2"/>
      <c r="I160" s="2" t="s">
        <v>1939</v>
      </c>
      <c r="J160" s="2"/>
      <c r="K160" s="1581">
        <v>6000</v>
      </c>
      <c r="L160" s="1582"/>
      <c r="M160" s="2"/>
      <c r="N160" s="11" t="s">
        <v>1796</v>
      </c>
      <c r="O160" s="11"/>
      <c r="P160" s="632">
        <f>P161*M62</f>
        <v>26500</v>
      </c>
      <c r="T160" s="1483"/>
      <c r="U160" s="1484"/>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68">
        <v>7000</v>
      </c>
      <c r="G161" s="1569"/>
      <c r="H161" s="2"/>
      <c r="I161" s="1571" t="s">
        <v>57</v>
      </c>
      <c r="J161" s="1572"/>
      <c r="K161" s="1579"/>
      <c r="L161" s="1580"/>
      <c r="M161" s="2"/>
      <c r="N161" s="30" t="s">
        <v>639</v>
      </c>
      <c r="O161" s="2"/>
      <c r="P161" s="1585">
        <v>250</v>
      </c>
      <c r="T161" s="1483"/>
      <c r="U161" s="1484"/>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68">
        <v>0</v>
      </c>
      <c r="G162" s="1569"/>
      <c r="H162" s="2"/>
      <c r="I162" s="2"/>
      <c r="J162" s="13" t="s">
        <v>230</v>
      </c>
      <c r="K162" s="1087">
        <f>SUM(K157:K161)</f>
        <v>50000</v>
      </c>
      <c r="L162" s="1088"/>
      <c r="M162" s="2"/>
      <c r="N162" s="2"/>
      <c r="O162" s="2"/>
      <c r="T162" s="1483"/>
      <c r="U162" s="1484"/>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68">
        <v>15000</v>
      </c>
      <c r="G163" s="1569"/>
      <c r="H163" s="2"/>
      <c r="I163" s="2"/>
      <c r="J163" s="14"/>
      <c r="K163" s="2"/>
      <c r="L163" s="2"/>
      <c r="M163" s="2"/>
      <c r="N163" s="2"/>
      <c r="O163" s="2"/>
      <c r="T163" s="1483"/>
      <c r="U163" s="1484"/>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74" t="s">
        <v>57</v>
      </c>
      <c r="C164" s="1575"/>
      <c r="D164" s="1575"/>
      <c r="E164" s="1576"/>
      <c r="F164" s="1577"/>
      <c r="G164" s="1578"/>
      <c r="H164" s="2"/>
      <c r="I164" s="2"/>
      <c r="J164" s="14"/>
      <c r="K164" s="2"/>
      <c r="L164" s="2"/>
      <c r="M164" s="2"/>
      <c r="N164" s="11" t="s">
        <v>3081</v>
      </c>
      <c r="O164" s="11"/>
      <c r="P164" s="11"/>
      <c r="T164" s="1483"/>
      <c r="U164" s="1484"/>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86000</v>
      </c>
      <c r="G165" s="1086"/>
      <c r="H165" s="2"/>
      <c r="I165" s="2"/>
      <c r="J165" s="14"/>
      <c r="K165" s="2"/>
      <c r="L165" s="2"/>
      <c r="M165" s="2"/>
      <c r="N165" s="2"/>
      <c r="O165" s="2"/>
      <c r="P165" s="631">
        <f>P157+P160</f>
        <v>451760</v>
      </c>
      <c r="T165" s="1486"/>
      <c r="U165" s="1487"/>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5" t="s">
        <v>4091</v>
      </c>
      <c r="B168" s="1366"/>
      <c r="C168" s="1366"/>
      <c r="D168" s="1366"/>
      <c r="E168" s="1366"/>
      <c r="F168" s="1366"/>
      <c r="G168" s="1366"/>
      <c r="H168" s="1366"/>
      <c r="I168" s="1366"/>
      <c r="J168" s="1367"/>
      <c r="K168" s="1368"/>
      <c r="L168" s="1369"/>
      <c r="M168" s="1369"/>
      <c r="N168" s="1369"/>
      <c r="O168" s="1369"/>
      <c r="P168" s="1370"/>
      <c r="T168" s="987" t="s">
        <v>3965</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6"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25" right="0.25" top="0.55000000000000004" bottom="0.38" header="0.25" footer="0.19"/>
  <pageSetup scale="86"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60" zoomScaleNormal="6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2012-019 Walton Oaks Family 2, Augusta, Richmond County</v>
      </c>
      <c r="B1" s="1108"/>
      <c r="C1" s="1108"/>
      <c r="D1" s="1108"/>
      <c r="E1" s="1108"/>
      <c r="F1" s="1108"/>
      <c r="G1" s="1108"/>
      <c r="H1" s="1108"/>
      <c r="I1" s="1108"/>
      <c r="J1" s="1108"/>
      <c r="K1" s="1109"/>
      <c r="L1" s="11"/>
      <c r="M1" s="1105" t="str">
        <f>A1</f>
        <v>PART SEVEN - OPERATING PRO FORMA  -  2012-019 Walton Oaks Family 2, Augusta, Richmond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86">
        <v>7000</v>
      </c>
      <c r="H5" s="128" t="s">
        <v>2784</v>
      </c>
      <c r="K5" s="133">
        <f>IF(($B$14+$B$15+$B$16+$B$17)=0,"",-B28/($B$14+$B$15+$B$16+$B$17))</f>
        <v>1.2044241596474548E-2</v>
      </c>
      <c r="M5" s="1481"/>
      <c r="N5" s="1482"/>
    </row>
    <row r="6" spans="1:15">
      <c r="A6" s="19" t="s">
        <v>3083</v>
      </c>
      <c r="B6" s="105">
        <v>0.03</v>
      </c>
      <c r="C6" s="19"/>
      <c r="D6" s="19" t="s">
        <v>1270</v>
      </c>
      <c r="F6" s="19"/>
      <c r="G6" s="1586">
        <v>0</v>
      </c>
      <c r="H6" s="128" t="s">
        <v>3345</v>
      </c>
      <c r="K6" s="133" t="e">
        <f>IF(($B$14+$B$15+$B$16+$B$17)=0,"",-#REF!/($B$14+$B$15+$B$16+$B$17))</f>
        <v>#REF!</v>
      </c>
      <c r="M6" s="1483"/>
      <c r="N6" s="1484"/>
    </row>
    <row r="7" spans="1:15">
      <c r="A7" s="19" t="s">
        <v>3085</v>
      </c>
      <c r="B7" s="105">
        <v>0.03</v>
      </c>
      <c r="C7" s="19"/>
      <c r="D7" s="107" t="s">
        <v>332</v>
      </c>
      <c r="G7" s="109"/>
      <c r="H7" s="128" t="s">
        <v>3346</v>
      </c>
      <c r="K7" s="133">
        <f>IF(($B$14+$B$15+$B$16+$B$17)=0,"",-B20/($B$14+$B$15+$B$16+$B$17))</f>
        <v>5.0000808684792911E-2</v>
      </c>
      <c r="M7" s="1483"/>
      <c r="N7" s="1484"/>
    </row>
    <row r="8" spans="1:15" ht="13.15" customHeight="1">
      <c r="A8" s="19" t="s">
        <v>3084</v>
      </c>
      <c r="B8" s="1587">
        <v>7.0000000000000007E-2</v>
      </c>
      <c r="C8" s="19"/>
      <c r="D8" s="106" t="s">
        <v>3516</v>
      </c>
      <c r="G8" s="1588" t="s">
        <v>3976</v>
      </c>
      <c r="H8" s="230" t="s">
        <v>2028</v>
      </c>
      <c r="K8" s="1589"/>
      <c r="M8" s="1483"/>
      <c r="N8" s="1484"/>
    </row>
    <row r="9" spans="1:15">
      <c r="A9" s="19" t="s">
        <v>1992</v>
      </c>
      <c r="B9" s="105">
        <v>0.02</v>
      </c>
      <c r="D9" s="106" t="s">
        <v>2570</v>
      </c>
      <c r="G9" s="1588" t="s">
        <v>3975</v>
      </c>
      <c r="H9" s="230" t="s">
        <v>3321</v>
      </c>
      <c r="K9" s="1590">
        <v>0.05</v>
      </c>
      <c r="M9" s="1486"/>
      <c r="N9" s="1487"/>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3673</v>
      </c>
      <c r="N13" s="976"/>
    </row>
    <row r="14" spans="1:15" ht="13.15" customHeight="1">
      <c r="A14" s="21" t="s">
        <v>3383</v>
      </c>
      <c r="B14" s="22">
        <f>'Part VI-Revenues &amp; Expenses'!L49</f>
        <v>471000</v>
      </c>
      <c r="C14" s="22">
        <f t="shared" ref="C14:K14" si="1">$B$14*(1+$B$5)^(C13-1)</f>
        <v>480420</v>
      </c>
      <c r="D14" s="22">
        <f t="shared" si="1"/>
        <v>490028.4</v>
      </c>
      <c r="E14" s="22">
        <f t="shared" si="1"/>
        <v>499828.96799999999</v>
      </c>
      <c r="F14" s="22">
        <f t="shared" si="1"/>
        <v>509825.54735999997</v>
      </c>
      <c r="G14" s="22">
        <f t="shared" si="1"/>
        <v>520022.05830720003</v>
      </c>
      <c r="H14" s="22">
        <f t="shared" si="1"/>
        <v>530422.49947334407</v>
      </c>
      <c r="I14" s="22">
        <f t="shared" si="1"/>
        <v>541030.94946281076</v>
      </c>
      <c r="J14" s="22">
        <f t="shared" si="1"/>
        <v>551851.56845206709</v>
      </c>
      <c r="K14" s="23">
        <f t="shared" si="1"/>
        <v>562888.59982110839</v>
      </c>
      <c r="M14" s="1481"/>
      <c r="N14" s="1482"/>
    </row>
    <row r="15" spans="1:15" ht="13.15" customHeight="1">
      <c r="A15" s="24" t="s">
        <v>1519</v>
      </c>
      <c r="B15" s="25">
        <f>MIN(B14*B9,'Part VI-Revenues &amp; Expenses'!G104)</f>
        <v>9420</v>
      </c>
      <c r="C15" s="25">
        <f t="shared" ref="C15:K15" si="2">$B$15*(1+$B$5)^(C13-1)</f>
        <v>9608.4</v>
      </c>
      <c r="D15" s="25">
        <f t="shared" si="2"/>
        <v>9800.5679999999993</v>
      </c>
      <c r="E15" s="25">
        <f t="shared" si="2"/>
        <v>9996.5793599999997</v>
      </c>
      <c r="F15" s="25">
        <f t="shared" si="2"/>
        <v>10196.5109472</v>
      </c>
      <c r="G15" s="25">
        <f t="shared" si="2"/>
        <v>10400.441166144001</v>
      </c>
      <c r="H15" s="25">
        <f t="shared" si="2"/>
        <v>10608.449989466881</v>
      </c>
      <c r="I15" s="25">
        <f t="shared" si="2"/>
        <v>10820.618989256216</v>
      </c>
      <c r="J15" s="25">
        <f t="shared" si="2"/>
        <v>11037.03136904134</v>
      </c>
      <c r="K15" s="26">
        <f t="shared" si="2"/>
        <v>11257.771996422169</v>
      </c>
      <c r="M15" s="1483"/>
      <c r="N15" s="1484"/>
    </row>
    <row r="16" spans="1:15" ht="13.15" customHeight="1">
      <c r="A16" s="24" t="s">
        <v>3384</v>
      </c>
      <c r="B16" s="25">
        <f t="shared" ref="B16:K16" si="3">-(B14+B15)*$B$8</f>
        <v>-33629.4</v>
      </c>
      <c r="C16" s="25">
        <f t="shared" si="3"/>
        <v>-34301.988000000005</v>
      </c>
      <c r="D16" s="25">
        <f t="shared" si="3"/>
        <v>-34988.027760000004</v>
      </c>
      <c r="E16" s="25">
        <f t="shared" si="3"/>
        <v>-35687.788315199999</v>
      </c>
      <c r="F16" s="25">
        <f t="shared" si="3"/>
        <v>-36401.544081503998</v>
      </c>
      <c r="G16" s="25">
        <f t="shared" si="3"/>
        <v>-37129.574963134088</v>
      </c>
      <c r="H16" s="25">
        <f t="shared" si="3"/>
        <v>-37872.166462396774</v>
      </c>
      <c r="I16" s="25">
        <f t="shared" si="3"/>
        <v>-38629.609791644689</v>
      </c>
      <c r="J16" s="25">
        <f t="shared" si="3"/>
        <v>-39402.201987477594</v>
      </c>
      <c r="K16" s="26">
        <f t="shared" si="3"/>
        <v>-40190.246027227149</v>
      </c>
      <c r="M16" s="1483"/>
      <c r="N16" s="1484"/>
    </row>
    <row r="17" spans="1:14" ht="13.15" customHeight="1">
      <c r="A17" s="24" t="s">
        <v>58</v>
      </c>
      <c r="B17" s="25">
        <f>+'Part VI-Revenues &amp; Expenses'!G111</f>
        <v>134400</v>
      </c>
      <c r="C17" s="25">
        <f>+'Part VI-Revenues &amp; Expenses'!H111</f>
        <v>138432</v>
      </c>
      <c r="D17" s="25">
        <f>+'Part VI-Revenues &amp; Expenses'!I111</f>
        <v>142584.95999999999</v>
      </c>
      <c r="E17" s="25">
        <f>+'Part VI-Revenues &amp; Expenses'!J111</f>
        <v>146862.50879999998</v>
      </c>
      <c r="F17" s="25">
        <f>+'Part VI-Revenues &amp; Expenses'!K111</f>
        <v>151268.38406399998</v>
      </c>
      <c r="G17" s="25">
        <f>+'Part VI-Revenues &amp; Expenses'!L111</f>
        <v>155806.43558592</v>
      </c>
      <c r="H17" s="25">
        <f>+'Part VI-Revenues &amp; Expenses'!M111</f>
        <v>160480.62865349761</v>
      </c>
      <c r="I17" s="25">
        <f>+'Part VI-Revenues &amp; Expenses'!N111</f>
        <v>165295.04751310253</v>
      </c>
      <c r="J17" s="25">
        <f>+'Part VI-Revenues &amp; Expenses'!O111</f>
        <v>170253.89893849561</v>
      </c>
      <c r="K17" s="26">
        <f>+'Part VI-Revenues &amp; Expenses'!P111</f>
        <v>175361.51590665049</v>
      </c>
      <c r="M17" s="1483"/>
      <c r="N17" s="1484"/>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83"/>
      <c r="N18" s="1484"/>
    </row>
    <row r="19" spans="1:14" ht="13.15" customHeight="1">
      <c r="A19" s="24" t="s">
        <v>871</v>
      </c>
      <c r="B19" s="25">
        <f>-('Part VI-Revenues &amp; Expenses'!P157-'Part VI-Revenues &amp; Expenses'!P147)</f>
        <v>-396200</v>
      </c>
      <c r="C19" s="25">
        <f t="shared" ref="C19:K19" si="4">$B$19*(1+$B$6)^(C13-1)</f>
        <v>-408086</v>
      </c>
      <c r="D19" s="25">
        <f t="shared" si="4"/>
        <v>-420328.57999999996</v>
      </c>
      <c r="E19" s="25">
        <f t="shared" si="4"/>
        <v>-432938.4374</v>
      </c>
      <c r="F19" s="25">
        <f t="shared" si="4"/>
        <v>-445926.59052199998</v>
      </c>
      <c r="G19" s="25">
        <f t="shared" si="4"/>
        <v>-459304.38823765994</v>
      </c>
      <c r="H19" s="25">
        <f t="shared" si="4"/>
        <v>-473083.51988478977</v>
      </c>
      <c r="I19" s="25">
        <f t="shared" si="4"/>
        <v>-487276.02548133349</v>
      </c>
      <c r="J19" s="25">
        <f t="shared" si="4"/>
        <v>-501894.30624577345</v>
      </c>
      <c r="K19" s="26">
        <f t="shared" si="4"/>
        <v>-516951.13543314667</v>
      </c>
      <c r="M19" s="1483"/>
      <c r="N19" s="1484"/>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-29060</v>
      </c>
      <c r="C20" s="25">
        <f>IF(AND('Part VII-Pro Forma'!$G$8="Yes",'Part VII-Pro Forma'!$G$9="Yes"),"Choose One!",IF('Part VII-Pro Forma'!$G$8="Yes",ROUND((-$K$8*(1+'Part VII-Pro Forma'!$B$6)^('Part VII-Pro Forma'!C13-1)),),IF('Part VII-Pro Forma'!$G$9="Yes",ROUND((-(SUM(C14:C17)*'Part VII-Pro Forma'!$K$9)),),"Choose mgt fee")))</f>
        <v>-29708</v>
      </c>
      <c r="D20" s="25">
        <f>IF(AND('Part VII-Pro Forma'!$G$8="Yes",'Part VII-Pro Forma'!$G$9="Yes"),"Choose One!",IF('Part VII-Pro Forma'!$G$8="Yes",ROUND((-$K$8*(1+'Part VII-Pro Forma'!$B$6)^('Part VII-Pro Forma'!D13-1)),),IF('Part VII-Pro Forma'!$G$9="Yes",ROUND((-(SUM(D14:D17)*'Part VII-Pro Forma'!$K$9)),),"Choose mgt fee")))</f>
        <v>-30371</v>
      </c>
      <c r="E20" s="25">
        <f>IF(AND('Part VII-Pro Forma'!$G$8="Yes",'Part VII-Pro Forma'!$G$9="Yes"),"Choose One!",IF('Part VII-Pro Forma'!$G$8="Yes",ROUND((-$K$8*(1+'Part VII-Pro Forma'!$B$6)^('Part VII-Pro Forma'!E13-1)),),IF('Part VII-Pro Forma'!$G$9="Yes",ROUND((-(SUM(E14:E17)*'Part VII-Pro Forma'!$K$9)),),"Choose mgt fee")))</f>
        <v>-31050</v>
      </c>
      <c r="F20" s="25">
        <f>IF(AND('Part VII-Pro Forma'!$G$8="Yes",'Part VII-Pro Forma'!$G$9="Yes"),"Choose One!",IF('Part VII-Pro Forma'!$G$8="Yes",ROUND((-$K$8*(1+'Part VII-Pro Forma'!$B$6)^('Part VII-Pro Forma'!F13-1)),),IF('Part VII-Pro Forma'!$G$9="Yes",ROUND((-(SUM(F14:F17)*'Part VII-Pro Forma'!$K$9)),),"Choose mgt fee")))</f>
        <v>-31744</v>
      </c>
      <c r="G20" s="25">
        <f>IF(AND('Part VII-Pro Forma'!$G$8="Yes",'Part VII-Pro Forma'!$G$9="Yes"),"Choose One!",IF('Part VII-Pro Forma'!$G$8="Yes",ROUND((-$K$8*(1+'Part VII-Pro Forma'!$B$6)^('Part VII-Pro Forma'!G13-1)),),IF('Part VII-Pro Forma'!$G$9="Yes",ROUND((-(SUM(G14:G17)*'Part VII-Pro Forma'!$K$9)),),"Choose mgt fee")))</f>
        <v>-32455</v>
      </c>
      <c r="H20" s="25">
        <f>IF(AND('Part VII-Pro Forma'!$G$8="Yes",'Part VII-Pro Forma'!$G$9="Yes"),"Choose One!",IF('Part VII-Pro Forma'!$G$8="Yes",ROUND((-$K$8*(1+'Part VII-Pro Forma'!$B$6)^('Part VII-Pro Forma'!H13-1)),),IF('Part VII-Pro Forma'!$G$9="Yes",ROUND((-(SUM(H14:H17)*'Part VII-Pro Forma'!$K$9)),),"Choose mgt fee")))</f>
        <v>-33182</v>
      </c>
      <c r="I20" s="25">
        <f>IF(AND('Part VII-Pro Forma'!$G$8="Yes",'Part VII-Pro Forma'!$G$9="Yes"),"Choose One!",IF('Part VII-Pro Forma'!$G$8="Yes",ROUND((-$K$8*(1+'Part VII-Pro Forma'!$B$6)^('Part VII-Pro Forma'!I13-1)),),IF('Part VII-Pro Forma'!$G$9="Yes",ROUND((-(SUM(I14:I17)*'Part VII-Pro Forma'!$K$9)),),"Choose mgt fee")))</f>
        <v>-33926</v>
      </c>
      <c r="J20" s="25">
        <f>IF(AND('Part VII-Pro Forma'!$G$8="Yes",'Part VII-Pro Forma'!$G$9="Yes"),"Choose One!",IF('Part VII-Pro Forma'!$G$8="Yes",ROUND((-$K$8*(1+'Part VII-Pro Forma'!$B$6)^('Part VII-Pro Forma'!J13-1)),),IF('Part VII-Pro Forma'!$G$9="Yes",ROUND((-(SUM(J14:J17)*'Part VII-Pro Forma'!$K$9)),),"Choose mgt fee")))</f>
        <v>-34687</v>
      </c>
      <c r="K20" s="25">
        <f>IF(AND('Part VII-Pro Forma'!$G$8="Yes",'Part VII-Pro Forma'!$G$9="Yes"),"Choose One!",IF('Part VII-Pro Forma'!$G$8="Yes",ROUND((-$K$8*(1+'Part VII-Pro Forma'!$B$6)^('Part VII-Pro Forma'!K13-1)),),IF('Part VII-Pro Forma'!$G$9="Yes",ROUND((-(SUM(K14:K17)*'Part VII-Pro Forma'!$K$9)),),"Choose mgt fee")))</f>
        <v>-35466</v>
      </c>
      <c r="M20" s="1483"/>
      <c r="N20" s="1484"/>
    </row>
    <row r="21" spans="1:14" ht="13.15" customHeight="1">
      <c r="A21" s="24" t="s">
        <v>1739</v>
      </c>
      <c r="B21" s="25">
        <f>-('Part VI-Revenues &amp; Expenses'!P160)</f>
        <v>-26500</v>
      </c>
      <c r="C21" s="25">
        <f t="shared" ref="C21:K21" si="5">$B$21*(1+$B$7)^(C13-1)</f>
        <v>-27295</v>
      </c>
      <c r="D21" s="25">
        <f t="shared" si="5"/>
        <v>-28113.85</v>
      </c>
      <c r="E21" s="25">
        <f t="shared" si="5"/>
        <v>-28957.265500000001</v>
      </c>
      <c r="F21" s="25">
        <f t="shared" si="5"/>
        <v>-29825.983464999998</v>
      </c>
      <c r="G21" s="25">
        <f t="shared" si="5"/>
        <v>-30720.762968949995</v>
      </c>
      <c r="H21" s="25">
        <f t="shared" si="5"/>
        <v>-31642.385858018497</v>
      </c>
      <c r="I21" s="25">
        <f t="shared" si="5"/>
        <v>-32591.657433759054</v>
      </c>
      <c r="J21" s="25">
        <f t="shared" si="5"/>
        <v>-33569.40715677182</v>
      </c>
      <c r="K21" s="26">
        <f t="shared" si="5"/>
        <v>-34576.489371474978</v>
      </c>
      <c r="M21" s="1483"/>
      <c r="N21" s="1484"/>
    </row>
    <row r="22" spans="1:14" ht="13.15" customHeight="1">
      <c r="A22" s="24" t="s">
        <v>1740</v>
      </c>
      <c r="B22" s="25">
        <f t="shared" ref="B22:K22" si="6">SUM(B14:B21)</f>
        <v>129430.59999999998</v>
      </c>
      <c r="C22" s="25">
        <f t="shared" si="6"/>
        <v>129069.41200000001</v>
      </c>
      <c r="D22" s="25">
        <f t="shared" si="6"/>
        <v>128612.47024000002</v>
      </c>
      <c r="E22" s="25">
        <f t="shared" si="6"/>
        <v>128054.5649447999</v>
      </c>
      <c r="F22" s="25">
        <f t="shared" si="6"/>
        <v>127392.32430269598</v>
      </c>
      <c r="G22" s="25">
        <f t="shared" si="6"/>
        <v>126619.20888952012</v>
      </c>
      <c r="H22" s="25">
        <f t="shared" si="6"/>
        <v>125731.50591110354</v>
      </c>
      <c r="I22" s="25">
        <f t="shared" si="6"/>
        <v>124723.32325843222</v>
      </c>
      <c r="J22" s="25">
        <f t="shared" si="6"/>
        <v>123589.58336958107</v>
      </c>
      <c r="K22" s="26">
        <f t="shared" si="6"/>
        <v>122324.01689233226</v>
      </c>
      <c r="M22" s="1483"/>
      <c r="N22" s="1484"/>
    </row>
    <row r="23" spans="1:14" ht="13.15" customHeight="1">
      <c r="A23" s="678" t="s">
        <v>2195</v>
      </c>
      <c r="B23" s="1591">
        <f>-B22*0.55</f>
        <v>-71186.829999999987</v>
      </c>
      <c r="C23" s="1591">
        <f t="shared" ref="C23:K23" si="7">-C22*0.55</f>
        <v>-70988.176600000006</v>
      </c>
      <c r="D23" s="1591">
        <f t="shared" si="7"/>
        <v>-70736.858632000018</v>
      </c>
      <c r="E23" s="1591">
        <f t="shared" si="7"/>
        <v>-70430.010719639948</v>
      </c>
      <c r="F23" s="1591">
        <f t="shared" si="7"/>
        <v>-70065.778366482802</v>
      </c>
      <c r="G23" s="1591">
        <f t="shared" si="7"/>
        <v>-69640.564889236062</v>
      </c>
      <c r="H23" s="1591">
        <f t="shared" si="7"/>
        <v>-69152.328251106956</v>
      </c>
      <c r="I23" s="1591">
        <f t="shared" si="7"/>
        <v>-68597.82779213773</v>
      </c>
      <c r="J23" s="1591">
        <f t="shared" si="7"/>
        <v>-67974.270853269598</v>
      </c>
      <c r="K23" s="1591">
        <f t="shared" si="7"/>
        <v>-67278.209290782746</v>
      </c>
      <c r="M23" s="1483"/>
      <c r="N23" s="1484"/>
    </row>
    <row r="24" spans="1:14" ht="13.15" customHeight="1">
      <c r="A24" s="678" t="s">
        <v>2196</v>
      </c>
      <c r="B24" s="1592">
        <f>IF('Part III A-Sources of Funds'!$M$33="", 0,-'Part III A-Sources of Funds'!$M$33)</f>
        <v>0</v>
      </c>
      <c r="C24" s="1592">
        <f>IF('Part III A-Sources of Funds'!$M$33="", 0,-'Part III A-Sources of Funds'!$M$33)</f>
        <v>0</v>
      </c>
      <c r="D24" s="1592">
        <f>IF('Part III A-Sources of Funds'!$M$33="", 0,-'Part III A-Sources of Funds'!$M$33)</f>
        <v>0</v>
      </c>
      <c r="E24" s="1592">
        <f>IF('Part III A-Sources of Funds'!$M$33="", 0,-'Part III A-Sources of Funds'!$M$33)</f>
        <v>0</v>
      </c>
      <c r="F24" s="1592">
        <f>IF('Part III A-Sources of Funds'!$M$33="", 0,-'Part III A-Sources of Funds'!$M$33)</f>
        <v>0</v>
      </c>
      <c r="G24" s="1592">
        <f>IF('Part III A-Sources of Funds'!$M$33="", 0,-'Part III A-Sources of Funds'!$M$33)</f>
        <v>0</v>
      </c>
      <c r="H24" s="1592">
        <f>IF('Part III A-Sources of Funds'!$M$33="", 0,-'Part III A-Sources of Funds'!$M$33)</f>
        <v>0</v>
      </c>
      <c r="I24" s="1592">
        <f>IF('Part III A-Sources of Funds'!$M$33="", 0,-'Part III A-Sources of Funds'!$M$33)</f>
        <v>0</v>
      </c>
      <c r="J24" s="1592">
        <f>IF('Part III A-Sources of Funds'!$M$33="", 0,-'Part III A-Sources of Funds'!$M$33)</f>
        <v>0</v>
      </c>
      <c r="K24" s="1592">
        <f>IF('Part III A-Sources of Funds'!$M$33="", 0,-'Part III A-Sources of Funds'!$M$33)</f>
        <v>0</v>
      </c>
      <c r="M24" s="1483"/>
      <c r="N24" s="1484"/>
    </row>
    <row r="25" spans="1:14" ht="13.15" customHeight="1">
      <c r="A25" s="678" t="s">
        <v>2197</v>
      </c>
      <c r="B25" s="1592">
        <f>IF('Part III A-Sources of Funds'!$M$34="", 0,-'Part III A-Sources of Funds'!$M$34)</f>
        <v>0</v>
      </c>
      <c r="C25" s="1592">
        <f>IF('Part III A-Sources of Funds'!$M$34="", 0,-'Part III A-Sources of Funds'!$M$34)</f>
        <v>0</v>
      </c>
      <c r="D25" s="1592">
        <f>IF('Part III A-Sources of Funds'!$M$34="", 0,-'Part III A-Sources of Funds'!$M$34)</f>
        <v>0</v>
      </c>
      <c r="E25" s="1592">
        <f>IF('Part III A-Sources of Funds'!$M$34="", 0,-'Part III A-Sources of Funds'!$M$34)</f>
        <v>0</v>
      </c>
      <c r="F25" s="1592">
        <f>IF('Part III A-Sources of Funds'!$M$34="", 0,-'Part III A-Sources of Funds'!$M$34)</f>
        <v>0</v>
      </c>
      <c r="G25" s="1592">
        <f>IF('Part III A-Sources of Funds'!$M$34="", 0,-'Part III A-Sources of Funds'!$M$34)</f>
        <v>0</v>
      </c>
      <c r="H25" s="1592">
        <f>IF('Part III A-Sources of Funds'!$M$34="", 0,-'Part III A-Sources of Funds'!$M$34)</f>
        <v>0</v>
      </c>
      <c r="I25" s="1592">
        <f>IF('Part III A-Sources of Funds'!$M$34="", 0,-'Part III A-Sources of Funds'!$M$34)</f>
        <v>0</v>
      </c>
      <c r="J25" s="1592">
        <f>IF('Part III A-Sources of Funds'!$M$34="", 0,-'Part III A-Sources of Funds'!$M$34)</f>
        <v>0</v>
      </c>
      <c r="K25" s="1592">
        <f>IF('Part III A-Sources of Funds'!$M$34="", 0,-'Part III A-Sources of Funds'!$M$34)</f>
        <v>0</v>
      </c>
      <c r="M25" s="1483"/>
      <c r="N25" s="1484"/>
    </row>
    <row r="26" spans="1:14" ht="13.15" customHeight="1">
      <c r="A26" s="24" t="s">
        <v>1266</v>
      </c>
      <c r="B26" s="1592">
        <f>IF('Part III A-Sources of Funds'!$M$35="", 0,-'Part III A-Sources of Funds'!$M$35)</f>
        <v>0</v>
      </c>
      <c r="C26" s="1592">
        <f>IF('Part III A-Sources of Funds'!$M$35="", 0,-'Part III A-Sources of Funds'!$M$35)</f>
        <v>0</v>
      </c>
      <c r="D26" s="1592">
        <f>IF('Part III A-Sources of Funds'!$M$35="", 0,-'Part III A-Sources of Funds'!$M$35)</f>
        <v>0</v>
      </c>
      <c r="E26" s="1592">
        <f>IF('Part III A-Sources of Funds'!$M$35="", 0,-'Part III A-Sources of Funds'!$M$35)</f>
        <v>0</v>
      </c>
      <c r="F26" s="1592">
        <f>IF('Part III A-Sources of Funds'!$M$35="", 0,-'Part III A-Sources of Funds'!$M$35)</f>
        <v>0</v>
      </c>
      <c r="G26" s="1592">
        <f>IF('Part III A-Sources of Funds'!$M$35="", 0,-'Part III A-Sources of Funds'!$M$35)</f>
        <v>0</v>
      </c>
      <c r="H26" s="1592">
        <f>IF('Part III A-Sources of Funds'!$M$35="", 0,-'Part III A-Sources of Funds'!$M$35)</f>
        <v>0</v>
      </c>
      <c r="I26" s="1592">
        <f>IF('Part III A-Sources of Funds'!$M$35="", 0,-'Part III A-Sources of Funds'!$M$35)</f>
        <v>0</v>
      </c>
      <c r="J26" s="1592">
        <f>IF('Part III A-Sources of Funds'!$M$35="", 0,-'Part III A-Sources of Funds'!$M$35)</f>
        <v>0</v>
      </c>
      <c r="K26" s="1592">
        <f>IF('Part III A-Sources of Funds'!$M$35="", 0,-'Part III A-Sources of Funds'!$M$35)</f>
        <v>0</v>
      </c>
      <c r="M26" s="1483"/>
      <c r="N26" s="1484"/>
    </row>
    <row r="27" spans="1:14" ht="13.15" customHeight="1">
      <c r="A27" s="24" t="s">
        <v>1241</v>
      </c>
      <c r="B27" s="1593"/>
      <c r="C27" s="1593"/>
      <c r="D27" s="1593"/>
      <c r="E27" s="1593"/>
      <c r="F27" s="1593"/>
      <c r="G27" s="1593"/>
      <c r="H27" s="1593"/>
      <c r="I27" s="1593"/>
      <c r="J27" s="1593"/>
      <c r="K27" s="1593"/>
      <c r="M27" s="1483"/>
      <c r="N27" s="1484"/>
    </row>
    <row r="28" spans="1:14" ht="13.15" customHeight="1">
      <c r="A28" s="24" t="s">
        <v>1686</v>
      </c>
      <c r="B28" s="1592">
        <f>-$G$5</f>
        <v>-7000</v>
      </c>
      <c r="C28" s="1592">
        <f>B28*1.03</f>
        <v>-7210</v>
      </c>
      <c r="D28" s="1592">
        <f t="shared" ref="D28:K28" si="8">C28*1.03</f>
        <v>-7426.3</v>
      </c>
      <c r="E28" s="1592">
        <f t="shared" si="8"/>
        <v>-7649.0889999999999</v>
      </c>
      <c r="F28" s="1592">
        <f t="shared" si="8"/>
        <v>-7878.56167</v>
      </c>
      <c r="G28" s="1592">
        <f t="shared" si="8"/>
        <v>-8114.9185201</v>
      </c>
      <c r="H28" s="1592">
        <f t="shared" si="8"/>
        <v>-8358.3660757030011</v>
      </c>
      <c r="I28" s="1592">
        <f t="shared" si="8"/>
        <v>-8609.1170579740919</v>
      </c>
      <c r="J28" s="1592">
        <f t="shared" si="8"/>
        <v>-8867.3905697133141</v>
      </c>
      <c r="K28" s="1592">
        <f t="shared" si="8"/>
        <v>-9133.4122868047143</v>
      </c>
      <c r="M28" s="1483"/>
      <c r="N28" s="1484"/>
    </row>
    <row r="29" spans="1:14" ht="13.15" customHeight="1">
      <c r="A29" s="24" t="s">
        <v>1741</v>
      </c>
      <c r="B29" s="1594">
        <f>IF('Part III A-Sources of Funds'!$M$37="", 0,-'Part III A-Sources of Funds'!$M$37)</f>
        <v>-8861.9230769230762</v>
      </c>
      <c r="C29" s="1594">
        <f>IF('Part III A-Sources of Funds'!$M$37="", 0,-'Part III A-Sources of Funds'!$M$37)</f>
        <v>-8861.9230769230762</v>
      </c>
      <c r="D29" s="1594">
        <f>IF('Part III A-Sources of Funds'!$M$37="", 0,-'Part III A-Sources of Funds'!$M$37)</f>
        <v>-8861.9230769230762</v>
      </c>
      <c r="E29" s="1594">
        <f>IF('Part III A-Sources of Funds'!$M$37="", 0,-'Part III A-Sources of Funds'!$M$37)</f>
        <v>-8861.9230769230762</v>
      </c>
      <c r="F29" s="1594">
        <f>IF('Part III A-Sources of Funds'!$M$37="", 0,-'Part III A-Sources of Funds'!$M$37)</f>
        <v>-8861.9230769230762</v>
      </c>
      <c r="G29" s="1594">
        <f>IF('Part III A-Sources of Funds'!$M$37="", 0,-'Part III A-Sources of Funds'!$M$37)</f>
        <v>-8861.9230769230762</v>
      </c>
      <c r="H29" s="1594">
        <f>IF('Part III A-Sources of Funds'!$M$37="", 0,-'Part III A-Sources of Funds'!$M$37)</f>
        <v>-8861.9230769230762</v>
      </c>
      <c r="I29" s="1594">
        <f>IF('Part III A-Sources of Funds'!$M$37="", 0,-'Part III A-Sources of Funds'!$M$37)</f>
        <v>-8861.9230769230762</v>
      </c>
      <c r="J29" s="1594">
        <f>IF('Part III A-Sources of Funds'!$M$37="", 0,-'Part III A-Sources of Funds'!$M$37)</f>
        <v>-8861.9230769230762</v>
      </c>
      <c r="K29" s="1594">
        <f>IF('Part III A-Sources of Funds'!$M$37="", 0,-'Part III A-Sources of Funds'!$M$37)</f>
        <v>-8861.9230769230762</v>
      </c>
      <c r="M29" s="1483"/>
      <c r="N29" s="1484"/>
    </row>
    <row r="30" spans="1:14" ht="13.15" customHeight="1">
      <c r="A30" s="24" t="s">
        <v>1687</v>
      </c>
      <c r="B30" s="25">
        <f t="shared" ref="B30:K30" si="9">SUM(B22:B29)</f>
        <v>42381.846923076911</v>
      </c>
      <c r="C30" s="25">
        <f t="shared" si="9"/>
        <v>42009.312323076927</v>
      </c>
      <c r="D30" s="25">
        <f t="shared" si="9"/>
        <v>41587.388531076926</v>
      </c>
      <c r="E30" s="25">
        <f t="shared" si="9"/>
        <v>41113.542148236877</v>
      </c>
      <c r="F30" s="25">
        <f t="shared" si="9"/>
        <v>40586.0611892901</v>
      </c>
      <c r="G30" s="25">
        <f t="shared" si="9"/>
        <v>40001.802403260976</v>
      </c>
      <c r="H30" s="25">
        <f t="shared" si="9"/>
        <v>39358.888507370502</v>
      </c>
      <c r="I30" s="25">
        <f t="shared" si="9"/>
        <v>38654.455331397323</v>
      </c>
      <c r="J30" s="25">
        <f t="shared" si="9"/>
        <v>37885.998869675081</v>
      </c>
      <c r="K30" s="26">
        <f t="shared" si="9"/>
        <v>37050.472237821727</v>
      </c>
      <c r="M30" s="1483"/>
      <c r="N30" s="1484"/>
    </row>
    <row r="31" spans="1:14" ht="13.15" customHeight="1">
      <c r="A31" s="24" t="str">
        <f>IF('Part III A-Sources of Funds'!$E$32 = "Neither", "", "DCR Mortgage A")</f>
        <v>DCR Mortgage A</v>
      </c>
      <c r="B31" s="27">
        <f>IF(B23=0,"",-B22/B23)</f>
        <v>1.8181818181818181</v>
      </c>
      <c r="C31" s="27">
        <f t="shared" ref="C31:K31" si="10">IF(C23=0,"",-C22/C23)</f>
        <v>1.8181818181818181</v>
      </c>
      <c r="D31" s="27">
        <f t="shared" si="10"/>
        <v>1.8181818181818181</v>
      </c>
      <c r="E31" s="27">
        <f t="shared" si="10"/>
        <v>1.8181818181818181</v>
      </c>
      <c r="F31" s="27">
        <f t="shared" si="10"/>
        <v>1.8181818181818179</v>
      </c>
      <c r="G31" s="27">
        <f t="shared" si="10"/>
        <v>1.8181818181818181</v>
      </c>
      <c r="H31" s="27">
        <f t="shared" si="10"/>
        <v>1.8181818181818179</v>
      </c>
      <c r="I31" s="27">
        <f t="shared" si="10"/>
        <v>1.8181818181818179</v>
      </c>
      <c r="J31" s="27">
        <f t="shared" si="10"/>
        <v>1.8181818181818179</v>
      </c>
      <c r="K31" s="28">
        <f t="shared" si="10"/>
        <v>1.8181818181818181</v>
      </c>
      <c r="M31" s="1483"/>
      <c r="N31" s="1484"/>
    </row>
    <row r="32" spans="1:14" ht="13.15" customHeight="1">
      <c r="A32" s="24" t="str">
        <f>IF('Part III A-Sources of Funds'!$E$32 = "Neither", "", "DCR Mortgage B")</f>
        <v>DCR Mortgage B</v>
      </c>
      <c r="B32" s="27" t="str">
        <f t="shared" ref="B32:K32" si="11">IF(OR(B24=0,AND(B24=0,B23=0)),"",-B22/(B23+B24))</f>
        <v/>
      </c>
      <c r="C32" s="27" t="str">
        <f t="shared" si="11"/>
        <v/>
      </c>
      <c r="D32" s="27" t="str">
        <f t="shared" si="11"/>
        <v/>
      </c>
      <c r="E32" s="27" t="str">
        <f t="shared" si="11"/>
        <v/>
      </c>
      <c r="F32" s="27" t="str">
        <f t="shared" si="11"/>
        <v/>
      </c>
      <c r="G32" s="27" t="str">
        <f t="shared" si="11"/>
        <v/>
      </c>
      <c r="H32" s="27" t="str">
        <f t="shared" si="11"/>
        <v/>
      </c>
      <c r="I32" s="27" t="str">
        <f t="shared" si="11"/>
        <v/>
      </c>
      <c r="J32" s="27" t="str">
        <f t="shared" si="11"/>
        <v/>
      </c>
      <c r="K32" s="28" t="str">
        <f t="shared" si="11"/>
        <v/>
      </c>
      <c r="M32" s="1483"/>
      <c r="N32" s="1484"/>
    </row>
    <row r="33" spans="1:14" ht="13.15" customHeight="1">
      <c r="A33" s="24" t="str">
        <f>IF('Part III A-Sources of Funds'!$E$32 = "Neither", "DCR First Mortgage", "DCR Mortgage C")</f>
        <v>DCR Mortgage C</v>
      </c>
      <c r="B33" s="27" t="str">
        <f t="shared" ref="B33:K33" si="12">IF(OR(B25=0,AND(B25=0,B24=0,B23=0)),"",-B22/(B23+B24+B25))</f>
        <v/>
      </c>
      <c r="C33" s="27" t="str">
        <f t="shared" si="12"/>
        <v/>
      </c>
      <c r="D33" s="27" t="str">
        <f t="shared" si="12"/>
        <v/>
      </c>
      <c r="E33" s="27" t="str">
        <f t="shared" si="12"/>
        <v/>
      </c>
      <c r="F33" s="27" t="str">
        <f t="shared" si="12"/>
        <v/>
      </c>
      <c r="G33" s="27" t="str">
        <f t="shared" si="12"/>
        <v/>
      </c>
      <c r="H33" s="27" t="str">
        <f t="shared" si="12"/>
        <v/>
      </c>
      <c r="I33" s="27" t="str">
        <f t="shared" si="12"/>
        <v/>
      </c>
      <c r="J33" s="27" t="str">
        <f t="shared" si="12"/>
        <v/>
      </c>
      <c r="K33" s="28" t="str">
        <f t="shared" si="12"/>
        <v/>
      </c>
      <c r="M33" s="1483"/>
      <c r="N33" s="1484"/>
    </row>
    <row r="34" spans="1:14" ht="13.15" customHeight="1">
      <c r="A34" s="24" t="s">
        <v>1267</v>
      </c>
      <c r="B34" s="27" t="str">
        <f t="shared" ref="B34:K34" si="13">IF(OR(B26=0,AND(B23=0,B24=0,B25=0,B26=0)),"",-B22/(B23+B24+B25+B26))</f>
        <v/>
      </c>
      <c r="C34" s="27" t="str">
        <f t="shared" si="13"/>
        <v/>
      </c>
      <c r="D34" s="27" t="str">
        <f t="shared" si="13"/>
        <v/>
      </c>
      <c r="E34" s="27" t="str">
        <f t="shared" si="13"/>
        <v/>
      </c>
      <c r="F34" s="27" t="str">
        <f t="shared" si="13"/>
        <v/>
      </c>
      <c r="G34" s="27" t="str">
        <f t="shared" si="13"/>
        <v/>
      </c>
      <c r="H34" s="27" t="str">
        <f t="shared" si="13"/>
        <v/>
      </c>
      <c r="I34" s="27" t="str">
        <f t="shared" si="13"/>
        <v/>
      </c>
      <c r="J34" s="27" t="str">
        <f t="shared" si="13"/>
        <v/>
      </c>
      <c r="K34" s="28" t="str">
        <f t="shared" si="13"/>
        <v/>
      </c>
      <c r="M34" s="1483"/>
      <c r="N34" s="1484"/>
    </row>
    <row r="35" spans="1:14" ht="13.15" customHeight="1">
      <c r="A35" s="24" t="s">
        <v>1250</v>
      </c>
      <c r="B35" s="378">
        <f>IF(OR(B20="Choose mgt fee",B20="Choose One!"),"",(B14+B15+B16+B17+B18) / -(B19+B20+B21))</f>
        <v>1.2865030104480255</v>
      </c>
      <c r="C35" s="378">
        <f t="shared" ref="C35:K35" si="14">IF(OR(C20="Choose mgt fee",C20="Choose One!"),"",(C14+C15+C16+C17+C18) / -(C19+C20+C21))</f>
        <v>1.2775155120847839</v>
      </c>
      <c r="D35" s="378">
        <f t="shared" si="14"/>
        <v>1.2686066475620787</v>
      </c>
      <c r="E35" s="378">
        <f t="shared" si="14"/>
        <v>1.2597741783556582</v>
      </c>
      <c r="F35" s="378">
        <f t="shared" si="14"/>
        <v>1.2510210528159333</v>
      </c>
      <c r="G35" s="378">
        <f t="shared" si="14"/>
        <v>1.2423426202834829</v>
      </c>
      <c r="H35" s="378">
        <f t="shared" si="14"/>
        <v>1.2337416954998612</v>
      </c>
      <c r="I35" s="378">
        <f t="shared" si="14"/>
        <v>1.2252162260174331</v>
      </c>
      <c r="J35" s="378">
        <f t="shared" si="14"/>
        <v>1.2167665153517446</v>
      </c>
      <c r="K35" s="379">
        <f t="shared" si="14"/>
        <v>1.2083907077066591</v>
      </c>
      <c r="M35" s="1483"/>
      <c r="N35" s="1484"/>
    </row>
    <row r="36" spans="1:14" ht="13.15" customHeight="1">
      <c r="A36" s="678" t="s">
        <v>3665</v>
      </c>
      <c r="B36" s="1595">
        <f>IF('Part III A-Sources of Funds'!$H$32="","",-FV('Part III A-Sources of Funds'!$J$32/12,12,B23/12,'Part III A-Sources of Funds'!$H$32))</f>
        <v>1728813.17</v>
      </c>
      <c r="C36" s="1595">
        <f>IF('Part III A-Sources of Funds'!$H$32="","",-FV('Part III A-Sources of Funds'!$J$32/12,12,C23/12,B36))</f>
        <v>1657824.9934</v>
      </c>
      <c r="D36" s="1595">
        <f>IF('Part III A-Sources of Funds'!$H$32="","",-FV('Part III A-Sources of Funds'!$J$32/12,12,D23/12,C36))</f>
        <v>1587088.1347680001</v>
      </c>
      <c r="E36" s="1595">
        <f>IF('Part III A-Sources of Funds'!$H$32="","",-FV('Part III A-Sources of Funds'!$J$32/12,12,E23/12,D36))</f>
        <v>1516658.1240483602</v>
      </c>
      <c r="F36" s="1595">
        <f>IF('Part III A-Sources of Funds'!$H$32="","",-FV('Part III A-Sources of Funds'!$J$32/12,12,F23/12,E36))</f>
        <v>1446592.3456818773</v>
      </c>
      <c r="G36" s="1595">
        <f>IF('Part III A-Sources of Funds'!$H$32="","",-FV('Part III A-Sources of Funds'!$J$32/12,12,G23/12,F36))</f>
        <v>1376951.7807926412</v>
      </c>
      <c r="H36" s="1595">
        <f>IF('Part III A-Sources of Funds'!$H$32="","",-FV('Part III A-Sources of Funds'!$J$32/12,12,H23/12,G36))</f>
        <v>1307799.4525415343</v>
      </c>
      <c r="I36" s="1595">
        <f>IF('Part III A-Sources of Funds'!$H$32="","",-FV('Part III A-Sources of Funds'!$J$32/12,12,I23/12,H36))</f>
        <v>1239201.6247493967</v>
      </c>
      <c r="J36" s="1595">
        <f>IF('Part III A-Sources of Funds'!$H$32="","",-FV('Part III A-Sources of Funds'!$J$32/12,12,J23/12,I36))</f>
        <v>1171227.3538961271</v>
      </c>
      <c r="K36" s="1595">
        <f>IF('Part III A-Sources of Funds'!$H$32="","",-FV('Part III A-Sources of Funds'!$J$32/12,12,K23/12,J36))</f>
        <v>1103949.1446053444</v>
      </c>
      <c r="M36" s="1483"/>
      <c r="N36" s="1484"/>
    </row>
    <row r="37" spans="1:14" ht="13.15" customHeight="1">
      <c r="A37" s="678" t="s">
        <v>3666</v>
      </c>
      <c r="B37" s="1592" t="str">
        <f>IF('Part III A-Sources of Funds'!$H$33="","",-FV('Part III A-Sources of Funds'!$J$33/12,12,B24/12,'Part III A-Sources of Funds'!$H$33))</f>
        <v/>
      </c>
      <c r="C37" s="1592" t="str">
        <f>IF('Part III A-Sources of Funds'!$H$33="","",-FV('Part III A-Sources of Funds'!$J$33/12,12,C24/12,B37))</f>
        <v/>
      </c>
      <c r="D37" s="1592" t="str">
        <f>IF('Part III A-Sources of Funds'!$H$33="","",-FV('Part III A-Sources of Funds'!$J$33/12,12,D24/12,C37))</f>
        <v/>
      </c>
      <c r="E37" s="1592" t="str">
        <f>IF('Part III A-Sources of Funds'!$H$33="","",-FV('Part III A-Sources of Funds'!$J$33/12,12,E24/12,D37))</f>
        <v/>
      </c>
      <c r="F37" s="1592" t="str">
        <f>IF('Part III A-Sources of Funds'!$H$33="","",-FV('Part III A-Sources of Funds'!$J$33/12,12,F24/12,E37))</f>
        <v/>
      </c>
      <c r="G37" s="1592" t="str">
        <f>IF('Part III A-Sources of Funds'!$H$33="","",-FV('Part III A-Sources of Funds'!$J$33/12,12,G24/12,F37))</f>
        <v/>
      </c>
      <c r="H37" s="1592" t="str">
        <f>IF('Part III A-Sources of Funds'!$H$33="","",-FV('Part III A-Sources of Funds'!$J$33/12,12,H24/12,G37))</f>
        <v/>
      </c>
      <c r="I37" s="1592" t="str">
        <f>IF('Part III A-Sources of Funds'!$H$33="","",-FV('Part III A-Sources of Funds'!$J$33/12,12,I24/12,H37))</f>
        <v/>
      </c>
      <c r="J37" s="1592" t="str">
        <f>IF('Part III A-Sources of Funds'!$H$33="","",-FV('Part III A-Sources of Funds'!$J$33/12,12,J24/12,I37))</f>
        <v/>
      </c>
      <c r="K37" s="1592" t="str">
        <f>IF('Part III A-Sources of Funds'!$H$33="","",-FV('Part III A-Sources of Funds'!$J$33/12,12,K24/12,J37))</f>
        <v/>
      </c>
      <c r="M37" s="1483"/>
      <c r="N37" s="1484"/>
    </row>
    <row r="38" spans="1:14" ht="13.15" customHeight="1">
      <c r="A38" s="678" t="s">
        <v>3667</v>
      </c>
      <c r="B38" s="1592" t="str">
        <f>IF('Part III A-Sources of Funds'!$H$34="","",-FV('Part III A-Sources of Funds'!$J$34/12,12,B25/12,'Part III A-Sources of Funds'!$H$34))</f>
        <v/>
      </c>
      <c r="C38" s="1592" t="str">
        <f>IF('Part III A-Sources of Funds'!$H$34="","",-FV('Part III A-Sources of Funds'!$J$34/12,12,C25/12,B38))</f>
        <v/>
      </c>
      <c r="D38" s="1592" t="str">
        <f>IF('Part III A-Sources of Funds'!$H$34="","",-FV('Part III A-Sources of Funds'!$J$34/12,12,D25/12,C38))</f>
        <v/>
      </c>
      <c r="E38" s="1592" t="str">
        <f>IF('Part III A-Sources of Funds'!$H$34="","",-FV('Part III A-Sources of Funds'!$J$34/12,12,E25/12,D38))</f>
        <v/>
      </c>
      <c r="F38" s="1592" t="str">
        <f>IF('Part III A-Sources of Funds'!$H$34="","",-FV('Part III A-Sources of Funds'!$J$34/12,12,F25/12,E38))</f>
        <v/>
      </c>
      <c r="G38" s="1592" t="str">
        <f>IF('Part III A-Sources of Funds'!$H$34="","",-FV('Part III A-Sources of Funds'!$J$34/12,12,G25/12,F38))</f>
        <v/>
      </c>
      <c r="H38" s="1592" t="str">
        <f>IF('Part III A-Sources of Funds'!$H$34="","",-FV('Part III A-Sources of Funds'!$J$34/12,12,H25/12,G38))</f>
        <v/>
      </c>
      <c r="I38" s="1592" t="str">
        <f>IF('Part III A-Sources of Funds'!$H$34="","",-FV('Part III A-Sources of Funds'!$J$34/12,12,I25/12,H38))</f>
        <v/>
      </c>
      <c r="J38" s="1592" t="str">
        <f>IF('Part III A-Sources of Funds'!$H$34="","",-FV('Part III A-Sources of Funds'!$J$34/12,12,J25/12,I38))</f>
        <v/>
      </c>
      <c r="K38" s="1592" t="str">
        <f>IF('Part III A-Sources of Funds'!$H$34="","",-FV('Part III A-Sources of Funds'!$J$34/12,12,K25/12,J38))</f>
        <v/>
      </c>
      <c r="M38" s="1483"/>
      <c r="N38" s="1484"/>
    </row>
    <row r="39" spans="1:14" ht="13.15" customHeight="1">
      <c r="A39" s="24" t="s">
        <v>1268</v>
      </c>
      <c r="B39" s="1592" t="str">
        <f>IF('Part III A-Sources of Funds'!$H$35="","",-FV('Part III A-Sources of Funds'!$J$35/12,12,B24/12,'Part III A-Sources of Funds'!$H$35))</f>
        <v/>
      </c>
      <c r="C39" s="1592" t="str">
        <f>IF('Part III A-Sources of Funds'!$H$35="","",-FV('Part III A-Sources of Funds'!$J$35/12,12,C26/12,B39))</f>
        <v/>
      </c>
      <c r="D39" s="1592" t="str">
        <f>IF('Part III A-Sources of Funds'!$H$35="","",-FV('Part III A-Sources of Funds'!$J$35/12,12,D26/12,C39))</f>
        <v/>
      </c>
      <c r="E39" s="1592" t="str">
        <f>IF('Part III A-Sources of Funds'!$H$35="","",-FV('Part III A-Sources of Funds'!$J$35/12,12,E26/12,D39))</f>
        <v/>
      </c>
      <c r="F39" s="1592" t="str">
        <f>IF('Part III A-Sources of Funds'!$H$35="","",-FV('Part III A-Sources of Funds'!$J$35/12,12,F26/12,E39))</f>
        <v/>
      </c>
      <c r="G39" s="1592" t="str">
        <f>IF('Part III A-Sources of Funds'!$H$35="","",-FV('Part III A-Sources of Funds'!$J$35/12,12,G26/12,F39))</f>
        <v/>
      </c>
      <c r="H39" s="1592" t="str">
        <f>IF('Part III A-Sources of Funds'!$H$35="","",-FV('Part III A-Sources of Funds'!$J$35/12,12,H26/12,G39))</f>
        <v/>
      </c>
      <c r="I39" s="1592" t="str">
        <f>IF('Part III A-Sources of Funds'!$H$35="","",-FV('Part III A-Sources of Funds'!$J$35/12,12,I26/12,H39))</f>
        <v/>
      </c>
      <c r="J39" s="1592" t="str">
        <f>IF('Part III A-Sources of Funds'!$H$35="","",-FV('Part III A-Sources of Funds'!$J$35/12,12,J26/12,I39))</f>
        <v/>
      </c>
      <c r="K39" s="1592" t="str">
        <f>IF('Part III A-Sources of Funds'!$H$35="","",-FV('Part III A-Sources of Funds'!$J$35/12,12,K26/12,J39))</f>
        <v/>
      </c>
      <c r="M39" s="1483"/>
      <c r="N39" s="1484"/>
    </row>
    <row r="40" spans="1:14" ht="13.15" customHeight="1">
      <c r="A40" s="678" t="s">
        <v>3668</v>
      </c>
      <c r="B40" s="1592">
        <f>'Part III A-Sources of Funds'!$H$36</f>
        <v>0</v>
      </c>
      <c r="C40" s="1592">
        <f>B40</f>
        <v>0</v>
      </c>
      <c r="D40" s="1592">
        <f t="shared" ref="D40:K40" si="15">C40</f>
        <v>0</v>
      </c>
      <c r="E40" s="1592">
        <f t="shared" si="15"/>
        <v>0</v>
      </c>
      <c r="F40" s="1592">
        <f t="shared" si="15"/>
        <v>0</v>
      </c>
      <c r="G40" s="1592">
        <f t="shared" si="15"/>
        <v>0</v>
      </c>
      <c r="H40" s="1592">
        <f t="shared" si="15"/>
        <v>0</v>
      </c>
      <c r="I40" s="1592">
        <f t="shared" si="15"/>
        <v>0</v>
      </c>
      <c r="J40" s="1592">
        <f t="shared" si="15"/>
        <v>0</v>
      </c>
      <c r="K40" s="1592">
        <f t="shared" si="15"/>
        <v>0</v>
      </c>
      <c r="M40" s="1483"/>
      <c r="N40" s="1484"/>
    </row>
    <row r="41" spans="1:14" ht="13.15" customHeight="1">
      <c r="A41" s="29" t="s">
        <v>1776</v>
      </c>
      <c r="B41" s="1594">
        <f>IF('Part III A-Sources of Funds'!$H$37="","",-FV('Part III A-Sources of Funds'!$J$37/12,12,B29/12,'Part III A-Sources of Funds'!$H$37))</f>
        <v>106343.07692307692</v>
      </c>
      <c r="C41" s="1594">
        <f>IF('Part III A-Sources of Funds'!$H$37="","",-FV('Part III A-Sources of Funds'!$J$37/12,12,C29/12,B41))</f>
        <v>97481.153846153844</v>
      </c>
      <c r="D41" s="1594">
        <f>IF('Part III A-Sources of Funds'!$H$37="","",-FV('Part III A-Sources of Funds'!$J$37/12,12,D29/12,C41))</f>
        <v>88619.230769230766</v>
      </c>
      <c r="E41" s="1594">
        <f>IF('Part III A-Sources of Funds'!$H$37="","",-FV('Part III A-Sources of Funds'!$J$37/12,12,E29/12,D41))</f>
        <v>79757.307692307688</v>
      </c>
      <c r="F41" s="1594">
        <f>IF('Part III A-Sources of Funds'!$H$37="","",-FV('Part III A-Sources of Funds'!$J$37/12,12,F29/12,E41))</f>
        <v>70895.38461538461</v>
      </c>
      <c r="G41" s="1594">
        <f>IF('Part III A-Sources of Funds'!$H$37="","",-FV('Part III A-Sources of Funds'!$J$37/12,12,G29/12,F41))</f>
        <v>62033.461538461532</v>
      </c>
      <c r="H41" s="1594">
        <f>IF('Part III A-Sources of Funds'!$H$37="","",-FV('Part III A-Sources of Funds'!$J$37/12,12,H29/12,G41))</f>
        <v>53171.538461538454</v>
      </c>
      <c r="I41" s="1594">
        <f>IF('Part III A-Sources of Funds'!$H$37="","",-FV('Part III A-Sources of Funds'!$J$37/12,12,I29/12,H41))</f>
        <v>44309.615384615376</v>
      </c>
      <c r="J41" s="1594">
        <f>IF('Part III A-Sources of Funds'!$H$37="","",-FV('Part III A-Sources of Funds'!$J$37/12,12,J29/12,I41))</f>
        <v>35447.692307692298</v>
      </c>
      <c r="K41" s="1594">
        <f>IF('Part III A-Sources of Funds'!$H$37="","",-FV('Part III A-Sources of Funds'!$J$37/12,12,K29/12,J41))</f>
        <v>26585.76923076922</v>
      </c>
      <c r="M41" s="1486"/>
      <c r="N41" s="1487"/>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6">B43+1</f>
        <v>12</v>
      </c>
      <c r="D43" s="18">
        <f t="shared" si="16"/>
        <v>13</v>
      </c>
      <c r="E43" s="18">
        <f t="shared" si="16"/>
        <v>14</v>
      </c>
      <c r="F43" s="18">
        <f t="shared" si="16"/>
        <v>15</v>
      </c>
      <c r="G43" s="18">
        <f t="shared" si="16"/>
        <v>16</v>
      </c>
      <c r="H43" s="18">
        <f t="shared" si="16"/>
        <v>17</v>
      </c>
      <c r="I43" s="18">
        <f t="shared" si="16"/>
        <v>18</v>
      </c>
      <c r="J43" s="18">
        <f t="shared" si="16"/>
        <v>19</v>
      </c>
      <c r="K43" s="18">
        <f t="shared" si="16"/>
        <v>20</v>
      </c>
      <c r="M43" s="976" t="s">
        <v>3671</v>
      </c>
      <c r="N43" s="976"/>
    </row>
    <row r="44" spans="1:14" ht="13.15" customHeight="1">
      <c r="A44" s="21" t="s">
        <v>3383</v>
      </c>
      <c r="B44" s="22">
        <f t="shared" ref="B44:K44" si="17">$B$14*(1+$B$5)^(B43-1)</f>
        <v>574146.3718175306</v>
      </c>
      <c r="C44" s="22">
        <f t="shared" si="17"/>
        <v>585629.29925388109</v>
      </c>
      <c r="D44" s="22">
        <f t="shared" si="17"/>
        <v>597341.88523895887</v>
      </c>
      <c r="E44" s="22">
        <f t="shared" si="17"/>
        <v>609288.72294373799</v>
      </c>
      <c r="F44" s="22">
        <f t="shared" si="17"/>
        <v>621474.49740261282</v>
      </c>
      <c r="G44" s="22">
        <f t="shared" si="17"/>
        <v>633903.98735066492</v>
      </c>
      <c r="H44" s="22">
        <f t="shared" si="17"/>
        <v>646582.06709767831</v>
      </c>
      <c r="I44" s="22">
        <f t="shared" si="17"/>
        <v>659513.70843963185</v>
      </c>
      <c r="J44" s="22">
        <f t="shared" si="17"/>
        <v>672703.9826084245</v>
      </c>
      <c r="K44" s="23">
        <f t="shared" si="17"/>
        <v>686158.06226059294</v>
      </c>
      <c r="M44" s="1481"/>
      <c r="N44" s="1482"/>
    </row>
    <row r="45" spans="1:14" ht="13.15" customHeight="1">
      <c r="A45" s="24" t="s">
        <v>1519</v>
      </c>
      <c r="B45" s="25">
        <f t="shared" ref="B45:K45" si="18">$B$15*(1+$B$5)^(B43-1)</f>
        <v>11482.927436350612</v>
      </c>
      <c r="C45" s="25">
        <f t="shared" si="18"/>
        <v>11712.585985077621</v>
      </c>
      <c r="D45" s="25">
        <f t="shared" si="18"/>
        <v>11946.837704779176</v>
      </c>
      <c r="E45" s="25">
        <f t="shared" si="18"/>
        <v>12185.774458874759</v>
      </c>
      <c r="F45" s="25">
        <f t="shared" si="18"/>
        <v>12429.489948052256</v>
      </c>
      <c r="G45" s="25">
        <f t="shared" si="18"/>
        <v>12678.079747013297</v>
      </c>
      <c r="H45" s="25">
        <f t="shared" si="18"/>
        <v>12931.641341953566</v>
      </c>
      <c r="I45" s="25">
        <f t="shared" si="18"/>
        <v>13190.274168792637</v>
      </c>
      <c r="J45" s="25">
        <f t="shared" si="18"/>
        <v>13454.07965216849</v>
      </c>
      <c r="K45" s="26">
        <f t="shared" si="18"/>
        <v>13723.161245211859</v>
      </c>
      <c r="M45" s="1483"/>
      <c r="N45" s="1484"/>
    </row>
    <row r="46" spans="1:14" ht="13.15" customHeight="1">
      <c r="A46" s="24" t="s">
        <v>3384</v>
      </c>
      <c r="B46" s="25">
        <f t="shared" ref="B46:K46" si="19">-(B44+B45)*$B$8</f>
        <v>-40994.050947771691</v>
      </c>
      <c r="C46" s="25">
        <f t="shared" si="19"/>
        <v>-41813.931966727119</v>
      </c>
      <c r="D46" s="25">
        <f t="shared" si="19"/>
        <v>-42650.210606061672</v>
      </c>
      <c r="E46" s="25">
        <f t="shared" si="19"/>
        <v>-43503.214818182896</v>
      </c>
      <c r="F46" s="25">
        <f t="shared" si="19"/>
        <v>-44373.27911454656</v>
      </c>
      <c r="G46" s="25">
        <f t="shared" si="19"/>
        <v>-45260.744696837479</v>
      </c>
      <c r="H46" s="25">
        <f t="shared" si="19"/>
        <v>-46165.959590774233</v>
      </c>
      <c r="I46" s="25">
        <f t="shared" si="19"/>
        <v>-47089.278782589718</v>
      </c>
      <c r="J46" s="25">
        <f t="shared" si="19"/>
        <v>-48031.064358241507</v>
      </c>
      <c r="K46" s="26">
        <f t="shared" si="19"/>
        <v>-48991.685645406338</v>
      </c>
      <c r="M46" s="1483"/>
      <c r="N46" s="1484"/>
    </row>
    <row r="47" spans="1:14" ht="13.15" customHeight="1">
      <c r="A47" s="24" t="s">
        <v>58</v>
      </c>
      <c r="B47" s="25">
        <f>+'Part VI-Revenues &amp; Expenses'!G121</f>
        <v>180622.36138385002</v>
      </c>
      <c r="C47" s="25">
        <f>+'Part VI-Revenues &amp; Expenses'!H121</f>
        <v>186041.03222536552</v>
      </c>
      <c r="D47" s="25">
        <f>+'Part VI-Revenues &amp; Expenses'!I121</f>
        <v>191622.2631921265</v>
      </c>
      <c r="E47" s="25">
        <f>+'Part VI-Revenues &amp; Expenses'!J121</f>
        <v>197370.93108789029</v>
      </c>
      <c r="F47" s="25">
        <f>+'Part VI-Revenues &amp; Expenses'!K121</f>
        <v>203292.059020527</v>
      </c>
      <c r="G47" s="25">
        <f>+'Part VI-Revenues &amp; Expenses'!L121</f>
        <v>209390.82079114282</v>
      </c>
      <c r="H47" s="25">
        <f>+'Part VI-Revenues &amp; Expenses'!M121</f>
        <v>215672.5454148771</v>
      </c>
      <c r="I47" s="25">
        <f>+'Part VI-Revenues &amp; Expenses'!N121</f>
        <v>222142.7217773234</v>
      </c>
      <c r="J47" s="25">
        <f>+'Part VI-Revenues &amp; Expenses'!O121</f>
        <v>228807.00343064312</v>
      </c>
      <c r="K47" s="26">
        <f>+'Part VI-Revenues &amp; Expenses'!P121</f>
        <v>235671.2135335624</v>
      </c>
      <c r="M47" s="1483"/>
      <c r="N47" s="1484"/>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83"/>
      <c r="N48" s="1484"/>
    </row>
    <row r="49" spans="1:14" ht="13.15" customHeight="1">
      <c r="A49" s="24" t="s">
        <v>871</v>
      </c>
      <c r="B49" s="25">
        <f t="shared" ref="B49:K49" si="20">$B$19*(1+$B$6)^(B43-1)</f>
        <v>-532459.66949614102</v>
      </c>
      <c r="C49" s="25">
        <f t="shared" si="20"/>
        <v>-548433.45958102529</v>
      </c>
      <c r="D49" s="25">
        <f t="shared" si="20"/>
        <v>-564886.463368456</v>
      </c>
      <c r="E49" s="25">
        <f t="shared" si="20"/>
        <v>-581833.05726950965</v>
      </c>
      <c r="F49" s="25">
        <f t="shared" si="20"/>
        <v>-599288.04898759502</v>
      </c>
      <c r="G49" s="25">
        <f t="shared" si="20"/>
        <v>-617266.69045722287</v>
      </c>
      <c r="H49" s="25">
        <f t="shared" si="20"/>
        <v>-635784.69117093948</v>
      </c>
      <c r="I49" s="25">
        <f t="shared" si="20"/>
        <v>-654858.23190606758</v>
      </c>
      <c r="J49" s="25">
        <f t="shared" si="20"/>
        <v>-674503.97886324965</v>
      </c>
      <c r="K49" s="26">
        <f t="shared" si="20"/>
        <v>-694739.09822914714</v>
      </c>
      <c r="M49" s="1483"/>
      <c r="N49" s="1484"/>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-36263</v>
      </c>
      <c r="C50" s="25">
        <f>IF(AND('Part VII-Pro Forma'!$G$8="Yes",'Part VII-Pro Forma'!$G$9="Yes"),"Choose One!",IF('Part VII-Pro Forma'!$G$8="Yes",ROUND((-$K$8*(1+'Part VII-Pro Forma'!$B$6)^('Part VII-Pro Forma'!C43-1)),),IF('Part VII-Pro Forma'!$G$9="Yes",ROUND((-(SUM(C44:C47)*'Part VII-Pro Forma'!$K$9)),),"Choose mgt fee")))</f>
        <v>-37078</v>
      </c>
      <c r="D50" s="25">
        <f>IF(AND('Part VII-Pro Forma'!$G$8="Yes",'Part VII-Pro Forma'!$G$9="Yes"),"Choose One!",IF('Part VII-Pro Forma'!$G$8="Yes",ROUND((-$K$8*(1+'Part VII-Pro Forma'!$B$6)^('Part VII-Pro Forma'!D43-1)),),IF('Part VII-Pro Forma'!$G$9="Yes",ROUND((-(SUM(D44:D47)*'Part VII-Pro Forma'!$K$9)),),"Choose mgt fee")))</f>
        <v>-37913</v>
      </c>
      <c r="E50" s="25">
        <f>IF(AND('Part VII-Pro Forma'!$G$8="Yes",'Part VII-Pro Forma'!$G$9="Yes"),"Choose One!",IF('Part VII-Pro Forma'!$G$8="Yes",ROUND((-$K$8*(1+'Part VII-Pro Forma'!$B$6)^('Part VII-Pro Forma'!E43-1)),),IF('Part VII-Pro Forma'!$G$9="Yes",ROUND((-(SUM(E44:E47)*'Part VII-Pro Forma'!$K$9)),),"Choose mgt fee")))</f>
        <v>-38767</v>
      </c>
      <c r="F50" s="25">
        <f>IF(AND('Part VII-Pro Forma'!$G$8="Yes",'Part VII-Pro Forma'!$G$9="Yes"),"Choose One!",IF('Part VII-Pro Forma'!$G$8="Yes",ROUND((-$K$8*(1+'Part VII-Pro Forma'!$B$6)^('Part VII-Pro Forma'!F43-1)),),IF('Part VII-Pro Forma'!$G$9="Yes",ROUND((-(SUM(F44:F47)*'Part VII-Pro Forma'!$K$9)),),"Choose mgt fee")))</f>
        <v>-39641</v>
      </c>
      <c r="G50" s="25">
        <f>IF(AND('Part VII-Pro Forma'!$G$8="Yes",'Part VII-Pro Forma'!$G$9="Yes"),"Choose One!",IF('Part VII-Pro Forma'!$G$8="Yes",ROUND((-$K$8*(1+'Part VII-Pro Forma'!$B$6)^('Part VII-Pro Forma'!G43-1)),),IF('Part VII-Pro Forma'!$G$9="Yes",ROUND((-(SUM(G44:G47)*'Part VII-Pro Forma'!$K$9)),),"Choose mgt fee")))</f>
        <v>-40536</v>
      </c>
      <c r="H50" s="25">
        <f>IF(AND('Part VII-Pro Forma'!$G$8="Yes",'Part VII-Pro Forma'!$G$9="Yes"),"Choose One!",IF('Part VII-Pro Forma'!$G$8="Yes",ROUND((-$K$8*(1+'Part VII-Pro Forma'!$B$6)^('Part VII-Pro Forma'!H43-1)),),IF('Part VII-Pro Forma'!$G$9="Yes",ROUND((-(SUM(H44:H47)*'Part VII-Pro Forma'!$K$9)),),"Choose mgt fee")))</f>
        <v>-41451</v>
      </c>
      <c r="I50" s="25">
        <f>IF(AND('Part VII-Pro Forma'!$G$8="Yes",'Part VII-Pro Forma'!$G$9="Yes"),"Choose One!",IF('Part VII-Pro Forma'!$G$8="Yes",ROUND((-$K$8*(1+'Part VII-Pro Forma'!$B$6)^('Part VII-Pro Forma'!I43-1)),),IF('Part VII-Pro Forma'!$G$9="Yes",ROUND((-(SUM(I44:I47)*'Part VII-Pro Forma'!$K$9)),),"Choose mgt fee")))</f>
        <v>-42388</v>
      </c>
      <c r="J50" s="25">
        <f>IF(AND('Part VII-Pro Forma'!$G$8="Yes",'Part VII-Pro Forma'!$G$9="Yes"),"Choose One!",IF('Part VII-Pro Forma'!$G$8="Yes",ROUND((-$K$8*(1+'Part VII-Pro Forma'!$B$6)^('Part VII-Pro Forma'!J43-1)),),IF('Part VII-Pro Forma'!$G$9="Yes",ROUND((-(SUM(J44:J47)*'Part VII-Pro Forma'!$K$9)),),"Choose mgt fee")))</f>
        <v>-43347</v>
      </c>
      <c r="K50" s="25">
        <f>IF(AND('Part VII-Pro Forma'!$G$8="Yes",'Part VII-Pro Forma'!$G$9="Yes"),"Choose One!",IF('Part VII-Pro Forma'!$G$8="Yes",ROUND((-$K$8*(1+'Part VII-Pro Forma'!$B$6)^('Part VII-Pro Forma'!K43-1)),),IF('Part VII-Pro Forma'!$G$9="Yes",ROUND((-(SUM(K44:K47)*'Part VII-Pro Forma'!$K$9)),),"Choose mgt fee")))</f>
        <v>-44328</v>
      </c>
      <c r="M50" s="1483"/>
      <c r="N50" s="1484"/>
    </row>
    <row r="51" spans="1:14" ht="13.15" customHeight="1">
      <c r="A51" s="24" t="s">
        <v>1739</v>
      </c>
      <c r="B51" s="25">
        <f t="shared" ref="B51:K51" si="21">$B$21*(1+$B$7)^(B43-1)</f>
        <v>-35613.78405261923</v>
      </c>
      <c r="C51" s="25">
        <f t="shared" si="21"/>
        <v>-36682.197574197802</v>
      </c>
      <c r="D51" s="25">
        <f t="shared" si="21"/>
        <v>-37782.663501423733</v>
      </c>
      <c r="E51" s="25">
        <f t="shared" si="21"/>
        <v>-38916.143406466443</v>
      </c>
      <c r="F51" s="25">
        <f t="shared" si="21"/>
        <v>-40083.627708660439</v>
      </c>
      <c r="G51" s="25">
        <f t="shared" si="21"/>
        <v>-41286.136539920255</v>
      </c>
      <c r="H51" s="25">
        <f t="shared" si="21"/>
        <v>-42524.720636117854</v>
      </c>
      <c r="I51" s="25">
        <f t="shared" si="21"/>
        <v>-43800.46225520139</v>
      </c>
      <c r="J51" s="25">
        <f t="shared" si="21"/>
        <v>-45114.476122857435</v>
      </c>
      <c r="K51" s="26">
        <f t="shared" si="21"/>
        <v>-46467.91040654316</v>
      </c>
      <c r="M51" s="1483"/>
      <c r="N51" s="1484"/>
    </row>
    <row r="52" spans="1:14" ht="13.15" customHeight="1">
      <c r="A52" s="24" t="s">
        <v>1740</v>
      </c>
      <c r="B52" s="25">
        <f t="shared" ref="B52:K52" si="22">SUM(B44:B51)</f>
        <v>120921.1561411993</v>
      </c>
      <c r="C52" s="25">
        <f t="shared" si="22"/>
        <v>119375.32834237404</v>
      </c>
      <c r="D52" s="25">
        <f t="shared" si="22"/>
        <v>117678.64865992329</v>
      </c>
      <c r="E52" s="25">
        <f t="shared" si="22"/>
        <v>115826.01299634404</v>
      </c>
      <c r="F52" s="25">
        <f t="shared" si="22"/>
        <v>113810.09056039003</v>
      </c>
      <c r="G52" s="25">
        <f t="shared" si="22"/>
        <v>111623.31619484033</v>
      </c>
      <c r="H52" s="25">
        <f t="shared" si="22"/>
        <v>109259.88245667738</v>
      </c>
      <c r="I52" s="25">
        <f t="shared" si="22"/>
        <v>106710.73144188922</v>
      </c>
      <c r="J52" s="25">
        <f t="shared" si="22"/>
        <v>103968.54634688747</v>
      </c>
      <c r="K52" s="26">
        <f t="shared" si="22"/>
        <v>101025.74275827048</v>
      </c>
      <c r="M52" s="1483"/>
      <c r="N52" s="1484"/>
    </row>
    <row r="53" spans="1:14" ht="13.15" customHeight="1">
      <c r="A53" s="24" t="str">
        <f>$A23</f>
        <v>Mortgage A</v>
      </c>
      <c r="B53" s="1591">
        <f>-B52*0.55</f>
        <v>-66506.635877659617</v>
      </c>
      <c r="C53" s="1591">
        <f t="shared" ref="C53" si="23">-C52*0.55</f>
        <v>-65656.430588305724</v>
      </c>
      <c r="D53" s="1591">
        <f t="shared" ref="D53" si="24">-D52*0.55</f>
        <v>-64723.256762957812</v>
      </c>
      <c r="E53" s="1591">
        <f t="shared" ref="E53" si="25">-E52*0.55</f>
        <v>-63704.307147989231</v>
      </c>
      <c r="F53" s="1591">
        <f t="shared" ref="F53" si="26">-F52*0.55</f>
        <v>-62595.54980821452</v>
      </c>
      <c r="G53" s="1591">
        <f t="shared" ref="G53" si="27">-G52*0.55</f>
        <v>-61392.823907162187</v>
      </c>
      <c r="H53" s="1591">
        <f t="shared" ref="H53" si="28">-H52*0.55</f>
        <v>-60092.935351172564</v>
      </c>
      <c r="I53" s="1591">
        <f t="shared" ref="I53" si="29">-I52*0.55</f>
        <v>-58690.902293039078</v>
      </c>
      <c r="J53" s="1591">
        <f t="shared" ref="J53" si="30">-J52*0.55</f>
        <v>-57182.700490788113</v>
      </c>
      <c r="K53" s="1591">
        <f t="shared" ref="K53" si="31">-K52*0.55</f>
        <v>-55564.158517048774</v>
      </c>
      <c r="M53" s="1483"/>
      <c r="N53" s="1484"/>
    </row>
    <row r="54" spans="1:14" ht="13.15" customHeight="1">
      <c r="A54" s="24" t="str">
        <f>$A24</f>
        <v>Mortgage B</v>
      </c>
      <c r="B54" s="1592">
        <f>IF('Part III A-Sources of Funds'!$M$33="", 0,-'Part III A-Sources of Funds'!$M$33)</f>
        <v>0</v>
      </c>
      <c r="C54" s="1592">
        <f>IF('Part III A-Sources of Funds'!$M$33="", 0,-'Part III A-Sources of Funds'!$M$33)</f>
        <v>0</v>
      </c>
      <c r="D54" s="1592">
        <f>IF('Part III A-Sources of Funds'!$M$33="", 0,-'Part III A-Sources of Funds'!$M$33)</f>
        <v>0</v>
      </c>
      <c r="E54" s="1592">
        <f>IF('Part III A-Sources of Funds'!$M$33="", 0,-'Part III A-Sources of Funds'!$M$33)</f>
        <v>0</v>
      </c>
      <c r="F54" s="1592">
        <f>IF('Part III A-Sources of Funds'!$M$33="", 0,-'Part III A-Sources of Funds'!$M$33)</f>
        <v>0</v>
      </c>
      <c r="G54" s="1592">
        <f>IF('Part III A-Sources of Funds'!$M$33="", 0,-'Part III A-Sources of Funds'!$M$33)</f>
        <v>0</v>
      </c>
      <c r="H54" s="1592">
        <f>IF('Part III A-Sources of Funds'!$M$33="", 0,-'Part III A-Sources of Funds'!$M$33)</f>
        <v>0</v>
      </c>
      <c r="I54" s="1592">
        <f>IF('Part III A-Sources of Funds'!$M$33="", 0,-'Part III A-Sources of Funds'!$M$33)</f>
        <v>0</v>
      </c>
      <c r="J54" s="1592">
        <f>IF('Part III A-Sources of Funds'!$M$33="", 0,-'Part III A-Sources of Funds'!$M$33)</f>
        <v>0</v>
      </c>
      <c r="K54" s="1592">
        <f>IF('Part III A-Sources of Funds'!$M$33="", 0,-'Part III A-Sources of Funds'!$M$33)</f>
        <v>0</v>
      </c>
      <c r="M54" s="1483"/>
      <c r="N54" s="1484"/>
    </row>
    <row r="55" spans="1:14" ht="13.15" customHeight="1">
      <c r="A55" s="24" t="str">
        <f>$A25</f>
        <v>Mortgage C</v>
      </c>
      <c r="B55" s="1592">
        <f>IF('Part III A-Sources of Funds'!$M$34="", 0,-'Part III A-Sources of Funds'!$M$34)</f>
        <v>0</v>
      </c>
      <c r="C55" s="1592">
        <f>IF('Part III A-Sources of Funds'!$M$34="", 0,-'Part III A-Sources of Funds'!$M$34)</f>
        <v>0</v>
      </c>
      <c r="D55" s="1592">
        <f>IF('Part III A-Sources of Funds'!$M$34="", 0,-'Part III A-Sources of Funds'!$M$34)</f>
        <v>0</v>
      </c>
      <c r="E55" s="1592">
        <f>IF('Part III A-Sources of Funds'!$M$34="", 0,-'Part III A-Sources of Funds'!$M$34)</f>
        <v>0</v>
      </c>
      <c r="F55" s="1592">
        <f>IF('Part III A-Sources of Funds'!$M$34="", 0,-'Part III A-Sources of Funds'!$M$34)</f>
        <v>0</v>
      </c>
      <c r="G55" s="1592">
        <f>IF('Part III A-Sources of Funds'!$M$34="", 0,-'Part III A-Sources of Funds'!$M$34)</f>
        <v>0</v>
      </c>
      <c r="H55" s="1592">
        <f>IF('Part III A-Sources of Funds'!$M$34="", 0,-'Part III A-Sources of Funds'!$M$34)</f>
        <v>0</v>
      </c>
      <c r="I55" s="1592">
        <f>IF('Part III A-Sources of Funds'!$M$34="", 0,-'Part III A-Sources of Funds'!$M$34)</f>
        <v>0</v>
      </c>
      <c r="J55" s="1592">
        <f>IF('Part III A-Sources of Funds'!$M$34="", 0,-'Part III A-Sources of Funds'!$M$34)</f>
        <v>0</v>
      </c>
      <c r="K55" s="1592">
        <f>IF('Part III A-Sources of Funds'!$M$34="", 0,-'Part III A-Sources of Funds'!$M$34)</f>
        <v>0</v>
      </c>
      <c r="M55" s="1483"/>
      <c r="N55" s="1484"/>
    </row>
    <row r="56" spans="1:14" ht="13.15" customHeight="1">
      <c r="A56" s="24" t="str">
        <f>$A26</f>
        <v>D/S Other Source</v>
      </c>
      <c r="B56" s="1592">
        <f>IF('Part III A-Sources of Funds'!$M$35="", 0,-'Part III A-Sources of Funds'!$M$35)</f>
        <v>0</v>
      </c>
      <c r="C56" s="1592">
        <f>IF('Part III A-Sources of Funds'!$M$35="", 0,-'Part III A-Sources of Funds'!$M$35)</f>
        <v>0</v>
      </c>
      <c r="D56" s="1592">
        <f>IF('Part III A-Sources of Funds'!$M$35="", 0,-'Part III A-Sources of Funds'!$M$35)</f>
        <v>0</v>
      </c>
      <c r="E56" s="1592">
        <f>IF('Part III A-Sources of Funds'!$M$35="", 0,-'Part III A-Sources of Funds'!$M$35)</f>
        <v>0</v>
      </c>
      <c r="F56" s="1592">
        <f>IF('Part III A-Sources of Funds'!$M$35="", 0,-'Part III A-Sources of Funds'!$M$35)</f>
        <v>0</v>
      </c>
      <c r="G56" s="1592">
        <f>IF('Part III A-Sources of Funds'!$M$35="", 0,-'Part III A-Sources of Funds'!$M$35)</f>
        <v>0</v>
      </c>
      <c r="H56" s="1592">
        <f>IF('Part III A-Sources of Funds'!$M$35="", 0,-'Part III A-Sources of Funds'!$M$35)</f>
        <v>0</v>
      </c>
      <c r="I56" s="1592">
        <f>IF('Part III A-Sources of Funds'!$M$35="", 0,-'Part III A-Sources of Funds'!$M$35)</f>
        <v>0</v>
      </c>
      <c r="J56" s="1592">
        <f>IF('Part III A-Sources of Funds'!$M$35="", 0,-'Part III A-Sources of Funds'!$M$35)</f>
        <v>0</v>
      </c>
      <c r="K56" s="1592">
        <f>IF('Part III A-Sources of Funds'!$M$35="", 0,-'Part III A-Sources of Funds'!$M$35)</f>
        <v>0</v>
      </c>
      <c r="M56" s="1483"/>
      <c r="N56" s="1484"/>
    </row>
    <row r="57" spans="1:14" ht="13.15" customHeight="1">
      <c r="A57" s="24" t="s">
        <v>1241</v>
      </c>
      <c r="B57" s="1593"/>
      <c r="C57" s="1593"/>
      <c r="D57" s="1593"/>
      <c r="E57" s="1593"/>
      <c r="F57" s="1593"/>
      <c r="G57" s="1593"/>
      <c r="H57" s="1593"/>
      <c r="I57" s="1593"/>
      <c r="J57" s="1593"/>
      <c r="K57" s="1593"/>
      <c r="M57" s="1483"/>
      <c r="N57" s="1484"/>
    </row>
    <row r="58" spans="1:14" ht="13.15" customHeight="1">
      <c r="A58" s="24" t="s">
        <v>1686</v>
      </c>
      <c r="B58" s="1592">
        <f>K28*1.03</f>
        <v>-9407.4146554088566</v>
      </c>
      <c r="C58" s="1592">
        <f>B58*1.03</f>
        <v>-9689.6370950711225</v>
      </c>
      <c r="D58" s="1592">
        <f t="shared" ref="D58:K58" si="32">C58*1.03</f>
        <v>-9980.3262079232572</v>
      </c>
      <c r="E58" s="1592">
        <f t="shared" si="32"/>
        <v>-10279.735994160956</v>
      </c>
      <c r="F58" s="1592">
        <f t="shared" si="32"/>
        <v>-10588.128073985785</v>
      </c>
      <c r="G58" s="1592">
        <f t="shared" si="32"/>
        <v>-10905.771916205358</v>
      </c>
      <c r="H58" s="1592">
        <f t="shared" si="32"/>
        <v>-11232.945073691519</v>
      </c>
      <c r="I58" s="1592">
        <f t="shared" si="32"/>
        <v>-11569.933425902265</v>
      </c>
      <c r="J58" s="1592">
        <f t="shared" si="32"/>
        <v>-11917.031428679333</v>
      </c>
      <c r="K58" s="1592">
        <f t="shared" si="32"/>
        <v>-12274.542371539714</v>
      </c>
      <c r="M58" s="1483"/>
      <c r="N58" s="1484"/>
    </row>
    <row r="59" spans="1:14" ht="13.15" customHeight="1">
      <c r="A59" s="24" t="s">
        <v>1741</v>
      </c>
      <c r="B59" s="1594">
        <f>IF('Part III A-Sources of Funds'!$M$37="", 0,-'Part III A-Sources of Funds'!$M$37)</f>
        <v>-8861.9230769230762</v>
      </c>
      <c r="C59" s="1594">
        <f>IF('Part III A-Sources of Funds'!$M$37="", 0,-'Part III A-Sources of Funds'!$M$37)</f>
        <v>-8861.9230769230762</v>
      </c>
      <c r="D59" s="1594">
        <f>IF('Part III A-Sources of Funds'!$M$37="", 0,-'Part III A-Sources of Funds'!$M$37)</f>
        <v>-8861.9230769230762</v>
      </c>
      <c r="E59" s="1594"/>
      <c r="F59" s="1594"/>
      <c r="G59" s="1594"/>
      <c r="H59" s="1594"/>
      <c r="I59" s="1594"/>
      <c r="J59" s="1594"/>
      <c r="K59" s="1592"/>
      <c r="M59" s="1483"/>
      <c r="N59" s="1484"/>
    </row>
    <row r="60" spans="1:14" ht="13.15" customHeight="1">
      <c r="A60" s="24" t="s">
        <v>1687</v>
      </c>
      <c r="B60" s="25">
        <f t="shared" ref="B60:K60" si="33">SUM(B52:B59)</f>
        <v>36145.182531207749</v>
      </c>
      <c r="C60" s="25">
        <f t="shared" si="33"/>
        <v>35167.337582074113</v>
      </c>
      <c r="D60" s="25">
        <f t="shared" si="33"/>
        <v>34113.14261211914</v>
      </c>
      <c r="E60" s="25">
        <f t="shared" si="33"/>
        <v>41841.969854193856</v>
      </c>
      <c r="F60" s="25">
        <f t="shared" si="33"/>
        <v>40626.412678189728</v>
      </c>
      <c r="G60" s="25">
        <f t="shared" si="33"/>
        <v>39324.72037147278</v>
      </c>
      <c r="H60" s="25">
        <f t="shared" si="33"/>
        <v>37934.002031813303</v>
      </c>
      <c r="I60" s="25">
        <f t="shared" si="33"/>
        <v>36449.895722947876</v>
      </c>
      <c r="J60" s="25">
        <f t="shared" si="33"/>
        <v>34868.814427420017</v>
      </c>
      <c r="K60" s="23">
        <f t="shared" si="33"/>
        <v>33187.041869681998</v>
      </c>
      <c r="M60" s="1483"/>
      <c r="N60" s="1484"/>
    </row>
    <row r="61" spans="1:14" ht="13.15" customHeight="1">
      <c r="A61" s="24" t="str">
        <f>$A31</f>
        <v>DCR Mortgage A</v>
      </c>
      <c r="B61" s="27">
        <f>IF(B53=0,"",-B52/B53)</f>
        <v>1.8181818181818181</v>
      </c>
      <c r="C61" s="27">
        <f t="shared" ref="C61:K61" si="34">IF(C53=0,"",-C52/C53)</f>
        <v>1.8181818181818181</v>
      </c>
      <c r="D61" s="27">
        <f t="shared" si="34"/>
        <v>1.8181818181818181</v>
      </c>
      <c r="E61" s="27">
        <f t="shared" si="34"/>
        <v>1.8181818181818179</v>
      </c>
      <c r="F61" s="27">
        <f t="shared" si="34"/>
        <v>1.8181818181818181</v>
      </c>
      <c r="G61" s="27">
        <f t="shared" si="34"/>
        <v>1.8181818181818179</v>
      </c>
      <c r="H61" s="27">
        <f t="shared" si="34"/>
        <v>1.8181818181818181</v>
      </c>
      <c r="I61" s="27">
        <f t="shared" si="34"/>
        <v>1.8181818181818179</v>
      </c>
      <c r="J61" s="27">
        <f t="shared" si="34"/>
        <v>1.8181818181818179</v>
      </c>
      <c r="K61" s="28">
        <f t="shared" si="34"/>
        <v>1.8181818181818179</v>
      </c>
      <c r="M61" s="1483"/>
      <c r="N61" s="1484"/>
    </row>
    <row r="62" spans="1:14" ht="13.15" customHeight="1">
      <c r="A62" s="24" t="str">
        <f>$A32</f>
        <v>DCR Mortgage B</v>
      </c>
      <c r="B62" s="27" t="str">
        <f>IF(OR(B54=0,AND(B54=0,B53=0)),"",-B52/(B53+B54))</f>
        <v/>
      </c>
      <c r="C62" s="27" t="str">
        <f t="shared" ref="C62:K62" si="35">IF(OR(C54=0,AND(C54=0,C53=0)),"",-C52/(C53+C54))</f>
        <v/>
      </c>
      <c r="D62" s="27" t="str">
        <f t="shared" si="35"/>
        <v/>
      </c>
      <c r="E62" s="27" t="str">
        <f t="shared" si="35"/>
        <v/>
      </c>
      <c r="F62" s="27" t="str">
        <f t="shared" si="35"/>
        <v/>
      </c>
      <c r="G62" s="27" t="str">
        <f t="shared" si="35"/>
        <v/>
      </c>
      <c r="H62" s="27" t="str">
        <f t="shared" si="35"/>
        <v/>
      </c>
      <c r="I62" s="27" t="str">
        <f t="shared" si="35"/>
        <v/>
      </c>
      <c r="J62" s="27" t="str">
        <f t="shared" si="35"/>
        <v/>
      </c>
      <c r="K62" s="28" t="str">
        <f t="shared" si="35"/>
        <v/>
      </c>
      <c r="M62" s="1483"/>
      <c r="N62" s="1484"/>
    </row>
    <row r="63" spans="1:14" ht="13.15" customHeight="1">
      <c r="A63" s="24" t="str">
        <f>$A33</f>
        <v>DCR Mortgage C</v>
      </c>
      <c r="B63" s="27" t="str">
        <f>IF(OR(B55=0,AND(B55=0,B54=0,B53=0)),"",-B52/(B53+B54+B55))</f>
        <v/>
      </c>
      <c r="C63" s="27" t="str">
        <f t="shared" ref="C63:K63" si="36">IF(OR(C55=0,AND(C55=0,C54=0,C53=0)),"",-C52/(C53+C54+C55))</f>
        <v/>
      </c>
      <c r="D63" s="27" t="str">
        <f t="shared" si="36"/>
        <v/>
      </c>
      <c r="E63" s="27" t="str">
        <f t="shared" si="36"/>
        <v/>
      </c>
      <c r="F63" s="27" t="str">
        <f t="shared" si="36"/>
        <v/>
      </c>
      <c r="G63" s="27" t="str">
        <f t="shared" si="36"/>
        <v/>
      </c>
      <c r="H63" s="27" t="str">
        <f t="shared" si="36"/>
        <v/>
      </c>
      <c r="I63" s="27" t="str">
        <f t="shared" si="36"/>
        <v/>
      </c>
      <c r="J63" s="27" t="str">
        <f t="shared" si="36"/>
        <v/>
      </c>
      <c r="K63" s="28" t="str">
        <f t="shared" si="36"/>
        <v/>
      </c>
      <c r="M63" s="1483"/>
      <c r="N63" s="1484"/>
    </row>
    <row r="64" spans="1:14" ht="13.15" customHeight="1">
      <c r="A64" s="24" t="str">
        <f>$A34</f>
        <v>DCR Other Source</v>
      </c>
      <c r="B64" s="27" t="str">
        <f>IF(OR(B56=0,AND(B53=0,B54=0,B55=0,B56=0)),"",-B52/(B53+B54+B55+B56))</f>
        <v/>
      </c>
      <c r="C64" s="27" t="str">
        <f t="shared" ref="C64:K64" si="37">IF(OR(C56=0,AND(C53=0,C54=0,C55=0,C56=0)),"",-C52/(C53+C54+C55+C56))</f>
        <v/>
      </c>
      <c r="D64" s="27" t="str">
        <f t="shared" si="37"/>
        <v/>
      </c>
      <c r="E64" s="27" t="str">
        <f t="shared" si="37"/>
        <v/>
      </c>
      <c r="F64" s="27" t="str">
        <f t="shared" si="37"/>
        <v/>
      </c>
      <c r="G64" s="27" t="str">
        <f t="shared" si="37"/>
        <v/>
      </c>
      <c r="H64" s="27" t="str">
        <f t="shared" si="37"/>
        <v/>
      </c>
      <c r="I64" s="27" t="str">
        <f t="shared" si="37"/>
        <v/>
      </c>
      <c r="J64" s="27" t="str">
        <f t="shared" si="37"/>
        <v/>
      </c>
      <c r="K64" s="28" t="str">
        <f t="shared" si="37"/>
        <v/>
      </c>
      <c r="M64" s="1483"/>
      <c r="N64" s="1484"/>
    </row>
    <row r="65" spans="1:14" ht="13.15" customHeight="1">
      <c r="A65" s="24" t="s">
        <v>1250</v>
      </c>
      <c r="B65" s="378">
        <f>IF(OR(B50="Choose mgt fee",B50="Choose One!"),"",(B44+B45+B46+B47+B48) / -(B49+B50+B51))</f>
        <v>1.2000891315278615</v>
      </c>
      <c r="C65" s="378">
        <f t="shared" ref="C65:K65" si="38">IF(OR(C50="Choose mgt fee",C50="Choose One!"),"",(C44+C45+C46+C47+C48) / -(C49+C50+C51))</f>
        <v>1.1918620142933933</v>
      </c>
      <c r="D65" s="378">
        <f t="shared" si="38"/>
        <v>1.1837057946573446</v>
      </c>
      <c r="E65" s="378">
        <f t="shared" si="38"/>
        <v>1.1756226956633169</v>
      </c>
      <c r="F65" s="378">
        <f t="shared" si="38"/>
        <v>1.16761114256973</v>
      </c>
      <c r="G65" s="378">
        <f t="shared" si="38"/>
        <v>1.1596697184738392</v>
      </c>
      <c r="H65" s="378">
        <f t="shared" si="38"/>
        <v>1.1518003500392102</v>
      </c>
      <c r="I65" s="378">
        <f t="shared" si="38"/>
        <v>1.144000010097429</v>
      </c>
      <c r="J65" s="378">
        <f t="shared" si="38"/>
        <v>1.1362690088619813</v>
      </c>
      <c r="K65" s="379">
        <f t="shared" si="38"/>
        <v>1.128607562549925</v>
      </c>
      <c r="M65" s="1483"/>
      <c r="N65" s="1484"/>
    </row>
    <row r="66" spans="1:14" ht="13.15" customHeight="1">
      <c r="A66" s="678" t="s">
        <v>3665</v>
      </c>
      <c r="B66" s="1595">
        <f>IF('Part III A-Sources of Funds'!$H$32="","",-FV('Part III A-Sources of Funds'!$J$32/12,12,B53/12,K36))</f>
        <v>1037442.5087276847</v>
      </c>
      <c r="C66" s="1595">
        <f>IF('Part III A-Sources of Funds'!$H$32="","",-FV('Part III A-Sources of Funds'!$J$32/12,12,C53/12,B66))</f>
        <v>971786.07813937904</v>
      </c>
      <c r="D66" s="1595">
        <f>IF('Part III A-Sources of Funds'!$H$32="","",-FV('Part III A-Sources of Funds'!$J$32/12,12,D53/12,C66))</f>
        <v>907062.82137642126</v>
      </c>
      <c r="E66" s="1595">
        <f>IF('Part III A-Sources of Funds'!$H$32="","",-FV('Part III A-Sources of Funds'!$J$32/12,12,E53/12,D66))</f>
        <v>843358.51422843197</v>
      </c>
      <c r="F66" s="1595">
        <f>IF('Part III A-Sources of Funds'!$H$32="","",-FV('Part III A-Sources of Funds'!$J$32/12,12,F53/12,E66))</f>
        <v>780762.96442021744</v>
      </c>
      <c r="G66" s="1595">
        <f>IF('Part III A-Sources of Funds'!$H$32="","",-FV('Part III A-Sources of Funds'!$J$32/12,12,G53/12,F66))</f>
        <v>719370.14051305526</v>
      </c>
      <c r="H66" s="1595">
        <f>IF('Part III A-Sources of Funds'!$H$32="","",-FV('Part III A-Sources of Funds'!$J$32/12,12,H53/12,G66))</f>
        <v>659277.20516188268</v>
      </c>
      <c r="I66" s="1595">
        <f>IF('Part III A-Sources of Funds'!$H$32="","",-FV('Part III A-Sources of Funds'!$J$32/12,12,I53/12,H66))</f>
        <v>600586.30286884354</v>
      </c>
      <c r="J66" s="1595">
        <f>IF('Part III A-Sources of Funds'!$H$32="","",-FV('Part III A-Sources of Funds'!$J$32/12,12,J53/12,I66))</f>
        <v>543403.60237805545</v>
      </c>
      <c r="K66" s="1595">
        <f>IF('Part III A-Sources of Funds'!$H$32="","",-FV('Part III A-Sources of Funds'!$J$32/12,12,K53/12,J66))</f>
        <v>487839.4438610067</v>
      </c>
      <c r="M66" s="1483"/>
      <c r="N66" s="1484"/>
    </row>
    <row r="67" spans="1:14" ht="13.15" customHeight="1">
      <c r="A67" s="678" t="s">
        <v>3666</v>
      </c>
      <c r="B67" s="1592" t="str">
        <f>IF('Part III A-Sources of Funds'!$H$33="","",-FV('Part III A-Sources of Funds'!$J$33/12,12,B54/12,K37))</f>
        <v/>
      </c>
      <c r="C67" s="1592" t="str">
        <f>IF('Part III A-Sources of Funds'!$H$33="","",-FV('Part III A-Sources of Funds'!$J$33/12,12,C54/12,B67))</f>
        <v/>
      </c>
      <c r="D67" s="1592" t="str">
        <f>IF('Part III A-Sources of Funds'!$H$33="","",-FV('Part III A-Sources of Funds'!$J$33/12,12,D54/12,C67))</f>
        <v/>
      </c>
      <c r="E67" s="1592" t="str">
        <f>IF('Part III A-Sources of Funds'!$H$33="","",-FV('Part III A-Sources of Funds'!$J$33/12,12,E54/12,D67))</f>
        <v/>
      </c>
      <c r="F67" s="1592" t="str">
        <f>IF('Part III A-Sources of Funds'!$H$33="","",-FV('Part III A-Sources of Funds'!$J$33/12,12,F54/12,E67))</f>
        <v/>
      </c>
      <c r="G67" s="1592" t="str">
        <f>IF('Part III A-Sources of Funds'!$H$33="","",-FV('Part III A-Sources of Funds'!$J$33/12,12,G54/12,F67))</f>
        <v/>
      </c>
      <c r="H67" s="1592" t="str">
        <f>IF('Part III A-Sources of Funds'!$H$33="","",-FV('Part III A-Sources of Funds'!$J$33/12,12,H54/12,G67))</f>
        <v/>
      </c>
      <c r="I67" s="1592" t="str">
        <f>IF('Part III A-Sources of Funds'!$H$33="","",-FV('Part III A-Sources of Funds'!$J$33/12,12,I54/12,H67))</f>
        <v/>
      </c>
      <c r="J67" s="1592" t="str">
        <f>IF('Part III A-Sources of Funds'!$H$33="","",-FV('Part III A-Sources of Funds'!$J$33/12,12,J54/12,I67))</f>
        <v/>
      </c>
      <c r="K67" s="1592" t="str">
        <f>IF('Part III A-Sources of Funds'!$H$33="","",-FV('Part III A-Sources of Funds'!$J$33/12,12,K54/12,J67))</f>
        <v/>
      </c>
      <c r="M67" s="1483"/>
      <c r="N67" s="1484"/>
    </row>
    <row r="68" spans="1:14" ht="13.15" customHeight="1">
      <c r="A68" s="678" t="s">
        <v>3667</v>
      </c>
      <c r="B68" s="1592" t="str">
        <f>IF('Part III A-Sources of Funds'!$H$34="","",-FV('Part III A-Sources of Funds'!$J$34/12,12,B55/12,K38))</f>
        <v/>
      </c>
      <c r="C68" s="1592" t="str">
        <f>IF('Part III A-Sources of Funds'!$H$34="","",-FV('Part III A-Sources of Funds'!$J$34/12,12,C55/12,B68))</f>
        <v/>
      </c>
      <c r="D68" s="1592" t="str">
        <f>IF('Part III A-Sources of Funds'!$H$34="","",-FV('Part III A-Sources of Funds'!$J$34/12,12,D55/12,C68))</f>
        <v/>
      </c>
      <c r="E68" s="1592" t="str">
        <f>IF('Part III A-Sources of Funds'!$H$34="","",-FV('Part III A-Sources of Funds'!$J$34/12,12,E55/12,D68))</f>
        <v/>
      </c>
      <c r="F68" s="1592" t="str">
        <f>IF('Part III A-Sources of Funds'!$H$34="","",-FV('Part III A-Sources of Funds'!$J$34/12,12,F55/12,E68))</f>
        <v/>
      </c>
      <c r="G68" s="1592" t="str">
        <f>IF('Part III A-Sources of Funds'!$H$34="","",-FV('Part III A-Sources of Funds'!$J$34/12,12,G55/12,F68))</f>
        <v/>
      </c>
      <c r="H68" s="1592" t="str">
        <f>IF('Part III A-Sources of Funds'!$H$34="","",-FV('Part III A-Sources of Funds'!$J$34/12,12,H55/12,G68))</f>
        <v/>
      </c>
      <c r="I68" s="1592" t="str">
        <f>IF('Part III A-Sources of Funds'!$H$34="","",-FV('Part III A-Sources of Funds'!$J$34/12,12,I55/12,H68))</f>
        <v/>
      </c>
      <c r="J68" s="1592" t="str">
        <f>IF('Part III A-Sources of Funds'!$H$34="","",-FV('Part III A-Sources of Funds'!$J$34/12,12,J55/12,I68))</f>
        <v/>
      </c>
      <c r="K68" s="1592" t="str">
        <f>IF('Part III A-Sources of Funds'!$H$34="","",-FV('Part III A-Sources of Funds'!$J$34/12,12,K55/12,J68))</f>
        <v/>
      </c>
      <c r="M68" s="1483"/>
      <c r="N68" s="1484"/>
    </row>
    <row r="69" spans="1:14" ht="13.15" customHeight="1">
      <c r="A69" s="24" t="s">
        <v>1268</v>
      </c>
      <c r="B69" s="1592" t="str">
        <f>IF('Part III A-Sources of Funds'!$H$35="","",-FV('Part III A-Sources of Funds'!$J$35/12,12,B56/12,K39))</f>
        <v/>
      </c>
      <c r="C69" s="1592" t="str">
        <f>IF('Part III A-Sources of Funds'!$H$35="","",-FV('Part III A-Sources of Funds'!$J$35/12,12,C56/12,B69))</f>
        <v/>
      </c>
      <c r="D69" s="1592" t="str">
        <f>IF('Part III A-Sources of Funds'!$H$35="","",-FV('Part III A-Sources of Funds'!$J$35/12,12,D56/12,C69))</f>
        <v/>
      </c>
      <c r="E69" s="1592" t="str">
        <f>IF('Part III A-Sources of Funds'!$H$35="","",-FV('Part III A-Sources of Funds'!$J$35/12,12,E56/12,D69))</f>
        <v/>
      </c>
      <c r="F69" s="1592" t="str">
        <f>IF('Part III A-Sources of Funds'!$H$35="","",-FV('Part III A-Sources of Funds'!$J$35/12,12,F56/12,E69))</f>
        <v/>
      </c>
      <c r="G69" s="1592" t="str">
        <f>IF('Part III A-Sources of Funds'!$H$35="","",-FV('Part III A-Sources of Funds'!$J$35/12,12,G56/12,F69))</f>
        <v/>
      </c>
      <c r="H69" s="1592" t="str">
        <f>IF('Part III A-Sources of Funds'!$H$35="","",-FV('Part III A-Sources of Funds'!$J$35/12,12,H56/12,G69))</f>
        <v/>
      </c>
      <c r="I69" s="1592" t="str">
        <f>IF('Part III A-Sources of Funds'!$H$35="","",-FV('Part III A-Sources of Funds'!$J$35/12,12,I56/12,H69))</f>
        <v/>
      </c>
      <c r="J69" s="1592" t="str">
        <f>IF('Part III A-Sources of Funds'!$H$35="","",-FV('Part III A-Sources of Funds'!$J$35/12,12,J56/12,I69))</f>
        <v/>
      </c>
      <c r="K69" s="1592" t="str">
        <f>IF('Part III A-Sources of Funds'!$H$35="","",-FV('Part III A-Sources of Funds'!$J$35/12,12,K56/12,J69))</f>
        <v/>
      </c>
      <c r="M69" s="1483"/>
      <c r="N69" s="1484"/>
    </row>
    <row r="70" spans="1:14" ht="13.15" customHeight="1">
      <c r="A70" s="678" t="s">
        <v>3650</v>
      </c>
      <c r="B70" s="1592">
        <f>'Part III A-Sources of Funds'!$H$36</f>
        <v>0</v>
      </c>
      <c r="C70" s="1592">
        <f>B70</f>
        <v>0</v>
      </c>
      <c r="D70" s="1592">
        <f t="shared" ref="D70:K70" si="39">C70</f>
        <v>0</v>
      </c>
      <c r="E70" s="1592">
        <f t="shared" si="39"/>
        <v>0</v>
      </c>
      <c r="F70" s="1592">
        <f t="shared" si="39"/>
        <v>0</v>
      </c>
      <c r="G70" s="1592">
        <f t="shared" si="39"/>
        <v>0</v>
      </c>
      <c r="H70" s="1592">
        <f t="shared" si="39"/>
        <v>0</v>
      </c>
      <c r="I70" s="1592">
        <f t="shared" si="39"/>
        <v>0</v>
      </c>
      <c r="J70" s="1592">
        <f t="shared" si="39"/>
        <v>0</v>
      </c>
      <c r="K70" s="1592">
        <f t="shared" si="39"/>
        <v>0</v>
      </c>
      <c r="M70" s="1483"/>
      <c r="N70" s="1484"/>
    </row>
    <row r="71" spans="1:14" ht="13.15" customHeight="1">
      <c r="A71" s="29" t="s">
        <v>1776</v>
      </c>
      <c r="B71" s="1594">
        <f>IF('Part III A-Sources of Funds'!$H$37="","",-FV('Part III A-Sources of Funds'!$J$37/12,12,B59/12,K41))</f>
        <v>17723.846153846142</v>
      </c>
      <c r="C71" s="1594">
        <f>IF('Part III A-Sources of Funds'!$H$37="","",-FV('Part III A-Sources of Funds'!$J$37/12,12,C59/12,B71))</f>
        <v>8861.9230769230653</v>
      </c>
      <c r="D71" s="1594">
        <f>IF('Part III A-Sources of Funds'!$H$37="","",-FV('Part III A-Sources of Funds'!$J$37/12,12,D59/12,C71))</f>
        <v>-1.0913936421275139E-11</v>
      </c>
      <c r="E71" s="1594">
        <f>IF('Part III A-Sources of Funds'!$H$37="","",-FV('Part III A-Sources of Funds'!$J$37/12,12,E59/12,D71))</f>
        <v>-1.0913936421275139E-11</v>
      </c>
      <c r="F71" s="1594">
        <f>IF('Part III A-Sources of Funds'!$H$37="","",-FV('Part III A-Sources of Funds'!$J$37/12,12,F59/12,E71))</f>
        <v>-1.0913936421275139E-11</v>
      </c>
      <c r="G71" s="1594">
        <f>IF('Part III A-Sources of Funds'!$H$37="","",-FV('Part III A-Sources of Funds'!$J$37/12,12,G59/12,F71))</f>
        <v>-1.0913936421275139E-11</v>
      </c>
      <c r="H71" s="1594">
        <f>IF('Part III A-Sources of Funds'!$H$37="","",-FV('Part III A-Sources of Funds'!$J$37/12,12,H59/12,G71))</f>
        <v>-1.0913936421275139E-11</v>
      </c>
      <c r="I71" s="1594">
        <f>IF('Part III A-Sources of Funds'!$H$37="","",-FV('Part III A-Sources of Funds'!$J$37/12,12,I59/12,H71))</f>
        <v>-1.0913936421275139E-11</v>
      </c>
      <c r="J71" s="1594">
        <f>IF('Part III A-Sources of Funds'!$H$37="","",-FV('Part III A-Sources of Funds'!$J$37/12,12,J59/12,I71))</f>
        <v>-1.0913936421275139E-11</v>
      </c>
      <c r="K71" s="1594">
        <f>IF('Part III A-Sources of Funds'!$H$37="","",-FV('Part III A-Sources of Funds'!$J$37/12,12,K59/12,J71))</f>
        <v>-1.0913936421275139E-11</v>
      </c>
      <c r="M71" s="1486"/>
      <c r="N71" s="1487"/>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40">B73+1</f>
        <v>22</v>
      </c>
      <c r="D73" s="18">
        <f t="shared" si="40"/>
        <v>23</v>
      </c>
      <c r="E73" s="18">
        <f t="shared" si="40"/>
        <v>24</v>
      </c>
      <c r="F73" s="18">
        <f t="shared" si="40"/>
        <v>25</v>
      </c>
      <c r="G73" s="18">
        <f t="shared" si="40"/>
        <v>26</v>
      </c>
      <c r="H73" s="18">
        <f t="shared" si="40"/>
        <v>27</v>
      </c>
      <c r="I73" s="18">
        <f t="shared" si="40"/>
        <v>28</v>
      </c>
      <c r="J73" s="18">
        <f t="shared" si="40"/>
        <v>29</v>
      </c>
      <c r="K73" s="18">
        <f t="shared" si="40"/>
        <v>30</v>
      </c>
      <c r="M73" s="976" t="s">
        <v>3672</v>
      </c>
      <c r="N73" s="976"/>
    </row>
    <row r="74" spans="1:14" ht="13.15" customHeight="1">
      <c r="A74" s="21" t="s">
        <v>3383</v>
      </c>
      <c r="B74" s="22">
        <f t="shared" ref="B74:K74" si="41">$B$14*(1+$B$5)^(B73-1)</f>
        <v>699881.2235058049</v>
      </c>
      <c r="C74" s="22">
        <f t="shared" si="41"/>
        <v>713878.84797592089</v>
      </c>
      <c r="D74" s="22">
        <f t="shared" si="41"/>
        <v>728156.42493543937</v>
      </c>
      <c r="E74" s="22">
        <f t="shared" si="41"/>
        <v>742719.55343414797</v>
      </c>
      <c r="F74" s="22">
        <f t="shared" si="41"/>
        <v>757573.94450283097</v>
      </c>
      <c r="G74" s="22">
        <f t="shared" si="41"/>
        <v>772725.42339288758</v>
      </c>
      <c r="H74" s="22">
        <f t="shared" si="41"/>
        <v>788179.93186074542</v>
      </c>
      <c r="I74" s="22">
        <f t="shared" si="41"/>
        <v>803943.53049796016</v>
      </c>
      <c r="J74" s="22">
        <f t="shared" si="41"/>
        <v>820022.40110791964</v>
      </c>
      <c r="K74" s="23">
        <f t="shared" si="41"/>
        <v>836422.84913007787</v>
      </c>
      <c r="M74" s="1481"/>
      <c r="N74" s="1482"/>
    </row>
    <row r="75" spans="1:14" ht="13.15" customHeight="1">
      <c r="A75" s="24" t="s">
        <v>1519</v>
      </c>
      <c r="B75" s="25">
        <f t="shared" ref="B75:K75" si="42">$B$15*(1+$B$5)^(B73-1)</f>
        <v>13997.624470116098</v>
      </c>
      <c r="C75" s="25">
        <f t="shared" si="42"/>
        <v>14277.576959518417</v>
      </c>
      <c r="D75" s="25">
        <f t="shared" si="42"/>
        <v>14563.128498708787</v>
      </c>
      <c r="E75" s="25">
        <f t="shared" si="42"/>
        <v>14854.39106868296</v>
      </c>
      <c r="F75" s="25">
        <f t="shared" si="42"/>
        <v>15151.47889005662</v>
      </c>
      <c r="G75" s="25">
        <f t="shared" si="42"/>
        <v>15454.508467857753</v>
      </c>
      <c r="H75" s="25">
        <f t="shared" si="42"/>
        <v>15763.598637214909</v>
      </c>
      <c r="I75" s="25">
        <f t="shared" si="42"/>
        <v>16078.870609959204</v>
      </c>
      <c r="J75" s="25">
        <f t="shared" si="42"/>
        <v>16400.448022158391</v>
      </c>
      <c r="K75" s="26">
        <f t="shared" si="42"/>
        <v>16728.456982601558</v>
      </c>
      <c r="M75" s="1483"/>
      <c r="N75" s="1484"/>
    </row>
    <row r="76" spans="1:14" ht="13.15" customHeight="1">
      <c r="A76" s="24" t="s">
        <v>3384</v>
      </c>
      <c r="B76" s="25">
        <f t="shared" ref="B76:K76" si="43">-(B74+B75)*$B$8</f>
        <v>-49971.519358314472</v>
      </c>
      <c r="C76" s="25">
        <f t="shared" si="43"/>
        <v>-50970.94974548075</v>
      </c>
      <c r="D76" s="25">
        <f t="shared" si="43"/>
        <v>-51990.368740390382</v>
      </c>
      <c r="E76" s="25">
        <f t="shared" si="43"/>
        <v>-53030.17611519817</v>
      </c>
      <c r="F76" s="25">
        <f t="shared" si="43"/>
        <v>-54090.779637502135</v>
      </c>
      <c r="G76" s="25">
        <f t="shared" si="43"/>
        <v>-55172.595230252176</v>
      </c>
      <c r="H76" s="25">
        <f t="shared" si="43"/>
        <v>-56276.047134857225</v>
      </c>
      <c r="I76" s="25">
        <f t="shared" si="43"/>
        <v>-57401.568077554366</v>
      </c>
      <c r="J76" s="25">
        <f t="shared" si="43"/>
        <v>-58549.599439105463</v>
      </c>
      <c r="K76" s="26">
        <f t="shared" si="43"/>
        <v>-59720.591427887564</v>
      </c>
      <c r="M76" s="1483"/>
      <c r="N76" s="1484"/>
    </row>
    <row r="77" spans="1:14" ht="13.15" customHeight="1">
      <c r="A77" s="24" t="s">
        <v>58</v>
      </c>
      <c r="B77" s="25">
        <f>'Part VI-Revenues &amp; Expenses'!G131</f>
        <v>242741.34993956928</v>
      </c>
      <c r="C77" s="25">
        <f>'Part VI-Revenues &amp; Expenses'!H131</f>
        <v>250023.59043775636</v>
      </c>
      <c r="D77" s="25">
        <f>'Part VI-Revenues &amp; Expenses'!I131</f>
        <v>257524.29815088905</v>
      </c>
      <c r="E77" s="25">
        <f>'Part VI-Revenues &amp; Expenses'!J131</f>
        <v>265250.02709541575</v>
      </c>
      <c r="F77" s="25">
        <f>'Part VI-Revenues &amp; Expenses'!K131</f>
        <v>273207.52790827822</v>
      </c>
      <c r="G77" s="25">
        <f>'Part VI-Revenues &amp; Expenses'!L131</f>
        <v>281403.7537455266</v>
      </c>
      <c r="H77" s="25">
        <f>'Part VI-Revenues &amp; Expenses'!M131</f>
        <v>289845.8663578924</v>
      </c>
      <c r="I77" s="25">
        <f>'Part VI-Revenues &amp; Expenses'!N131</f>
        <v>298541.24234862917</v>
      </c>
      <c r="J77" s="25">
        <f>'Part VI-Revenues &amp; Expenses'!O131</f>
        <v>307497.47961908806</v>
      </c>
      <c r="K77" s="26">
        <f>'Part VI-Revenues &amp; Expenses'!P131</f>
        <v>316722.40400766069</v>
      </c>
      <c r="M77" s="1483"/>
      <c r="N77" s="1484"/>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83"/>
      <c r="N78" s="1484"/>
    </row>
    <row r="79" spans="1:14" ht="13.15" customHeight="1">
      <c r="A79" s="24" t="s">
        <v>871</v>
      </c>
      <c r="B79" s="25">
        <f t="shared" ref="B79:K79" si="44">$B$19*(1+$B$6)^(B73-1)</f>
        <v>-715581.27117602155</v>
      </c>
      <c r="C79" s="25">
        <f t="shared" si="44"/>
        <v>-737048.70931130205</v>
      </c>
      <c r="D79" s="25">
        <f t="shared" si="44"/>
        <v>-759160.17059064121</v>
      </c>
      <c r="E79" s="25">
        <f t="shared" si="44"/>
        <v>-781934.97570836055</v>
      </c>
      <c r="F79" s="25">
        <f t="shared" si="44"/>
        <v>-805393.02497961116</v>
      </c>
      <c r="G79" s="25">
        <f t="shared" si="44"/>
        <v>-829554.81572899956</v>
      </c>
      <c r="H79" s="25">
        <f t="shared" si="44"/>
        <v>-854441.46020086959</v>
      </c>
      <c r="I79" s="25">
        <f t="shared" si="44"/>
        <v>-880074.70400689566</v>
      </c>
      <c r="J79" s="25">
        <f t="shared" si="44"/>
        <v>-906476.94512710243</v>
      </c>
      <c r="K79" s="26">
        <f t="shared" si="44"/>
        <v>-933671.25348091545</v>
      </c>
      <c r="M79" s="1483"/>
      <c r="N79" s="1484"/>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-45332</v>
      </c>
      <c r="C80" s="25">
        <f>IF(AND('Part VII-Pro Forma'!$G$8="Yes",'Part VII-Pro Forma'!$G$9="Yes"),"Choose One!",IF('Part VII-Pro Forma'!$G$8="Yes",ROUND((-$K$8*(1+'Part VII-Pro Forma'!$B$6)^('Part VII-Pro Forma'!C73-1)),),IF('Part VII-Pro Forma'!$G$9="Yes",ROUND((-(SUM(C74:C77)*'Part VII-Pro Forma'!$K$9)),),"Choose mgt fee")))</f>
        <v>-46360</v>
      </c>
      <c r="D80" s="25">
        <f>IF(AND('Part VII-Pro Forma'!$G$8="Yes",'Part VII-Pro Forma'!$G$9="Yes"),"Choose One!",IF('Part VII-Pro Forma'!$G$8="Yes",ROUND((-$K$8*(1+'Part VII-Pro Forma'!$B$6)^('Part VII-Pro Forma'!D73-1)),),IF('Part VII-Pro Forma'!$G$9="Yes",ROUND((-(SUM(D74:D77)*'Part VII-Pro Forma'!$K$9)),),"Choose mgt fee")))</f>
        <v>-47413</v>
      </c>
      <c r="E80" s="25">
        <f>IF(AND('Part VII-Pro Forma'!$G$8="Yes",'Part VII-Pro Forma'!$G$9="Yes"),"Choose One!",IF('Part VII-Pro Forma'!$G$8="Yes",ROUND((-$K$8*(1+'Part VII-Pro Forma'!$B$6)^('Part VII-Pro Forma'!E73-1)),),IF('Part VII-Pro Forma'!$G$9="Yes",ROUND((-(SUM(E74:E77)*'Part VII-Pro Forma'!$K$9)),),"Choose mgt fee")))</f>
        <v>-48490</v>
      </c>
      <c r="F80" s="25">
        <f>IF(AND('Part VII-Pro Forma'!$G$8="Yes",'Part VII-Pro Forma'!$G$9="Yes"),"Choose One!",IF('Part VII-Pro Forma'!$G$8="Yes",ROUND((-$K$8*(1+'Part VII-Pro Forma'!$B$6)^('Part VII-Pro Forma'!F73-1)),),IF('Part VII-Pro Forma'!$G$9="Yes",ROUND((-(SUM(F74:F77)*'Part VII-Pro Forma'!$K$9)),),"Choose mgt fee")))</f>
        <v>-49592</v>
      </c>
      <c r="G80" s="25">
        <f>IF(AND('Part VII-Pro Forma'!$G$8="Yes",'Part VII-Pro Forma'!$G$9="Yes"),"Choose One!",IF('Part VII-Pro Forma'!$G$8="Yes",ROUND((-$K$8*(1+'Part VII-Pro Forma'!$B$6)^('Part VII-Pro Forma'!G73-1)),),IF('Part VII-Pro Forma'!$G$9="Yes",ROUND((-(SUM(G74:G77)*'Part VII-Pro Forma'!$K$9)),),"Choose mgt fee")))</f>
        <v>-50721</v>
      </c>
      <c r="H80" s="25">
        <f>IF(AND('Part VII-Pro Forma'!$G$8="Yes",'Part VII-Pro Forma'!$G$9="Yes"),"Choose One!",IF('Part VII-Pro Forma'!$G$8="Yes",ROUND((-$K$8*(1+'Part VII-Pro Forma'!$B$6)^('Part VII-Pro Forma'!H73-1)),),IF('Part VII-Pro Forma'!$G$9="Yes",ROUND((-(SUM(H74:H77)*'Part VII-Pro Forma'!$K$9)),),"Choose mgt fee")))</f>
        <v>-51876</v>
      </c>
      <c r="I80" s="25">
        <f>IF(AND('Part VII-Pro Forma'!$G$8="Yes",'Part VII-Pro Forma'!$G$9="Yes"),"Choose One!",IF('Part VII-Pro Forma'!$G$8="Yes",ROUND((-$K$8*(1+'Part VII-Pro Forma'!$B$6)^('Part VII-Pro Forma'!I73-1)),),IF('Part VII-Pro Forma'!$G$9="Yes",ROUND((-(SUM(I74:I77)*'Part VII-Pro Forma'!$K$9)),),"Choose mgt fee")))</f>
        <v>-53058</v>
      </c>
      <c r="J80" s="25">
        <f>IF(AND('Part VII-Pro Forma'!$G$8="Yes",'Part VII-Pro Forma'!$G$9="Yes"),"Choose One!",IF('Part VII-Pro Forma'!$G$8="Yes",ROUND((-$K$8*(1+'Part VII-Pro Forma'!$B$6)^('Part VII-Pro Forma'!J73-1)),),IF('Part VII-Pro Forma'!$G$9="Yes",ROUND((-(SUM(J74:J77)*'Part VII-Pro Forma'!$K$9)),),"Choose mgt fee")))</f>
        <v>-54269</v>
      </c>
      <c r="K80" s="25">
        <f>IF(AND('Part VII-Pro Forma'!$G$8="Yes",'Part VII-Pro Forma'!$G$9="Yes"),"Choose One!",IF('Part VII-Pro Forma'!$G$8="Yes",ROUND((-$K$8*(1+'Part VII-Pro Forma'!$B$6)^('Part VII-Pro Forma'!K73-1)),),IF('Part VII-Pro Forma'!$G$9="Yes",ROUND((-(SUM(K74:K77)*'Part VII-Pro Forma'!$K$9)),),"Choose mgt fee")))</f>
        <v>-55508</v>
      </c>
      <c r="M80" s="1483"/>
      <c r="N80" s="1484"/>
    </row>
    <row r="81" spans="1:14" ht="13.15" customHeight="1">
      <c r="A81" s="24" t="s">
        <v>1739</v>
      </c>
      <c r="B81" s="25">
        <f t="shared" ref="B81:K81" si="45">$B$21*(1+$B$7)^(B73-1)</f>
        <v>-47861.947718739451</v>
      </c>
      <c r="C81" s="25">
        <f t="shared" si="45"/>
        <v>-49297.806150301629</v>
      </c>
      <c r="D81" s="25">
        <f t="shared" si="45"/>
        <v>-50776.740334810682</v>
      </c>
      <c r="E81" s="25">
        <f t="shared" si="45"/>
        <v>-52300.042544855009</v>
      </c>
      <c r="F81" s="25">
        <f t="shared" si="45"/>
        <v>-53869.043821200648</v>
      </c>
      <c r="G81" s="25">
        <f t="shared" si="45"/>
        <v>-55485.11513583667</v>
      </c>
      <c r="H81" s="25">
        <f t="shared" si="45"/>
        <v>-57149.668589911773</v>
      </c>
      <c r="I81" s="25">
        <f t="shared" si="45"/>
        <v>-58864.158647609118</v>
      </c>
      <c r="J81" s="25">
        <f t="shared" si="45"/>
        <v>-60630.083407037397</v>
      </c>
      <c r="K81" s="26">
        <f t="shared" si="45"/>
        <v>-62448.985909248513</v>
      </c>
      <c r="M81" s="1483"/>
      <c r="N81" s="1484"/>
    </row>
    <row r="82" spans="1:14" ht="13.15" customHeight="1">
      <c r="A82" s="24" t="s">
        <v>1740</v>
      </c>
      <c r="B82" s="25">
        <f t="shared" ref="B82:K82" si="46">SUM(B74:B81)</f>
        <v>97873.459662414796</v>
      </c>
      <c r="C82" s="25">
        <f t="shared" si="46"/>
        <v>94502.550166111178</v>
      </c>
      <c r="D82" s="25">
        <f t="shared" si="46"/>
        <v>90903.571919194888</v>
      </c>
      <c r="E82" s="25">
        <f t="shared" si="46"/>
        <v>87068.77722983298</v>
      </c>
      <c r="F82" s="25">
        <f t="shared" si="46"/>
        <v>82988.102862851782</v>
      </c>
      <c r="G82" s="25">
        <f t="shared" si="46"/>
        <v>78650.159511183476</v>
      </c>
      <c r="H82" s="25">
        <f t="shared" si="46"/>
        <v>74046.22093021404</v>
      </c>
      <c r="I82" s="25">
        <f t="shared" si="46"/>
        <v>69165.212724489451</v>
      </c>
      <c r="J82" s="25">
        <f t="shared" si="46"/>
        <v>63994.700775920792</v>
      </c>
      <c r="K82" s="26">
        <f t="shared" si="46"/>
        <v>58524.879302288595</v>
      </c>
      <c r="M82" s="1483"/>
      <c r="N82" s="1484"/>
    </row>
    <row r="83" spans="1:14" ht="13.15" customHeight="1">
      <c r="A83" s="24" t="str">
        <f>$A53</f>
        <v>Mortgage A</v>
      </c>
      <c r="B83" s="1591">
        <f>-B82*0.55</f>
        <v>-53830.402814328139</v>
      </c>
      <c r="C83" s="1591">
        <f t="shared" ref="C83" si="47">-C82*0.55</f>
        <v>-51976.402591361155</v>
      </c>
      <c r="D83" s="1591">
        <f t="shared" ref="D83" si="48">-D82*0.55</f>
        <v>-49996.964555557191</v>
      </c>
      <c r="E83" s="1591">
        <f t="shared" ref="E83" si="49">-E82*0.55</f>
        <v>-47887.827476408143</v>
      </c>
      <c r="F83" s="1591">
        <f t="shared" ref="F83" si="50">-F82*0.55</f>
        <v>-45643.456574568481</v>
      </c>
      <c r="G83" s="1591">
        <f t="shared" ref="G83" si="51">-G82*0.55</f>
        <v>-43257.587731150918</v>
      </c>
      <c r="H83" s="1591">
        <f t="shared" ref="H83" si="52">-H82*0.55</f>
        <v>-40725.421511617722</v>
      </c>
      <c r="I83" s="1591">
        <f t="shared" ref="I83" si="53">-I82*0.55</f>
        <v>-38040.866998469202</v>
      </c>
      <c r="J83" s="1591">
        <f t="shared" ref="J83" si="54">-J82*0.55</f>
        <v>-35197.085426756435</v>
      </c>
      <c r="K83" s="1591">
        <f t="shared" ref="K83" si="55">-K82*0.55</f>
        <v>-32188.683616258731</v>
      </c>
      <c r="M83" s="1483"/>
      <c r="N83" s="1484"/>
    </row>
    <row r="84" spans="1:14" ht="13.15" customHeight="1">
      <c r="A84" s="24" t="str">
        <f>$A54</f>
        <v>Mortgage B</v>
      </c>
      <c r="B84" s="1592">
        <f>IF('Part III A-Sources of Funds'!$M$33="", 0,-'Part III A-Sources of Funds'!$M$33)</f>
        <v>0</v>
      </c>
      <c r="C84" s="1592">
        <f>IF('Part III A-Sources of Funds'!$M$33="", 0,-'Part III A-Sources of Funds'!$M$33)</f>
        <v>0</v>
      </c>
      <c r="D84" s="1592">
        <f>IF('Part III A-Sources of Funds'!$M$33="", 0,-'Part III A-Sources of Funds'!$M$33)</f>
        <v>0</v>
      </c>
      <c r="E84" s="1592">
        <f>IF('Part III A-Sources of Funds'!$M$33="", 0,-'Part III A-Sources of Funds'!$M$33)</f>
        <v>0</v>
      </c>
      <c r="F84" s="1592">
        <f>IF('Part III A-Sources of Funds'!$M$33="", 0,-'Part III A-Sources of Funds'!$M$33)</f>
        <v>0</v>
      </c>
      <c r="G84" s="1592">
        <f>IF('Part III A-Sources of Funds'!$M$33="", 0,-'Part III A-Sources of Funds'!$M$33)</f>
        <v>0</v>
      </c>
      <c r="H84" s="1592">
        <f>IF('Part III A-Sources of Funds'!$M$33="", 0,-'Part III A-Sources of Funds'!$M$33)</f>
        <v>0</v>
      </c>
      <c r="I84" s="1592">
        <f>IF('Part III A-Sources of Funds'!$M$33="", 0,-'Part III A-Sources of Funds'!$M$33)</f>
        <v>0</v>
      </c>
      <c r="J84" s="1592">
        <f>IF('Part III A-Sources of Funds'!$M$33="", 0,-'Part III A-Sources of Funds'!$M$33)</f>
        <v>0</v>
      </c>
      <c r="K84" s="1592">
        <f>IF('Part III A-Sources of Funds'!$M$33="", 0,-'Part III A-Sources of Funds'!$M$33)</f>
        <v>0</v>
      </c>
      <c r="M84" s="1483"/>
      <c r="N84" s="1484"/>
    </row>
    <row r="85" spans="1:14" ht="13.15" customHeight="1">
      <c r="A85" s="24" t="str">
        <f>$A55</f>
        <v>Mortgage C</v>
      </c>
      <c r="B85" s="1592">
        <f>IF('Part III A-Sources of Funds'!$M$34="", 0,-'Part III A-Sources of Funds'!$M$34)</f>
        <v>0</v>
      </c>
      <c r="C85" s="1592">
        <f>IF('Part III A-Sources of Funds'!$M$34="", 0,-'Part III A-Sources of Funds'!$M$34)</f>
        <v>0</v>
      </c>
      <c r="D85" s="1592">
        <f>IF('Part III A-Sources of Funds'!$M$34="", 0,-'Part III A-Sources of Funds'!$M$34)</f>
        <v>0</v>
      </c>
      <c r="E85" s="1592">
        <f>IF('Part III A-Sources of Funds'!$M$34="", 0,-'Part III A-Sources of Funds'!$M$34)</f>
        <v>0</v>
      </c>
      <c r="F85" s="1592">
        <f>IF('Part III A-Sources of Funds'!$M$34="", 0,-'Part III A-Sources of Funds'!$M$34)</f>
        <v>0</v>
      </c>
      <c r="G85" s="1592">
        <f>IF('Part III A-Sources of Funds'!$M$34="", 0,-'Part III A-Sources of Funds'!$M$34)</f>
        <v>0</v>
      </c>
      <c r="H85" s="1592">
        <f>IF('Part III A-Sources of Funds'!$M$34="", 0,-'Part III A-Sources of Funds'!$M$34)</f>
        <v>0</v>
      </c>
      <c r="I85" s="1592">
        <f>IF('Part III A-Sources of Funds'!$M$34="", 0,-'Part III A-Sources of Funds'!$M$34)</f>
        <v>0</v>
      </c>
      <c r="J85" s="1592">
        <f>IF('Part III A-Sources of Funds'!$M$34="", 0,-'Part III A-Sources of Funds'!$M$34)</f>
        <v>0</v>
      </c>
      <c r="K85" s="1592">
        <f>IF('Part III A-Sources of Funds'!$M$34="", 0,-'Part III A-Sources of Funds'!$M$34)</f>
        <v>0</v>
      </c>
      <c r="M85" s="1483"/>
      <c r="N85" s="1484"/>
    </row>
    <row r="86" spans="1:14" ht="13.15" customHeight="1">
      <c r="A86" s="24" t="str">
        <f>$A56</f>
        <v>D/S Other Source</v>
      </c>
      <c r="B86" s="1592">
        <f>IF('Part III A-Sources of Funds'!$M$35="", 0,-'Part III A-Sources of Funds'!$M$35)</f>
        <v>0</v>
      </c>
      <c r="C86" s="1592">
        <f>IF('Part III A-Sources of Funds'!$M$35="", 0,-'Part III A-Sources of Funds'!$M$35)</f>
        <v>0</v>
      </c>
      <c r="D86" s="1592">
        <f>IF('Part III A-Sources of Funds'!$M$35="", 0,-'Part III A-Sources of Funds'!$M$35)</f>
        <v>0</v>
      </c>
      <c r="E86" s="1592">
        <f>IF('Part III A-Sources of Funds'!$M$35="", 0,-'Part III A-Sources of Funds'!$M$35)</f>
        <v>0</v>
      </c>
      <c r="F86" s="1592">
        <f>IF('Part III A-Sources of Funds'!$M$35="", 0,-'Part III A-Sources of Funds'!$M$35)</f>
        <v>0</v>
      </c>
      <c r="G86" s="1592">
        <f>IF('Part III A-Sources of Funds'!$M$35="", 0,-'Part III A-Sources of Funds'!$M$35)</f>
        <v>0</v>
      </c>
      <c r="H86" s="1592">
        <f>IF('Part III A-Sources of Funds'!$M$35="", 0,-'Part III A-Sources of Funds'!$M$35)</f>
        <v>0</v>
      </c>
      <c r="I86" s="1592">
        <f>IF('Part III A-Sources of Funds'!$M$35="", 0,-'Part III A-Sources of Funds'!$M$35)</f>
        <v>0</v>
      </c>
      <c r="J86" s="1592">
        <f>IF('Part III A-Sources of Funds'!$M$35="", 0,-'Part III A-Sources of Funds'!$M$35)</f>
        <v>0</v>
      </c>
      <c r="K86" s="1592">
        <f>IF('Part III A-Sources of Funds'!$M$35="", 0,-'Part III A-Sources of Funds'!$M$35)</f>
        <v>0</v>
      </c>
      <c r="M86" s="1483"/>
      <c r="N86" s="1484"/>
    </row>
    <row r="87" spans="1:14" ht="13.15" customHeight="1">
      <c r="A87" s="24" t="s">
        <v>1241</v>
      </c>
      <c r="B87" s="1593"/>
      <c r="C87" s="1593"/>
      <c r="D87" s="1593"/>
      <c r="E87" s="1593"/>
      <c r="F87" s="1593"/>
      <c r="G87" s="1593"/>
      <c r="H87" s="1593"/>
      <c r="I87" s="1593"/>
      <c r="J87" s="1593"/>
      <c r="K87" s="1593"/>
      <c r="M87" s="1483"/>
      <c r="N87" s="1484"/>
    </row>
    <row r="88" spans="1:14" ht="13.15" customHeight="1">
      <c r="A88" s="24" t="s">
        <v>1686</v>
      </c>
      <c r="B88" s="1592">
        <f>K58*1.03</f>
        <v>-12642.778642685906</v>
      </c>
      <c r="C88" s="1592">
        <f>B88*1.03</f>
        <v>-13022.062001966484</v>
      </c>
      <c r="D88" s="1592">
        <f t="shared" ref="D88:K88" si="56">C88*1.03</f>
        <v>-13412.723862025479</v>
      </c>
      <c r="E88" s="1592">
        <f t="shared" si="56"/>
        <v>-13815.105577886245</v>
      </c>
      <c r="F88" s="1592">
        <f t="shared" si="56"/>
        <v>-14229.558745222832</v>
      </c>
      <c r="G88" s="1592">
        <f t="shared" si="56"/>
        <v>-14656.445507579518</v>
      </c>
      <c r="H88" s="1592">
        <f t="shared" si="56"/>
        <v>-15096.138872806903</v>
      </c>
      <c r="I88" s="1592">
        <f t="shared" si="56"/>
        <v>-15549.02303899111</v>
      </c>
      <c r="J88" s="1592">
        <f t="shared" si="56"/>
        <v>-16015.493730160844</v>
      </c>
      <c r="K88" s="1592">
        <f t="shared" si="56"/>
        <v>-16495.958542065669</v>
      </c>
      <c r="M88" s="1483"/>
      <c r="N88" s="1484"/>
    </row>
    <row r="89" spans="1:14" ht="13.15" customHeight="1">
      <c r="A89" s="24" t="s">
        <v>1741</v>
      </c>
      <c r="B89" s="1594"/>
      <c r="C89" s="1594"/>
      <c r="D89" s="1594"/>
      <c r="E89" s="1594"/>
      <c r="F89" s="1594"/>
      <c r="G89" s="1594"/>
      <c r="H89" s="1594"/>
      <c r="I89" s="1594"/>
      <c r="J89" s="1594"/>
      <c r="K89" s="1592"/>
      <c r="M89" s="1483"/>
      <c r="N89" s="1484"/>
    </row>
    <row r="90" spans="1:14" ht="13.15" customHeight="1">
      <c r="A90" s="24" t="s">
        <v>1687</v>
      </c>
      <c r="B90" s="25">
        <f t="shared" ref="B90:K90" si="57">SUM(B82:B89)</f>
        <v>31400.278205400751</v>
      </c>
      <c r="C90" s="25">
        <f t="shared" si="57"/>
        <v>29504.085572783537</v>
      </c>
      <c r="D90" s="25">
        <f t="shared" si="57"/>
        <v>27493.883501612218</v>
      </c>
      <c r="E90" s="25">
        <f t="shared" si="57"/>
        <v>25365.844175538594</v>
      </c>
      <c r="F90" s="25">
        <f t="shared" si="57"/>
        <v>23115.087543060468</v>
      </c>
      <c r="G90" s="25">
        <f t="shared" si="57"/>
        <v>20736.126272453039</v>
      </c>
      <c r="H90" s="25">
        <f t="shared" si="57"/>
        <v>18224.660545789415</v>
      </c>
      <c r="I90" s="25">
        <f t="shared" si="57"/>
        <v>15575.322687029138</v>
      </c>
      <c r="J90" s="25">
        <f t="shared" si="57"/>
        <v>12782.121619003512</v>
      </c>
      <c r="K90" s="23">
        <f t="shared" si="57"/>
        <v>9840.2371439641938</v>
      </c>
      <c r="M90" s="1483"/>
      <c r="N90" s="1484"/>
    </row>
    <row r="91" spans="1:14" ht="13.15" customHeight="1">
      <c r="A91" s="24" t="str">
        <f>$A61</f>
        <v>DCR Mortgage A</v>
      </c>
      <c r="B91" s="27">
        <f>IF(B83=0,"",-B82/B83)</f>
        <v>1.8181818181818181</v>
      </c>
      <c r="C91" s="27">
        <f t="shared" ref="C91:K91" si="58">IF(C83=0,"",-C82/C83)</f>
        <v>1.8181818181818179</v>
      </c>
      <c r="D91" s="27">
        <f t="shared" si="58"/>
        <v>1.8181818181818181</v>
      </c>
      <c r="E91" s="27">
        <f t="shared" si="58"/>
        <v>1.8181818181818181</v>
      </c>
      <c r="F91" s="27">
        <f t="shared" si="58"/>
        <v>1.8181818181818181</v>
      </c>
      <c r="G91" s="27">
        <f t="shared" si="58"/>
        <v>1.8181818181818179</v>
      </c>
      <c r="H91" s="27">
        <f t="shared" si="58"/>
        <v>1.8181818181818181</v>
      </c>
      <c r="I91" s="27">
        <f t="shared" si="58"/>
        <v>1.8181818181818179</v>
      </c>
      <c r="J91" s="27">
        <f t="shared" si="58"/>
        <v>1.8181818181818181</v>
      </c>
      <c r="K91" s="28">
        <f t="shared" si="58"/>
        <v>1.8181818181818179</v>
      </c>
      <c r="M91" s="1483"/>
      <c r="N91" s="1484"/>
    </row>
    <row r="92" spans="1:14" ht="13.15" customHeight="1">
      <c r="A92" s="24" t="str">
        <f>$A62</f>
        <v>DCR Mortgage B</v>
      </c>
      <c r="B92" s="27" t="str">
        <f>IF(OR(B84=0,AND(B84=0,B83=0)),"",-B82/(B83+B84))</f>
        <v/>
      </c>
      <c r="C92" s="27" t="str">
        <f t="shared" ref="C92:K92" si="59">IF(OR(C84=0,AND(C84=0,C83=0)),"",-C82/(C83+C84))</f>
        <v/>
      </c>
      <c r="D92" s="27" t="str">
        <f t="shared" si="59"/>
        <v/>
      </c>
      <c r="E92" s="27" t="str">
        <f t="shared" si="59"/>
        <v/>
      </c>
      <c r="F92" s="27" t="str">
        <f t="shared" si="59"/>
        <v/>
      </c>
      <c r="G92" s="27" t="str">
        <f t="shared" si="59"/>
        <v/>
      </c>
      <c r="H92" s="27" t="str">
        <f t="shared" si="59"/>
        <v/>
      </c>
      <c r="I92" s="27" t="str">
        <f t="shared" si="59"/>
        <v/>
      </c>
      <c r="J92" s="27" t="str">
        <f t="shared" si="59"/>
        <v/>
      </c>
      <c r="K92" s="28" t="str">
        <f t="shared" si="59"/>
        <v/>
      </c>
      <c r="M92" s="1483"/>
      <c r="N92" s="1484"/>
    </row>
    <row r="93" spans="1:14" ht="13.15" customHeight="1">
      <c r="A93" s="24" t="str">
        <f>$A63</f>
        <v>DCR Mortgage C</v>
      </c>
      <c r="B93" s="27" t="str">
        <f>IF(OR(B85=0,AND(B85=0,B84=0,B83=0)),"",-B82/(B83+B84+B85))</f>
        <v/>
      </c>
      <c r="C93" s="27" t="str">
        <f t="shared" ref="C93:K93" si="60">IF(OR(C85=0,AND(C85=0,C84=0,C83=0)),"",-C82/(C83+C84+C85))</f>
        <v/>
      </c>
      <c r="D93" s="27" t="str">
        <f t="shared" si="60"/>
        <v/>
      </c>
      <c r="E93" s="27" t="str">
        <f t="shared" si="60"/>
        <v/>
      </c>
      <c r="F93" s="27" t="str">
        <f t="shared" si="60"/>
        <v/>
      </c>
      <c r="G93" s="27" t="str">
        <f t="shared" si="60"/>
        <v/>
      </c>
      <c r="H93" s="27" t="str">
        <f t="shared" si="60"/>
        <v/>
      </c>
      <c r="I93" s="27" t="str">
        <f t="shared" si="60"/>
        <v/>
      </c>
      <c r="J93" s="27" t="str">
        <f t="shared" si="60"/>
        <v/>
      </c>
      <c r="K93" s="28" t="str">
        <f t="shared" si="60"/>
        <v/>
      </c>
      <c r="M93" s="1483"/>
      <c r="N93" s="1484"/>
    </row>
    <row r="94" spans="1:14" ht="13.15" customHeight="1">
      <c r="A94" s="24" t="str">
        <f>$A64</f>
        <v>DCR Other Source</v>
      </c>
      <c r="B94" s="27" t="str">
        <f>IF(OR(B86=0,AND(B83=0,B84=0,B85=0,B86=0)),"",-B82/(B83+B84+B85+B86))</f>
        <v/>
      </c>
      <c r="C94" s="27" t="str">
        <f t="shared" ref="C94:K94" si="61">IF(OR(C86=0,AND(C83=0,C84=0,C85=0,C86=0)),"",-C82/(C83+C84+C85+C86))</f>
        <v/>
      </c>
      <c r="D94" s="27" t="str">
        <f t="shared" si="61"/>
        <v/>
      </c>
      <c r="E94" s="27" t="str">
        <f t="shared" si="61"/>
        <v/>
      </c>
      <c r="F94" s="27" t="str">
        <f t="shared" si="61"/>
        <v/>
      </c>
      <c r="G94" s="27" t="str">
        <f t="shared" si="61"/>
        <v/>
      </c>
      <c r="H94" s="27" t="str">
        <f t="shared" si="61"/>
        <v/>
      </c>
      <c r="I94" s="27" t="str">
        <f t="shared" si="61"/>
        <v/>
      </c>
      <c r="J94" s="27" t="str">
        <f t="shared" si="61"/>
        <v/>
      </c>
      <c r="K94" s="28" t="str">
        <f t="shared" si="61"/>
        <v/>
      </c>
      <c r="M94" s="1483"/>
      <c r="N94" s="1484"/>
    </row>
    <row r="95" spans="1:14" ht="13.15" customHeight="1">
      <c r="A95" s="24" t="s">
        <v>1250</v>
      </c>
      <c r="B95" s="378">
        <f>IF(OR(B80="Choose mgt fee",B80="Choose One!"),"",(B74+B75+B76+B77+B78) / -(B79+B80+B81))</f>
        <v>1.1210144146060319</v>
      </c>
      <c r="C95" s="378">
        <f t="shared" ref="C95:K95" si="62">IF(OR(C80="Choose mgt fee",C80="Choose One!"),"",(C74+C75+C76+C77+C78) / -(C79+C80+C81))</f>
        <v>1.1134884240862755</v>
      </c>
      <c r="D95" s="378">
        <f t="shared" si="62"/>
        <v>1.1060285546901971</v>
      </c>
      <c r="E95" s="378">
        <f t="shared" si="62"/>
        <v>1.0986363538241268</v>
      </c>
      <c r="F95" s="378">
        <f t="shared" si="62"/>
        <v>1.0913107018075525</v>
      </c>
      <c r="G95" s="378">
        <f t="shared" si="62"/>
        <v>1.0840494157396532</v>
      </c>
      <c r="H95" s="378">
        <f t="shared" si="62"/>
        <v>1.0768539151129601</v>
      </c>
      <c r="I95" s="378">
        <f t="shared" si="62"/>
        <v>1.0697232172079747</v>
      </c>
      <c r="J95" s="378">
        <f t="shared" si="62"/>
        <v>1.0626553776357615</v>
      </c>
      <c r="K95" s="379">
        <f t="shared" si="62"/>
        <v>1.0556516809934917</v>
      </c>
      <c r="M95" s="1483"/>
      <c r="N95" s="1484"/>
    </row>
    <row r="96" spans="1:14" ht="13.15" customHeight="1">
      <c r="A96" s="678" t="s">
        <v>3665</v>
      </c>
      <c r="B96" s="1595">
        <f>IF('Part III A-Sources of Funds'!$H$32="","",-FV('Part III A-Sources of Funds'!$J$32/12,12,B83/12,K66))</f>
        <v>434009.04104667855</v>
      </c>
      <c r="C96" s="1595">
        <f>IF('Part III A-Sources of Funds'!$H$32="","",-FV('Part III A-Sources of Funds'!$J$32/12,12,C83/12,B96))</f>
        <v>382032.63845531741</v>
      </c>
      <c r="D96" s="1595">
        <f>IF('Part III A-Sources of Funds'!$H$32="","",-FV('Part III A-Sources of Funds'!$J$32/12,12,D83/12,C96))</f>
        <v>332035.67389976024</v>
      </c>
      <c r="E96" s="1595">
        <f>IF('Part III A-Sources of Funds'!$H$32="","",-FV('Part III A-Sources of Funds'!$J$32/12,12,E83/12,D96))</f>
        <v>284147.84642335208</v>
      </c>
      <c r="F96" s="1595">
        <f>IF('Part III A-Sources of Funds'!$H$32="","",-FV('Part III A-Sources of Funds'!$J$32/12,12,F83/12,E96))</f>
        <v>238504.38984878361</v>
      </c>
      <c r="G96" s="1595">
        <f>IF('Part III A-Sources of Funds'!$H$32="","",-FV('Part III A-Sources of Funds'!$J$32/12,12,G83/12,F96))</f>
        <v>195246.8021176327</v>
      </c>
      <c r="H96" s="1595">
        <f>IF('Part III A-Sources of Funds'!$H$32="","",-FV('Part III A-Sources of Funds'!$J$32/12,12,H83/12,G96))</f>
        <v>154521.38060601498</v>
      </c>
      <c r="I96" s="1595">
        <f>IF('Part III A-Sources of Funds'!$H$32="","",-FV('Part III A-Sources of Funds'!$J$32/12,12,I83/12,H96))</f>
        <v>116480.51360754578</v>
      </c>
      <c r="J96" s="1595">
        <f>IF('Part III A-Sources of Funds'!$H$32="","",-FV('Part III A-Sources of Funds'!$J$32/12,12,J83/12,I96))</f>
        <v>81283.428180789342</v>
      </c>
      <c r="K96" s="1595">
        <f>IF('Part III A-Sources of Funds'!$H$32="","",-FV('Part III A-Sources of Funds'!$J$32/12,12,K83/12,J96))</f>
        <v>49094.744564530614</v>
      </c>
      <c r="M96" s="1483"/>
      <c r="N96" s="1484"/>
    </row>
    <row r="97" spans="1:14" ht="13.15" customHeight="1">
      <c r="A97" s="678" t="s">
        <v>3666</v>
      </c>
      <c r="B97" s="1592" t="str">
        <f>IF('Part III A-Sources of Funds'!$H$33="","",-FV('Part III A-Sources of Funds'!$J$33/12,12,B84/12,K67))</f>
        <v/>
      </c>
      <c r="C97" s="1592" t="str">
        <f>IF('Part III A-Sources of Funds'!$H$33="","",-FV('Part III A-Sources of Funds'!$J$33/12,12,C84/12,B97))</f>
        <v/>
      </c>
      <c r="D97" s="1592" t="str">
        <f>IF('Part III A-Sources of Funds'!$H$33="","",-FV('Part III A-Sources of Funds'!$J$33/12,12,D84/12,C97))</f>
        <v/>
      </c>
      <c r="E97" s="1592" t="str">
        <f>IF('Part III A-Sources of Funds'!$H$33="","",-FV('Part III A-Sources of Funds'!$J$33/12,12,E84/12,D97))</f>
        <v/>
      </c>
      <c r="F97" s="1592" t="str">
        <f>IF('Part III A-Sources of Funds'!$H$33="","",-FV('Part III A-Sources of Funds'!$J$33/12,12,F84/12,E97))</f>
        <v/>
      </c>
      <c r="G97" s="1592" t="str">
        <f>IF('Part III A-Sources of Funds'!$H$33="","",-FV('Part III A-Sources of Funds'!$J$33/12,12,G84/12,F97))</f>
        <v/>
      </c>
      <c r="H97" s="1592" t="str">
        <f>IF('Part III A-Sources of Funds'!$H$33="","",-FV('Part III A-Sources of Funds'!$J$33/12,12,H84/12,G97))</f>
        <v/>
      </c>
      <c r="I97" s="1592" t="str">
        <f>IF('Part III A-Sources of Funds'!$H$33="","",-FV('Part III A-Sources of Funds'!$J$33/12,12,I84/12,H97))</f>
        <v/>
      </c>
      <c r="J97" s="1592" t="str">
        <f>IF('Part III A-Sources of Funds'!$H$33="","",-FV('Part III A-Sources of Funds'!$J$33/12,12,J84/12,I97))</f>
        <v/>
      </c>
      <c r="K97" s="1592" t="str">
        <f>IF('Part III A-Sources of Funds'!$H$33="","",-FV('Part III A-Sources of Funds'!$J$33/12,12,K84/12,J97))</f>
        <v/>
      </c>
      <c r="M97" s="1483"/>
      <c r="N97" s="1484"/>
    </row>
    <row r="98" spans="1:14" ht="13.15" customHeight="1">
      <c r="A98" s="678" t="s">
        <v>3667</v>
      </c>
      <c r="B98" s="1592" t="str">
        <f>IF('Part III A-Sources of Funds'!$H$34="","",-FV('Part III A-Sources of Funds'!$J$34/12,12,B85/12,K68))</f>
        <v/>
      </c>
      <c r="C98" s="1592" t="str">
        <f>IF('Part III A-Sources of Funds'!$H$34="","",-FV('Part III A-Sources of Funds'!$J$34/12,12,C85/12,B98))</f>
        <v/>
      </c>
      <c r="D98" s="1592" t="str">
        <f>IF('Part III A-Sources of Funds'!$H$34="","",-FV('Part III A-Sources of Funds'!$J$34/12,12,D85/12,C98))</f>
        <v/>
      </c>
      <c r="E98" s="1592" t="str">
        <f>IF('Part III A-Sources of Funds'!$H$34="","",-FV('Part III A-Sources of Funds'!$J$34/12,12,E85/12,D98))</f>
        <v/>
      </c>
      <c r="F98" s="1592" t="str">
        <f>IF('Part III A-Sources of Funds'!$H$34="","",-FV('Part III A-Sources of Funds'!$J$34/12,12,F85/12,E98))</f>
        <v/>
      </c>
      <c r="G98" s="1592" t="str">
        <f>IF('Part III A-Sources of Funds'!$H$34="","",-FV('Part III A-Sources of Funds'!$J$34/12,12,G85/12,F98))</f>
        <v/>
      </c>
      <c r="H98" s="1592" t="str">
        <f>IF('Part III A-Sources of Funds'!$H$34="","",-FV('Part III A-Sources of Funds'!$J$34/12,12,H85/12,G98))</f>
        <v/>
      </c>
      <c r="I98" s="1592" t="str">
        <f>IF('Part III A-Sources of Funds'!$H$34="","",-FV('Part III A-Sources of Funds'!$J$34/12,12,I85/12,H98))</f>
        <v/>
      </c>
      <c r="J98" s="1592" t="str">
        <f>IF('Part III A-Sources of Funds'!$H$34="","",-FV('Part III A-Sources of Funds'!$J$34/12,12,J85/12,I98))</f>
        <v/>
      </c>
      <c r="K98" s="1592" t="str">
        <f>IF('Part III A-Sources of Funds'!$H$34="","",-FV('Part III A-Sources of Funds'!$J$34/12,12,K85/12,J98))</f>
        <v/>
      </c>
      <c r="M98" s="1483"/>
      <c r="N98" s="1484"/>
    </row>
    <row r="99" spans="1:14" ht="13.15" customHeight="1">
      <c r="A99" s="24" t="s">
        <v>1268</v>
      </c>
      <c r="B99" s="1592" t="str">
        <f>IF('Part III A-Sources of Funds'!$H$35="","",-FV('Part III A-Sources of Funds'!$J$35/12,12,B86/12,K69))</f>
        <v/>
      </c>
      <c r="C99" s="1592" t="str">
        <f>IF('Part III A-Sources of Funds'!$H$35="","",-FV('Part III A-Sources of Funds'!$J$35/12,12,C86/12,B99))</f>
        <v/>
      </c>
      <c r="D99" s="1592" t="str">
        <f>IF('Part III A-Sources of Funds'!$H$35="","",-FV('Part III A-Sources of Funds'!$J$35/12,12,D86/12,C99))</f>
        <v/>
      </c>
      <c r="E99" s="1592" t="str">
        <f>IF('Part III A-Sources of Funds'!$H$35="","",-FV('Part III A-Sources of Funds'!$J$35/12,12,E86/12,D99))</f>
        <v/>
      </c>
      <c r="F99" s="1592" t="str">
        <f>IF('Part III A-Sources of Funds'!$H$35="","",-FV('Part III A-Sources of Funds'!$J$35/12,12,F86/12,E99))</f>
        <v/>
      </c>
      <c r="G99" s="1592" t="str">
        <f>IF('Part III A-Sources of Funds'!$H$35="","",-FV('Part III A-Sources of Funds'!$J$35/12,12,G86/12,F99))</f>
        <v/>
      </c>
      <c r="H99" s="1592" t="str">
        <f>IF('Part III A-Sources of Funds'!$H$35="","",-FV('Part III A-Sources of Funds'!$J$35/12,12,H86/12,G99))</f>
        <v/>
      </c>
      <c r="I99" s="1592" t="str">
        <f>IF('Part III A-Sources of Funds'!$H$35="","",-FV('Part III A-Sources of Funds'!$J$35/12,12,I86/12,H99))</f>
        <v/>
      </c>
      <c r="J99" s="1592" t="str">
        <f>IF('Part III A-Sources of Funds'!$H$35="","",-FV('Part III A-Sources of Funds'!$J$35/12,12,J86/12,I99))</f>
        <v/>
      </c>
      <c r="K99" s="1592" t="str">
        <f>IF('Part III A-Sources of Funds'!$H$35="","",-FV('Part III A-Sources of Funds'!$J$35/12,12,K86/12,J99))</f>
        <v/>
      </c>
      <c r="M99" s="1483"/>
      <c r="N99" s="1484"/>
    </row>
    <row r="100" spans="1:14" ht="13.15" customHeight="1">
      <c r="A100" s="678" t="s">
        <v>3650</v>
      </c>
      <c r="B100" s="1592">
        <f>'Part III A-Sources of Funds'!$H$36</f>
        <v>0</v>
      </c>
      <c r="C100" s="1592">
        <f>B100</f>
        <v>0</v>
      </c>
      <c r="D100" s="1592">
        <f t="shared" ref="D100:K100" si="63">C100</f>
        <v>0</v>
      </c>
      <c r="E100" s="1592">
        <f t="shared" si="63"/>
        <v>0</v>
      </c>
      <c r="F100" s="1592">
        <f t="shared" si="63"/>
        <v>0</v>
      </c>
      <c r="G100" s="1592">
        <f t="shared" si="63"/>
        <v>0</v>
      </c>
      <c r="H100" s="1592">
        <f t="shared" si="63"/>
        <v>0</v>
      </c>
      <c r="I100" s="1592">
        <f t="shared" si="63"/>
        <v>0</v>
      </c>
      <c r="J100" s="1592">
        <f t="shared" si="63"/>
        <v>0</v>
      </c>
      <c r="K100" s="1592">
        <f t="shared" si="63"/>
        <v>0</v>
      </c>
      <c r="M100" s="1483"/>
      <c r="N100" s="1484"/>
    </row>
    <row r="101" spans="1:14" ht="13.15" customHeight="1">
      <c r="A101" s="29" t="s">
        <v>1776</v>
      </c>
      <c r="B101" s="1594">
        <f>IF('Part III A-Sources of Funds'!$H$37="","",-FV('Part III A-Sources of Funds'!$J$37/12,12,B89/12,K71))</f>
        <v>-1.0913936421275139E-11</v>
      </c>
      <c r="C101" s="1594">
        <f>IF('Part III A-Sources of Funds'!$H$37="","",-FV('Part III A-Sources of Funds'!$J$37/12,12,C89/12,B101))</f>
        <v>-1.0913936421275139E-11</v>
      </c>
      <c r="D101" s="1594">
        <f>IF('Part III A-Sources of Funds'!$H$37="","",-FV('Part III A-Sources of Funds'!$J$37/12,12,D89/12,C101))</f>
        <v>-1.0913936421275139E-11</v>
      </c>
      <c r="E101" s="1594">
        <f>IF('Part III A-Sources of Funds'!$H$37="","",-FV('Part III A-Sources of Funds'!$J$37/12,12,E89/12,D101))</f>
        <v>-1.0913936421275139E-11</v>
      </c>
      <c r="F101" s="1594">
        <f>IF('Part III A-Sources of Funds'!$H$37="","",-FV('Part III A-Sources of Funds'!$J$37/12,12,F89/12,E101))</f>
        <v>-1.0913936421275139E-11</v>
      </c>
      <c r="G101" s="1594">
        <f>IF('Part III A-Sources of Funds'!$H$37="","",-FV('Part III A-Sources of Funds'!$J$37/12,12,G89/12,F101))</f>
        <v>-1.0913936421275139E-11</v>
      </c>
      <c r="H101" s="1594">
        <f>IF('Part III A-Sources of Funds'!$H$37="","",-FV('Part III A-Sources of Funds'!$J$37/12,12,H89/12,G101))</f>
        <v>-1.0913936421275139E-11</v>
      </c>
      <c r="I101" s="1594">
        <f>IF('Part III A-Sources of Funds'!$H$37="","",-FV('Part III A-Sources of Funds'!$J$37/12,12,I89/12,H101))</f>
        <v>-1.0913936421275139E-11</v>
      </c>
      <c r="J101" s="1594">
        <f>IF('Part III A-Sources of Funds'!$H$37="","",-FV('Part III A-Sources of Funds'!$J$37/12,12,J89/12,I101))</f>
        <v>-1.0913936421275139E-11</v>
      </c>
      <c r="K101" s="1594">
        <f>IF('Part III A-Sources of Funds'!$H$37="","",-FV('Part III A-Sources of Funds'!$J$37/12,12,K89/12,J101))</f>
        <v>-1.0913936421275139E-11</v>
      </c>
      <c r="M101" s="1486"/>
      <c r="N101" s="1487"/>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5"/>
      <c r="B106" s="1596"/>
      <c r="C106" s="1596"/>
      <c r="D106" s="1596"/>
      <c r="E106" s="1596"/>
      <c r="F106" s="1597"/>
      <c r="G106" s="1368"/>
      <c r="H106" s="1596"/>
      <c r="I106" s="1596"/>
      <c r="J106" s="1596"/>
      <c r="K106" s="1597"/>
      <c r="M106" s="987" t="s">
        <v>3965</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6"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rintOptions horizontalCentered="1"/>
  <pageMargins left="0.25" right="0.25" top="0.55000000000000004" bottom="0.38" header="0.25" footer="0.19"/>
  <pageSetup scale="96"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77" zoomScaleNormal="77"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2012-019 Walton Oaks Family 2, Augusta, Richmond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2710</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2912</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2899</v>
      </c>
      <c r="B15" s="1141"/>
      <c r="C15" s="1141"/>
      <c r="D15" s="1141"/>
      <c r="E15" s="1141"/>
      <c r="F15" s="1141"/>
      <c r="G15" s="1141"/>
      <c r="H15" s="1141"/>
      <c r="I15" s="1141"/>
      <c r="J15" s="1141"/>
      <c r="K15" s="1141"/>
      <c r="L15" s="1141"/>
      <c r="M15" s="1141"/>
      <c r="N15" s="1141"/>
      <c r="O15" s="1141"/>
      <c r="P15" s="1141"/>
      <c r="Q15" s="1142"/>
      <c r="R15" s="886" t="s">
        <v>2912</v>
      </c>
      <c r="S15" s="886"/>
    </row>
    <row r="16" spans="1:32" ht="24.6" customHeight="1">
      <c r="A16" s="1140" t="s">
        <v>2900</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2901</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2902</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2903</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2904</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2905</v>
      </c>
      <c r="B21" s="1141"/>
      <c r="C21" s="1141"/>
      <c r="D21" s="1141"/>
      <c r="E21" s="1141"/>
      <c r="F21" s="1141"/>
      <c r="G21" s="1141"/>
      <c r="H21" s="1141"/>
      <c r="I21" s="1141"/>
      <c r="J21" s="1141"/>
      <c r="K21" s="1141"/>
      <c r="L21" s="1141"/>
      <c r="M21" s="1141"/>
      <c r="N21" s="1141"/>
      <c r="O21" s="1141"/>
      <c r="P21" s="1141"/>
      <c r="Q21" s="1142"/>
    </row>
    <row r="22" spans="1:19" ht="24.6" customHeight="1">
      <c r="A22" s="1140" t="s">
        <v>2906</v>
      </c>
      <c r="B22" s="1141"/>
      <c r="C22" s="1141"/>
      <c r="D22" s="1141"/>
      <c r="E22" s="1141"/>
      <c r="F22" s="1141"/>
      <c r="G22" s="1141"/>
      <c r="H22" s="1141"/>
      <c r="I22" s="1141"/>
      <c r="J22" s="1141"/>
      <c r="K22" s="1141"/>
      <c r="L22" s="1141"/>
      <c r="M22" s="1141"/>
      <c r="N22" s="1141"/>
      <c r="O22" s="1141"/>
      <c r="P22" s="1141"/>
      <c r="Q22" s="1142"/>
      <c r="R22" s="886" t="s">
        <v>2912</v>
      </c>
      <c r="S22" s="886"/>
    </row>
    <row r="23" spans="1:19" ht="24.6" customHeight="1">
      <c r="A23" s="1140" t="s">
        <v>2907</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2908</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2909</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2910</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2911</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3789</v>
      </c>
      <c r="C29" s="179"/>
      <c r="D29" s="115"/>
      <c r="E29" s="115"/>
      <c r="F29" s="115"/>
      <c r="G29" s="115"/>
      <c r="I29" s="180"/>
      <c r="J29" s="180"/>
      <c r="K29" s="180"/>
      <c r="L29" s="848"/>
      <c r="M29" s="848"/>
      <c r="O29" s="181" t="s">
        <v>2739</v>
      </c>
      <c r="P29" s="1114"/>
      <c r="Q29" s="1119"/>
    </row>
    <row r="30" spans="1:19" ht="3" customHeight="1"/>
    <row r="31" spans="1:19" ht="12" customHeight="1">
      <c r="B31" s="192" t="s">
        <v>2862</v>
      </c>
      <c r="C31" s="62" t="s">
        <v>3867</v>
      </c>
      <c r="E31" s="38"/>
      <c r="F31" s="38"/>
      <c r="G31" s="38"/>
      <c r="H31" s="38"/>
      <c r="I31" s="50"/>
      <c r="J31" s="40"/>
      <c r="K31" s="50"/>
      <c r="L31" s="40"/>
      <c r="M31" s="40"/>
      <c r="O31" s="79" t="s">
        <v>849</v>
      </c>
      <c r="P31" s="1598" t="s">
        <v>3976</v>
      </c>
      <c r="Q31" s="232"/>
    </row>
    <row r="32" spans="1:19" ht="12" customHeight="1">
      <c r="B32" s="55" t="s">
        <v>2865</v>
      </c>
      <c r="C32" s="62" t="s">
        <v>994</v>
      </c>
      <c r="E32" s="38"/>
      <c r="F32" s="38"/>
      <c r="G32" s="38"/>
      <c r="H32" s="38"/>
      <c r="J32" s="1599" t="s">
        <v>3049</v>
      </c>
      <c r="K32" s="1600"/>
      <c r="L32" s="1600"/>
      <c r="M32" s="1600"/>
      <c r="N32" s="1601"/>
      <c r="O32" s="79"/>
      <c r="P32" s="79"/>
      <c r="Q32" s="79"/>
    </row>
    <row r="33" spans="1:31" ht="11.25" customHeight="1">
      <c r="B33" s="80" t="s">
        <v>2737</v>
      </c>
      <c r="C33" s="80"/>
      <c r="D33" s="80"/>
      <c r="E33" s="80"/>
      <c r="F33" s="80"/>
      <c r="G33" s="180"/>
      <c r="H33" s="180"/>
      <c r="I33" s="180"/>
      <c r="J33" s="180"/>
      <c r="K33" s="848"/>
      <c r="L33" s="848"/>
      <c r="M33" s="848"/>
      <c r="N33" s="848"/>
      <c r="O33" s="848"/>
      <c r="P33" s="60"/>
      <c r="S33" s="215"/>
      <c r="T33" s="215"/>
    </row>
    <row r="34" spans="1:31" ht="12" customHeight="1">
      <c r="A34" s="1602"/>
      <c r="B34" s="1603"/>
      <c r="C34" s="1603"/>
      <c r="D34" s="1603"/>
      <c r="E34" s="1603"/>
      <c r="F34" s="1603"/>
      <c r="G34" s="1603"/>
      <c r="H34" s="1603"/>
      <c r="I34" s="1603"/>
      <c r="J34" s="1603"/>
      <c r="K34" s="1603"/>
      <c r="L34" s="1603"/>
      <c r="M34" s="1603"/>
      <c r="N34" s="1603"/>
      <c r="O34" s="1603"/>
      <c r="P34" s="1603"/>
      <c r="Q34" s="1604"/>
      <c r="R34" s="736" t="s">
        <v>1806</v>
      </c>
      <c r="S34" s="737"/>
      <c r="T34" s="215"/>
      <c r="U34" s="186"/>
      <c r="V34" s="186"/>
      <c r="W34" s="186"/>
      <c r="X34" s="186"/>
      <c r="Y34" s="186"/>
      <c r="Z34" s="186"/>
      <c r="AA34" s="186"/>
      <c r="AB34" s="186"/>
      <c r="AC34" s="186"/>
      <c r="AD34" s="186"/>
      <c r="AE34" s="805"/>
    </row>
    <row r="35" spans="1:31" ht="11.25" customHeight="1">
      <c r="B35" s="187" t="s">
        <v>2738</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2739</v>
      </c>
      <c r="P41" s="1114"/>
      <c r="Q41" s="1119"/>
    </row>
    <row r="42" spans="1:31" ht="3" customHeight="1"/>
    <row r="43" spans="1:31" ht="11.45" customHeight="1">
      <c r="A43" s="189"/>
      <c r="C43" s="190" t="s">
        <v>108</v>
      </c>
      <c r="D43" s="190"/>
      <c r="E43" s="190"/>
      <c r="F43" s="190"/>
      <c r="G43" s="190"/>
      <c r="H43" s="190"/>
      <c r="J43" s="1605" t="str">
        <f>'Part I-Project Information'!$H$65</f>
        <v>Family</v>
      </c>
      <c r="K43" s="1606"/>
      <c r="L43" s="1607"/>
      <c r="M43" s="856"/>
      <c r="N43" s="856"/>
      <c r="P43" s="1598" t="s">
        <v>3975</v>
      </c>
      <c r="Q43" s="232"/>
    </row>
    <row r="44" spans="1:31" ht="11.25" customHeight="1">
      <c r="B44" s="127" t="s">
        <v>2737</v>
      </c>
      <c r="D44" s="127"/>
      <c r="E44" s="127"/>
      <c r="F44" s="127"/>
      <c r="G44" s="127"/>
      <c r="H44" s="48"/>
      <c r="I44" s="180"/>
      <c r="J44" s="180"/>
      <c r="K44" s="187" t="s">
        <v>2738</v>
      </c>
      <c r="L44" s="848"/>
      <c r="M44" s="848"/>
      <c r="N44" s="848"/>
      <c r="O44" s="848"/>
      <c r="P44" s="848"/>
      <c r="Q44" s="60"/>
    </row>
    <row r="45" spans="1:31" ht="11.45" customHeight="1">
      <c r="A45" s="1602"/>
      <c r="B45" s="1603"/>
      <c r="C45" s="1603"/>
      <c r="D45" s="1603"/>
      <c r="E45" s="1603"/>
      <c r="F45" s="1603"/>
      <c r="G45" s="1603"/>
      <c r="H45" s="1603"/>
      <c r="I45" s="1603"/>
      <c r="J45" s="1604"/>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3790</v>
      </c>
      <c r="C47" s="154"/>
      <c r="D47" s="856"/>
      <c r="E47" s="856"/>
      <c r="F47" s="856"/>
      <c r="G47" s="856"/>
      <c r="H47" s="856"/>
      <c r="I47" s="856"/>
      <c r="J47" s="856"/>
      <c r="K47" s="856"/>
      <c r="L47" s="856"/>
      <c r="M47" s="856"/>
      <c r="O47" s="181" t="s">
        <v>2739</v>
      </c>
      <c r="P47" s="1114"/>
      <c r="Q47" s="1119"/>
    </row>
    <row r="48" spans="1:31" ht="3" customHeight="1"/>
    <row r="49" spans="1:31" ht="12.6" customHeight="1">
      <c r="B49" s="192" t="s">
        <v>2862</v>
      </c>
      <c r="C49" s="1146" t="s">
        <v>373</v>
      </c>
      <c r="D49" s="1146"/>
      <c r="E49" s="1146"/>
      <c r="F49" s="1146"/>
      <c r="G49" s="1146"/>
      <c r="H49" s="1146"/>
      <c r="I49" s="1146"/>
      <c r="J49" s="1146"/>
      <c r="K49" s="1146"/>
      <c r="L49" s="1146"/>
      <c r="M49" s="1146"/>
      <c r="O49" s="193"/>
      <c r="P49" s="1598" t="s">
        <v>4043</v>
      </c>
      <c r="Q49" s="232"/>
    </row>
    <row r="50" spans="1:31" ht="12" customHeight="1">
      <c r="B50" s="55" t="s">
        <v>2865</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98" t="s">
        <v>3975</v>
      </c>
      <c r="Q51" s="232"/>
    </row>
    <row r="52" spans="1:31" ht="10.9" customHeight="1">
      <c r="A52" s="194"/>
      <c r="B52" s="50"/>
      <c r="C52" s="79" t="s">
        <v>2591</v>
      </c>
      <c r="D52" s="38" t="s">
        <v>2669</v>
      </c>
      <c r="E52" s="853"/>
      <c r="F52" s="853"/>
      <c r="G52" s="853"/>
      <c r="H52" s="40"/>
      <c r="I52" s="50"/>
      <c r="J52" s="50"/>
      <c r="O52" s="79" t="s">
        <v>2591</v>
      </c>
      <c r="P52" s="1598"/>
      <c r="Q52" s="232"/>
    </row>
    <row r="53" spans="1:31" ht="10.9" customHeight="1">
      <c r="A53" s="194"/>
      <c r="B53" s="50"/>
      <c r="C53" s="79" t="s">
        <v>2592</v>
      </c>
      <c r="D53" s="38" t="s">
        <v>374</v>
      </c>
      <c r="E53" s="853"/>
      <c r="J53" s="79"/>
      <c r="K53" s="79" t="s">
        <v>2592</v>
      </c>
      <c r="L53" s="1608"/>
      <c r="M53" s="1609"/>
      <c r="N53" s="1609"/>
      <c r="O53" s="1609"/>
      <c r="P53" s="1610"/>
      <c r="Q53" s="232"/>
    </row>
    <row r="54" spans="1:31" ht="11.25" customHeight="1">
      <c r="B54" s="127" t="s">
        <v>2737</v>
      </c>
      <c r="D54" s="127"/>
      <c r="E54" s="127"/>
      <c r="F54" s="127"/>
      <c r="G54" s="127"/>
      <c r="H54" s="48"/>
      <c r="I54" s="180"/>
      <c r="J54" s="180"/>
      <c r="K54" s="180"/>
      <c r="L54" s="848"/>
      <c r="M54" s="848"/>
      <c r="N54" s="848"/>
      <c r="O54" s="848"/>
      <c r="P54" s="848"/>
      <c r="Q54" s="60"/>
    </row>
    <row r="55" spans="1:31" ht="12" customHeight="1">
      <c r="A55" s="1602"/>
      <c r="B55" s="1603"/>
      <c r="C55" s="1603"/>
      <c r="D55" s="1603"/>
      <c r="E55" s="1603"/>
      <c r="F55" s="1603"/>
      <c r="G55" s="1603"/>
      <c r="H55" s="1603"/>
      <c r="I55" s="1603"/>
      <c r="J55" s="1603"/>
      <c r="K55" s="1603"/>
      <c r="L55" s="1603"/>
      <c r="M55" s="1603"/>
      <c r="N55" s="1603"/>
      <c r="O55" s="1603"/>
      <c r="P55" s="1603"/>
      <c r="Q55" s="1604"/>
      <c r="U55" s="186"/>
      <c r="V55" s="186"/>
      <c r="W55" s="186"/>
      <c r="X55" s="186"/>
      <c r="Y55" s="186"/>
      <c r="Z55" s="186"/>
      <c r="AA55" s="186"/>
      <c r="AB55" s="186"/>
      <c r="AC55" s="186"/>
      <c r="AD55" s="186"/>
      <c r="AE55" s="805"/>
    </row>
    <row r="56" spans="1:31" ht="11.25" customHeight="1">
      <c r="B56" s="187" t="s">
        <v>2738</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3791</v>
      </c>
      <c r="C59" s="857"/>
      <c r="D59" s="856"/>
      <c r="E59" s="856"/>
      <c r="F59" s="856"/>
      <c r="G59" s="856"/>
      <c r="H59" s="856"/>
      <c r="I59" s="856"/>
      <c r="J59" s="856"/>
      <c r="K59" s="856"/>
      <c r="O59" s="181" t="s">
        <v>2739</v>
      </c>
      <c r="P59" s="1114"/>
      <c r="Q59" s="1119"/>
    </row>
    <row r="60" spans="1:31" ht="3" customHeight="1"/>
    <row r="61" spans="1:31" ht="12" customHeight="1">
      <c r="B61" s="55" t="s">
        <v>2862</v>
      </c>
      <c r="C61" s="195" t="s">
        <v>3461</v>
      </c>
      <c r="D61" s="183"/>
      <c r="E61" s="183"/>
      <c r="F61" s="183"/>
      <c r="G61" s="183"/>
      <c r="H61" s="183"/>
      <c r="I61" s="50"/>
      <c r="J61" s="50"/>
      <c r="K61" s="50"/>
      <c r="L61" s="803" t="s">
        <v>2862</v>
      </c>
      <c r="M61" s="1608" t="s">
        <v>4078</v>
      </c>
      <c r="N61" s="1609"/>
      <c r="O61" s="1609"/>
      <c r="P61" s="1611"/>
      <c r="Q61" s="232"/>
    </row>
    <row r="62" spans="1:31" ht="12" customHeight="1">
      <c r="B62" s="55" t="s">
        <v>2865</v>
      </c>
      <c r="C62" s="62" t="s">
        <v>2918</v>
      </c>
      <c r="D62" s="183"/>
      <c r="E62" s="183"/>
      <c r="F62" s="183"/>
      <c r="L62" s="803" t="s">
        <v>2865</v>
      </c>
      <c r="M62" s="1608" t="s">
        <v>4084</v>
      </c>
      <c r="N62" s="1609"/>
      <c r="O62" s="1609"/>
      <c r="P62" s="1611"/>
      <c r="Q62" s="232"/>
    </row>
    <row r="63" spans="1:31" ht="12" customHeight="1">
      <c r="B63" s="55" t="s">
        <v>1145</v>
      </c>
      <c r="C63" s="62" t="s">
        <v>3462</v>
      </c>
      <c r="D63" s="183"/>
      <c r="E63" s="183"/>
      <c r="F63" s="183"/>
      <c r="L63" s="803" t="s">
        <v>1145</v>
      </c>
      <c r="M63" s="1608" t="s">
        <v>4084</v>
      </c>
      <c r="N63" s="1609"/>
      <c r="O63" s="1609"/>
      <c r="P63" s="1611"/>
      <c r="Q63" s="352"/>
    </row>
    <row r="64" spans="1:31" ht="12" customHeight="1">
      <c r="B64" s="55" t="s">
        <v>3004</v>
      </c>
      <c r="C64" s="62" t="s">
        <v>3463</v>
      </c>
      <c r="D64" s="183"/>
      <c r="E64" s="183"/>
      <c r="F64" s="183"/>
      <c r="L64" s="803" t="s">
        <v>3004</v>
      </c>
      <c r="M64" s="1608" t="s">
        <v>4085</v>
      </c>
      <c r="N64" s="1609"/>
      <c r="O64" s="1609"/>
      <c r="P64" s="1611"/>
      <c r="Q64" s="232"/>
    </row>
    <row r="65" spans="1:31" ht="22.15" customHeight="1">
      <c r="B65" s="192" t="s">
        <v>2588</v>
      </c>
      <c r="C65" s="1118" t="s">
        <v>3868</v>
      </c>
      <c r="D65" s="1118"/>
      <c r="E65" s="1118"/>
      <c r="F65" s="1118"/>
      <c r="G65" s="1118"/>
      <c r="H65" s="1118"/>
      <c r="I65" s="1118"/>
      <c r="J65" s="1118"/>
      <c r="K65" s="1118"/>
      <c r="L65" s="1118"/>
      <c r="M65" s="853"/>
      <c r="O65" s="803" t="s">
        <v>2588</v>
      </c>
      <c r="P65" s="1598"/>
      <c r="Q65" s="232"/>
    </row>
    <row r="66" spans="1:31" ht="12" customHeight="1">
      <c r="B66" s="55"/>
      <c r="C66" s="62"/>
      <c r="D66" s="821" t="s">
        <v>3350</v>
      </c>
      <c r="E66" s="38" t="s">
        <v>874</v>
      </c>
      <c r="F66" s="38"/>
      <c r="H66" s="62"/>
      <c r="I66" s="821" t="s">
        <v>3350</v>
      </c>
      <c r="J66" s="38" t="s">
        <v>874</v>
      </c>
      <c r="K66" s="38"/>
      <c r="M66" s="62"/>
      <c r="N66" s="821" t="s">
        <v>3350</v>
      </c>
      <c r="O66" s="38" t="s">
        <v>874</v>
      </c>
      <c r="P66" s="38"/>
      <c r="Q66" s="803"/>
    </row>
    <row r="67" spans="1:31" ht="12" customHeight="1">
      <c r="B67" s="55"/>
      <c r="C67" s="62">
        <v>1</v>
      </c>
      <c r="D67" s="1612" t="s">
        <v>4086</v>
      </c>
      <c r="E67" s="1613" t="s">
        <v>4087</v>
      </c>
      <c r="F67" s="1613"/>
      <c r="G67" s="1613"/>
      <c r="H67" s="62">
        <v>3</v>
      </c>
      <c r="I67" s="1612" t="s">
        <v>4073</v>
      </c>
      <c r="J67" s="1613" t="s">
        <v>4074</v>
      </c>
      <c r="K67" s="1613"/>
      <c r="L67" s="1613"/>
      <c r="M67" s="62">
        <v>5</v>
      </c>
      <c r="N67" s="1612"/>
      <c r="O67" s="1613"/>
      <c r="P67" s="1613"/>
      <c r="Q67" s="1613"/>
    </row>
    <row r="68" spans="1:31" ht="12" customHeight="1">
      <c r="B68" s="55"/>
      <c r="C68" s="62">
        <v>2</v>
      </c>
      <c r="D68" s="1612"/>
      <c r="E68" s="1613"/>
      <c r="F68" s="1613"/>
      <c r="G68" s="1613"/>
      <c r="H68" s="62">
        <v>4</v>
      </c>
      <c r="I68" s="1612"/>
      <c r="J68" s="1613"/>
      <c r="K68" s="1613"/>
      <c r="L68" s="1613"/>
      <c r="M68" s="62">
        <v>6</v>
      </c>
      <c r="N68" s="1612"/>
      <c r="O68" s="1613"/>
      <c r="P68" s="1613"/>
      <c r="Q68" s="1613"/>
    </row>
    <row r="69" spans="1:31" ht="12" customHeight="1">
      <c r="B69" s="55" t="s">
        <v>2589</v>
      </c>
      <c r="C69" s="62" t="s">
        <v>0</v>
      </c>
      <c r="D69" s="183"/>
      <c r="E69" s="183"/>
      <c r="F69" s="183"/>
      <c r="G69" s="183"/>
      <c r="H69" s="183"/>
      <c r="I69" s="50"/>
      <c r="J69" s="50"/>
      <c r="K69" s="183"/>
      <c r="L69" s="853"/>
      <c r="M69" s="853"/>
      <c r="O69" s="803" t="s">
        <v>2589</v>
      </c>
      <c r="P69" s="1614"/>
      <c r="Q69" s="352"/>
    </row>
    <row r="70" spans="1:31" ht="11.25" customHeight="1">
      <c r="B70" s="191" t="s">
        <v>2737</v>
      </c>
      <c r="D70" s="191"/>
      <c r="E70" s="191"/>
      <c r="F70" s="191"/>
      <c r="G70" s="191"/>
      <c r="H70" s="48"/>
      <c r="I70" s="180"/>
      <c r="J70" s="180"/>
      <c r="K70" s="180"/>
      <c r="L70" s="848"/>
      <c r="M70" s="848"/>
      <c r="N70" s="848"/>
      <c r="O70" s="848"/>
      <c r="P70" s="848"/>
      <c r="Q70" s="60"/>
    </row>
    <row r="71" spans="1:31" ht="22.9" customHeight="1">
      <c r="A71" s="1602" t="s">
        <v>4088</v>
      </c>
      <c r="B71" s="1603"/>
      <c r="C71" s="1603"/>
      <c r="D71" s="1603"/>
      <c r="E71" s="1603"/>
      <c r="F71" s="1603"/>
      <c r="G71" s="1603"/>
      <c r="H71" s="1603"/>
      <c r="I71" s="1603"/>
      <c r="J71" s="1603"/>
      <c r="K71" s="1603"/>
      <c r="L71" s="1603"/>
      <c r="M71" s="1603"/>
      <c r="N71" s="1603"/>
      <c r="O71" s="1603"/>
      <c r="P71" s="1603"/>
      <c r="Q71" s="1604"/>
      <c r="U71" s="186"/>
      <c r="V71" s="186"/>
      <c r="W71" s="186"/>
      <c r="X71" s="186"/>
      <c r="Y71" s="186"/>
      <c r="Z71" s="186"/>
      <c r="AA71" s="186"/>
      <c r="AB71" s="186"/>
      <c r="AC71" s="186"/>
      <c r="AD71" s="186"/>
      <c r="AE71" s="805"/>
    </row>
    <row r="72" spans="1:31" ht="11.25" customHeight="1">
      <c r="B72" s="187" t="s">
        <v>2738</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3792</v>
      </c>
      <c r="C74" s="857"/>
      <c r="D74" s="856"/>
      <c r="E74" s="856"/>
      <c r="F74" s="856"/>
      <c r="G74" s="856"/>
      <c r="H74" s="856"/>
      <c r="I74" s="856"/>
      <c r="J74" s="856"/>
      <c r="K74" s="856"/>
      <c r="L74" s="856"/>
      <c r="M74" s="856"/>
      <c r="O74" s="181" t="s">
        <v>2739</v>
      </c>
      <c r="P74" s="1114"/>
      <c r="Q74" s="1119"/>
    </row>
    <row r="75" spans="1:31" ht="3" customHeight="1"/>
    <row r="76" spans="1:31" ht="12" customHeight="1">
      <c r="B76" s="55" t="s">
        <v>2862</v>
      </c>
      <c r="C76" s="62" t="s">
        <v>684</v>
      </c>
      <c r="D76" s="62"/>
      <c r="E76" s="62"/>
      <c r="F76" s="62"/>
      <c r="G76" s="62"/>
      <c r="H76" s="62"/>
      <c r="I76" s="62"/>
      <c r="J76" s="62"/>
      <c r="K76" s="62"/>
      <c r="L76" s="62"/>
      <c r="M76" s="62"/>
      <c r="O76" s="803" t="s">
        <v>2862</v>
      </c>
      <c r="P76" s="1598" t="s">
        <v>3975</v>
      </c>
      <c r="Q76" s="232"/>
    </row>
    <row r="77" spans="1:31" ht="12" customHeight="1">
      <c r="B77" s="55" t="s">
        <v>2865</v>
      </c>
      <c r="C77" s="62" t="s">
        <v>1871</v>
      </c>
      <c r="D77" s="62"/>
      <c r="E77" s="62"/>
      <c r="F77" s="62"/>
      <c r="G77" s="62"/>
      <c r="H77" s="62"/>
      <c r="I77" s="62"/>
      <c r="J77" s="62"/>
      <c r="K77" s="62"/>
      <c r="L77" s="38"/>
      <c r="M77" s="38"/>
      <c r="O77" s="803" t="s">
        <v>2865</v>
      </c>
      <c r="P77" s="1598" t="s">
        <v>3976</v>
      </c>
      <c r="Q77" s="232"/>
    </row>
    <row r="78" spans="1:31" ht="12" customHeight="1">
      <c r="A78" s="182"/>
      <c r="B78" s="44"/>
      <c r="D78" s="47" t="s">
        <v>790</v>
      </c>
      <c r="E78" s="50"/>
      <c r="F78" s="50"/>
      <c r="G78" s="50"/>
      <c r="H78" s="50"/>
      <c r="I78" s="50"/>
      <c r="K78" s="47" t="s">
        <v>791</v>
      </c>
      <c r="M78" s="1615"/>
      <c r="N78" s="1616"/>
      <c r="O78" s="1616"/>
      <c r="P78" s="1617"/>
      <c r="Q78" s="232"/>
    </row>
    <row r="79" spans="1:31" ht="22.9" customHeight="1">
      <c r="A79" s="194"/>
      <c r="B79" s="180"/>
      <c r="C79" s="201" t="s">
        <v>2590</v>
      </c>
      <c r="D79" s="1097" t="s">
        <v>638</v>
      </c>
      <c r="E79" s="1618"/>
      <c r="F79" s="1618"/>
      <c r="G79" s="1618"/>
      <c r="H79" s="1618"/>
      <c r="I79" s="1618"/>
      <c r="J79" s="1618"/>
      <c r="K79" s="1618"/>
      <c r="L79" s="1618"/>
      <c r="M79" s="1618"/>
      <c r="N79" s="1618"/>
      <c r="O79" s="201" t="s">
        <v>2590</v>
      </c>
      <c r="P79" s="1598"/>
      <c r="Q79" s="232"/>
    </row>
    <row r="80" spans="1:31" ht="12" customHeight="1">
      <c r="A80" s="194"/>
      <c r="B80" s="180"/>
      <c r="C80" s="79" t="s">
        <v>2591</v>
      </c>
      <c r="D80" s="62" t="s">
        <v>171</v>
      </c>
      <c r="E80" s="62"/>
      <c r="F80" s="62"/>
      <c r="G80" s="62"/>
      <c r="H80" s="62"/>
      <c r="I80" s="62"/>
      <c r="J80" s="62"/>
      <c r="K80" s="62"/>
      <c r="L80" s="62"/>
      <c r="M80" s="62"/>
      <c r="O80" s="79" t="s">
        <v>2591</v>
      </c>
      <c r="P80" s="1598"/>
      <c r="Q80" s="232"/>
    </row>
    <row r="81" spans="1:32" s="182" customFormat="1" ht="24.75" customHeight="1">
      <c r="A81" s="194"/>
      <c r="B81" s="711"/>
      <c r="C81" s="201" t="s">
        <v>2592</v>
      </c>
      <c r="D81" s="1118" t="s">
        <v>3943</v>
      </c>
      <c r="E81" s="1118"/>
      <c r="F81" s="1118"/>
      <c r="G81" s="1118"/>
      <c r="H81" s="1118"/>
      <c r="I81" s="1118"/>
      <c r="J81" s="1118"/>
      <c r="K81" s="1118"/>
      <c r="L81" s="1118"/>
      <c r="M81" s="1118"/>
      <c r="N81" s="1118"/>
      <c r="O81" s="201" t="s">
        <v>2592</v>
      </c>
      <c r="P81" s="1619"/>
      <c r="Q81" s="354"/>
      <c r="AE81" s="806"/>
      <c r="AF81" s="806"/>
    </row>
    <row r="82" spans="1:32" ht="12" customHeight="1">
      <c r="B82" s="55" t="s">
        <v>1145</v>
      </c>
      <c r="C82" s="62" t="s">
        <v>173</v>
      </c>
      <c r="D82" s="62"/>
      <c r="E82" s="62"/>
      <c r="F82" s="62"/>
      <c r="G82" s="62"/>
      <c r="H82" s="62"/>
      <c r="I82" s="62"/>
      <c r="J82" s="62"/>
      <c r="K82" s="62"/>
      <c r="L82" s="62"/>
      <c r="M82" s="62"/>
      <c r="O82" s="803" t="s">
        <v>1145</v>
      </c>
      <c r="P82" s="1598" t="s">
        <v>3976</v>
      </c>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98" t="s">
        <v>3976</v>
      </c>
      <c r="Q84" s="232"/>
    </row>
    <row r="85" spans="1:32" ht="12" customHeight="1">
      <c r="B85" s="55"/>
      <c r="C85" s="79" t="s">
        <v>2591</v>
      </c>
      <c r="D85" s="62" t="s">
        <v>2011</v>
      </c>
      <c r="E85" s="62"/>
      <c r="F85" s="62"/>
      <c r="G85" s="62"/>
      <c r="H85" s="62"/>
      <c r="I85" s="62"/>
      <c r="J85" s="62"/>
      <c r="K85" s="62"/>
      <c r="L85" s="38"/>
      <c r="M85" s="38"/>
      <c r="O85" s="79" t="s">
        <v>2591</v>
      </c>
      <c r="P85" s="1598" t="s">
        <v>3976</v>
      </c>
      <c r="Q85" s="232"/>
    </row>
    <row r="86" spans="1:32" ht="12" customHeight="1">
      <c r="B86" s="55"/>
      <c r="C86" s="79" t="s">
        <v>2592</v>
      </c>
      <c r="D86" s="62" t="s">
        <v>2012</v>
      </c>
      <c r="E86" s="62"/>
      <c r="F86" s="62"/>
      <c r="G86" s="62"/>
      <c r="H86" s="62"/>
      <c r="I86" s="62"/>
      <c r="J86" s="62"/>
      <c r="K86" s="62"/>
      <c r="L86" s="38"/>
      <c r="M86" s="38"/>
      <c r="O86" s="79" t="s">
        <v>2592</v>
      </c>
      <c r="P86" s="1598" t="s">
        <v>3976</v>
      </c>
      <c r="Q86" s="232"/>
    </row>
    <row r="87" spans="1:32" ht="11.25" customHeight="1">
      <c r="B87" s="191" t="s">
        <v>2737</v>
      </c>
      <c r="D87" s="191"/>
      <c r="E87" s="191"/>
      <c r="F87" s="191"/>
      <c r="G87" s="191"/>
      <c r="H87" s="48"/>
      <c r="I87" s="180"/>
      <c r="J87" s="180"/>
      <c r="K87" s="180"/>
      <c r="L87" s="848"/>
      <c r="M87" s="848"/>
      <c r="N87" s="848"/>
      <c r="O87" s="848"/>
      <c r="P87" s="848"/>
      <c r="Q87" s="60"/>
    </row>
    <row r="88" spans="1:32" ht="13.15" customHeight="1">
      <c r="A88" s="1602" t="s">
        <v>4081</v>
      </c>
      <c r="B88" s="1603"/>
      <c r="C88" s="1603"/>
      <c r="D88" s="1603"/>
      <c r="E88" s="1603"/>
      <c r="F88" s="1603"/>
      <c r="G88" s="1603"/>
      <c r="H88" s="1603"/>
      <c r="I88" s="1603"/>
      <c r="J88" s="1603"/>
      <c r="K88" s="1603"/>
      <c r="L88" s="1603"/>
      <c r="M88" s="1603"/>
      <c r="N88" s="1603"/>
      <c r="O88" s="1603"/>
      <c r="P88" s="1603"/>
      <c r="Q88" s="1604"/>
      <c r="U88" s="186"/>
      <c r="V88" s="186"/>
      <c r="W88" s="186"/>
      <c r="X88" s="186"/>
      <c r="Y88" s="186"/>
      <c r="Z88" s="186"/>
      <c r="AA88" s="186"/>
      <c r="AB88" s="186"/>
      <c r="AC88" s="186"/>
      <c r="AD88" s="186"/>
      <c r="AE88" s="805"/>
    </row>
    <row r="89" spans="1:32" ht="11.25" customHeight="1">
      <c r="B89" s="187" t="s">
        <v>2738</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3793</v>
      </c>
      <c r="C92" s="48"/>
      <c r="D92" s="856"/>
      <c r="E92" s="856"/>
      <c r="F92" s="856"/>
      <c r="G92" s="856"/>
      <c r="H92" s="856"/>
      <c r="I92" s="856"/>
      <c r="J92" s="856"/>
      <c r="K92" s="856"/>
      <c r="L92" s="856"/>
      <c r="M92" s="856"/>
      <c r="O92" s="181" t="s">
        <v>2739</v>
      </c>
      <c r="P92" s="1114"/>
      <c r="Q92" s="1119"/>
    </row>
    <row r="93" spans="1:32" ht="6.6" customHeight="1"/>
    <row r="94" spans="1:32" ht="12" customHeight="1">
      <c r="B94" s="55" t="s">
        <v>2862</v>
      </c>
      <c r="C94" s="62" t="s">
        <v>3935</v>
      </c>
      <c r="D94" s="183"/>
      <c r="E94" s="183"/>
      <c r="F94" s="183"/>
      <c r="G94" s="183"/>
      <c r="H94" s="183"/>
      <c r="I94" s="50"/>
      <c r="J94" s="50"/>
      <c r="K94" s="50"/>
      <c r="L94" s="803" t="s">
        <v>2862</v>
      </c>
      <c r="M94" s="1608" t="s">
        <v>4079</v>
      </c>
      <c r="N94" s="1609"/>
      <c r="O94" s="1609"/>
      <c r="P94" s="1610"/>
      <c r="Q94" s="232"/>
    </row>
    <row r="95" spans="1:32" ht="12" customHeight="1">
      <c r="B95" s="55" t="s">
        <v>2865</v>
      </c>
      <c r="C95" s="62" t="s">
        <v>2141</v>
      </c>
      <c r="D95" s="183"/>
      <c r="E95" s="183"/>
      <c r="F95" s="183"/>
      <c r="G95" s="183"/>
      <c r="H95" s="183"/>
      <c r="I95" s="50"/>
      <c r="J95" s="50"/>
      <c r="K95" s="183"/>
      <c r="L95" s="183"/>
      <c r="M95" s="853"/>
      <c r="O95" s="803" t="s">
        <v>2865</v>
      </c>
      <c r="P95" s="1598" t="s">
        <v>3975</v>
      </c>
      <c r="Q95" s="352"/>
    </row>
    <row r="96" spans="1:32" ht="12" customHeight="1">
      <c r="B96" s="55" t="s">
        <v>1145</v>
      </c>
      <c r="C96" s="62" t="s">
        <v>186</v>
      </c>
      <c r="D96" s="183"/>
      <c r="E96" s="183"/>
      <c r="F96" s="183"/>
      <c r="G96" s="183"/>
      <c r="H96" s="183"/>
      <c r="I96" s="50"/>
      <c r="J96" s="50"/>
      <c r="K96" s="183"/>
      <c r="L96" s="853"/>
      <c r="M96" s="853"/>
      <c r="O96" s="803" t="s">
        <v>1145</v>
      </c>
      <c r="P96" s="1598" t="s">
        <v>3976</v>
      </c>
      <c r="Q96" s="232"/>
    </row>
    <row r="97" spans="2:17" ht="12" customHeight="1">
      <c r="B97" s="55"/>
      <c r="C97" s="78" t="s">
        <v>2590</v>
      </c>
      <c r="D97" s="62" t="s">
        <v>3936</v>
      </c>
      <c r="E97" s="183"/>
      <c r="F97" s="183"/>
      <c r="G97" s="183"/>
      <c r="H97" s="183"/>
      <c r="I97" s="50"/>
      <c r="J97" s="50"/>
      <c r="K97" s="183"/>
      <c r="L97" s="79" t="s">
        <v>2590</v>
      </c>
      <c r="M97" s="1608"/>
      <c r="N97" s="1609"/>
      <c r="O97" s="1609"/>
      <c r="P97" s="1610"/>
      <c r="Q97" s="352"/>
    </row>
    <row r="98" spans="2:17" ht="12" customHeight="1">
      <c r="B98" s="189"/>
      <c r="C98" s="79" t="s">
        <v>2591</v>
      </c>
      <c r="D98" s="44" t="s">
        <v>3643</v>
      </c>
      <c r="E98" s="50"/>
      <c r="F98" s="50"/>
      <c r="G98" s="50"/>
      <c r="H98" s="62"/>
      <c r="I98" s="50"/>
      <c r="J98" s="50"/>
      <c r="K98" s="183"/>
      <c r="L98" s="853"/>
      <c r="M98" s="853"/>
      <c r="O98" s="803" t="s">
        <v>2591</v>
      </c>
      <c r="P98" s="1614"/>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620"/>
      <c r="E100" s="1621"/>
      <c r="F100" s="1621"/>
      <c r="G100" s="1621"/>
      <c r="H100" s="1621"/>
      <c r="I100" s="1621"/>
      <c r="J100" s="1621"/>
      <c r="K100" s="1621"/>
      <c r="L100" s="1621"/>
      <c r="M100" s="1621"/>
      <c r="N100" s="1621"/>
      <c r="O100" s="1622"/>
      <c r="P100" s="856"/>
      <c r="Q100" s="848"/>
    </row>
    <row r="101" spans="2:17" ht="12" customHeight="1">
      <c r="B101" s="55" t="s">
        <v>3004</v>
      </c>
      <c r="C101" s="62" t="s">
        <v>1815</v>
      </c>
      <c r="D101" s="183"/>
      <c r="E101" s="183"/>
      <c r="F101" s="183"/>
      <c r="G101" s="183"/>
      <c r="H101" s="183"/>
      <c r="I101" s="50"/>
      <c r="J101" s="50"/>
      <c r="K101" s="183"/>
      <c r="L101" s="853"/>
      <c r="M101" s="853"/>
      <c r="N101" s="853"/>
      <c r="O101" s="803" t="s">
        <v>3004</v>
      </c>
    </row>
    <row r="102" spans="2:17" ht="12" customHeight="1">
      <c r="B102" s="55"/>
      <c r="C102" s="79" t="s">
        <v>2590</v>
      </c>
      <c r="D102" s="62" t="s">
        <v>184</v>
      </c>
      <c r="E102" s="183"/>
      <c r="F102" s="183"/>
      <c r="G102" s="183"/>
      <c r="H102" s="183"/>
      <c r="I102" s="50"/>
      <c r="J102" s="50"/>
      <c r="K102" s="183"/>
      <c r="L102" s="853"/>
      <c r="M102" s="853"/>
      <c r="O102" s="79" t="s">
        <v>2590</v>
      </c>
      <c r="P102" s="1598" t="s">
        <v>3976</v>
      </c>
      <c r="Q102" s="232"/>
    </row>
    <row r="103" spans="2:17" ht="12" customHeight="1">
      <c r="B103" s="55"/>
      <c r="C103" s="79" t="s">
        <v>2591</v>
      </c>
      <c r="D103" s="62" t="s">
        <v>1816</v>
      </c>
      <c r="E103" s="183"/>
      <c r="F103" s="183"/>
      <c r="G103" s="183"/>
      <c r="H103" s="50"/>
      <c r="I103" s="50"/>
      <c r="J103" s="50"/>
      <c r="K103" s="183"/>
      <c r="L103" s="853"/>
      <c r="M103" s="853"/>
      <c r="O103" s="79" t="s">
        <v>2591</v>
      </c>
      <c r="P103" s="1614" t="s">
        <v>3976</v>
      </c>
      <c r="Q103" s="352"/>
    </row>
    <row r="104" spans="2:17" ht="12" customHeight="1">
      <c r="B104" s="55"/>
      <c r="C104" s="79"/>
      <c r="D104" s="62" t="s">
        <v>3763</v>
      </c>
      <c r="E104" s="728" t="s">
        <v>3418</v>
      </c>
      <c r="F104" s="62" t="s">
        <v>3764</v>
      </c>
      <c r="G104" s="50"/>
      <c r="H104" s="62"/>
      <c r="I104" s="50"/>
      <c r="J104" s="50"/>
      <c r="K104" s="183"/>
      <c r="L104" s="853"/>
      <c r="M104" s="853"/>
      <c r="O104" s="728" t="s">
        <v>3418</v>
      </c>
      <c r="P104" s="1623"/>
      <c r="Q104" s="448"/>
    </row>
    <row r="105" spans="2:17" ht="12" customHeight="1">
      <c r="B105" s="55"/>
      <c r="C105" s="79"/>
      <c r="E105" s="728" t="s">
        <v>3419</v>
      </c>
      <c r="F105" s="62" t="s">
        <v>3765</v>
      </c>
      <c r="G105" s="50"/>
      <c r="H105" s="62"/>
      <c r="I105" s="50"/>
      <c r="J105" s="50"/>
      <c r="K105" s="183"/>
      <c r="L105" s="853"/>
      <c r="M105" s="853"/>
      <c r="O105" s="728" t="s">
        <v>3419</v>
      </c>
      <c r="P105" s="1614"/>
      <c r="Q105" s="352"/>
    </row>
    <row r="106" spans="2:17" ht="12" customHeight="1">
      <c r="B106" s="55"/>
      <c r="C106" s="79"/>
      <c r="E106" s="728" t="s">
        <v>3420</v>
      </c>
      <c r="F106" s="62" t="s">
        <v>3766</v>
      </c>
      <c r="G106" s="50"/>
      <c r="H106" s="62"/>
      <c r="I106" s="50"/>
      <c r="J106" s="50"/>
      <c r="K106" s="183"/>
      <c r="L106" s="853"/>
      <c r="M106" s="853"/>
      <c r="O106" s="728" t="s">
        <v>3420</v>
      </c>
      <c r="P106" s="1614"/>
      <c r="Q106" s="352"/>
    </row>
    <row r="107" spans="2:17" ht="12" customHeight="1">
      <c r="B107" s="55"/>
      <c r="C107" s="79" t="s">
        <v>2592</v>
      </c>
      <c r="D107" s="62" t="s">
        <v>1817</v>
      </c>
      <c r="E107" s="183"/>
      <c r="F107" s="183"/>
      <c r="G107" s="183"/>
      <c r="H107" s="62"/>
      <c r="I107" s="50"/>
      <c r="J107" s="50"/>
      <c r="K107" s="183"/>
      <c r="L107" s="853"/>
      <c r="M107" s="853"/>
      <c r="O107" s="79" t="s">
        <v>2592</v>
      </c>
      <c r="P107" s="1598" t="s">
        <v>3976</v>
      </c>
      <c r="Q107" s="232"/>
    </row>
    <row r="108" spans="2:17" ht="12" customHeight="1">
      <c r="B108" s="55"/>
      <c r="C108" s="79"/>
      <c r="D108" s="62" t="s">
        <v>3763</v>
      </c>
      <c r="E108" s="728" t="s">
        <v>3418</v>
      </c>
      <c r="F108" s="62" t="s">
        <v>3767</v>
      </c>
      <c r="G108" s="50"/>
      <c r="H108" s="62"/>
      <c r="I108" s="50"/>
      <c r="J108" s="50"/>
      <c r="K108" s="183"/>
      <c r="L108" s="853"/>
      <c r="O108" s="728" t="s">
        <v>3418</v>
      </c>
      <c r="P108" s="1623"/>
      <c r="Q108" s="353"/>
    </row>
    <row r="109" spans="2:17" ht="12" customHeight="1">
      <c r="B109" s="55"/>
      <c r="C109" s="79"/>
      <c r="E109" s="728" t="s">
        <v>3419</v>
      </c>
      <c r="F109" s="62" t="s">
        <v>3768</v>
      </c>
      <c r="G109" s="50"/>
      <c r="H109" s="62"/>
      <c r="I109" s="50"/>
      <c r="J109" s="50"/>
      <c r="K109" s="183"/>
      <c r="L109" s="853"/>
      <c r="O109" s="728" t="s">
        <v>3419</v>
      </c>
      <c r="P109" s="1614"/>
      <c r="Q109" s="352"/>
    </row>
    <row r="110" spans="2:17" ht="12" customHeight="1">
      <c r="B110" s="55"/>
      <c r="C110" s="79"/>
      <c r="E110" s="728" t="s">
        <v>3420</v>
      </c>
      <c r="F110" s="62" t="s">
        <v>3766</v>
      </c>
      <c r="G110" s="50"/>
      <c r="H110" s="62"/>
      <c r="I110" s="50"/>
      <c r="J110" s="50"/>
      <c r="K110" s="183"/>
      <c r="L110" s="853"/>
      <c r="O110" s="728" t="s">
        <v>3420</v>
      </c>
      <c r="P110" s="1614"/>
      <c r="Q110" s="352"/>
    </row>
    <row r="111" spans="2:17" ht="12" customHeight="1">
      <c r="B111" s="44"/>
      <c r="C111" s="79" t="s">
        <v>3330</v>
      </c>
      <c r="D111" s="62" t="s">
        <v>3769</v>
      </c>
      <c r="E111" s="183"/>
      <c r="F111" s="183"/>
      <c r="G111" s="183"/>
      <c r="H111" s="183"/>
      <c r="I111" s="50"/>
      <c r="J111" s="50"/>
      <c r="K111" s="183"/>
      <c r="L111" s="853"/>
      <c r="M111" s="853"/>
      <c r="O111" s="79" t="s">
        <v>3330</v>
      </c>
      <c r="P111" s="1598" t="s">
        <v>3976</v>
      </c>
      <c r="Q111" s="232"/>
    </row>
    <row r="112" spans="2:17" ht="12" customHeight="1">
      <c r="B112" s="55" t="s">
        <v>2588</v>
      </c>
      <c r="C112" s="196" t="s">
        <v>3395</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3396</v>
      </c>
      <c r="E113" s="183"/>
      <c r="F113" s="1598" t="s">
        <v>3976</v>
      </c>
      <c r="G113" s="232"/>
      <c r="H113" s="79" t="s">
        <v>3330</v>
      </c>
      <c r="I113" s="62" t="s">
        <v>2156</v>
      </c>
      <c r="J113" s="1598" t="s">
        <v>3976</v>
      </c>
      <c r="K113" s="232"/>
      <c r="L113" s="803" t="s">
        <v>107</v>
      </c>
      <c r="M113" s="62" t="s">
        <v>2157</v>
      </c>
      <c r="O113" s="1598" t="s">
        <v>3976</v>
      </c>
      <c r="P113" s="232"/>
    </row>
    <row r="114" spans="1:31" ht="12" customHeight="1">
      <c r="B114" s="44"/>
      <c r="C114" s="79" t="s">
        <v>2591</v>
      </c>
      <c r="D114" s="62" t="s">
        <v>3501</v>
      </c>
      <c r="E114" s="183"/>
      <c r="F114" s="1598" t="s">
        <v>3976</v>
      </c>
      <c r="G114" s="232"/>
      <c r="H114" s="79" t="s">
        <v>2153</v>
      </c>
      <c r="I114" s="62" t="s">
        <v>3771</v>
      </c>
      <c r="J114" s="1624" t="s">
        <v>3976</v>
      </c>
      <c r="K114" s="663"/>
      <c r="L114" s="803" t="s">
        <v>743</v>
      </c>
      <c r="M114" s="65" t="s">
        <v>3772</v>
      </c>
      <c r="O114" s="1624" t="s">
        <v>3976</v>
      </c>
      <c r="P114" s="663"/>
    </row>
    <row r="115" spans="1:31" ht="12" customHeight="1">
      <c r="B115" s="44"/>
      <c r="C115" s="79" t="s">
        <v>2592</v>
      </c>
      <c r="D115" s="62" t="s">
        <v>3770</v>
      </c>
      <c r="E115" s="183"/>
      <c r="F115" s="1598" t="s">
        <v>3976</v>
      </c>
      <c r="G115" s="232"/>
      <c r="H115" s="79" t="s">
        <v>2154</v>
      </c>
      <c r="I115" s="62" t="s">
        <v>2155</v>
      </c>
      <c r="J115" s="1624" t="s">
        <v>3976</v>
      </c>
      <c r="K115" s="663"/>
      <c r="L115" s="803" t="s">
        <v>744</v>
      </c>
      <c r="M115" s="65" t="s">
        <v>3773</v>
      </c>
      <c r="O115" s="1624" t="s">
        <v>3976</v>
      </c>
      <c r="P115" s="663"/>
    </row>
    <row r="116" spans="1:31" ht="12" customHeight="1">
      <c r="B116" s="44"/>
      <c r="C116" s="803" t="s">
        <v>745</v>
      </c>
      <c r="D116" s="62" t="s">
        <v>3774</v>
      </c>
      <c r="E116" s="183"/>
      <c r="F116" s="183"/>
      <c r="G116" s="183"/>
      <c r="H116" s="183"/>
      <c r="J116" s="1608"/>
      <c r="K116" s="1609"/>
      <c r="L116" s="1609"/>
      <c r="M116" s="1609"/>
      <c r="N116" s="1609"/>
      <c r="O116" s="1609"/>
      <c r="P116" s="1610"/>
      <c r="Q116" s="232"/>
    </row>
    <row r="117" spans="1:31" ht="12" customHeight="1">
      <c r="B117" s="55" t="s">
        <v>2589</v>
      </c>
      <c r="C117" s="62" t="s">
        <v>1851</v>
      </c>
      <c r="D117" s="183"/>
      <c r="E117" s="183"/>
      <c r="F117" s="183"/>
      <c r="G117" s="183"/>
      <c r="H117" s="183"/>
      <c r="I117" s="50"/>
      <c r="J117" s="50"/>
      <c r="K117" s="183"/>
      <c r="L117" s="183"/>
      <c r="M117" s="853"/>
      <c r="O117" s="803" t="s">
        <v>2589</v>
      </c>
      <c r="P117" s="1598" t="s">
        <v>3975</v>
      </c>
      <c r="Q117" s="232"/>
    </row>
    <row r="118" spans="1:31" ht="12" customHeight="1">
      <c r="A118" s="194"/>
      <c r="B118" s="50"/>
      <c r="C118" s="79" t="s">
        <v>2590</v>
      </c>
      <c r="D118" s="62" t="s">
        <v>995</v>
      </c>
      <c r="E118" s="183"/>
      <c r="F118" s="183"/>
      <c r="G118" s="183"/>
      <c r="H118" s="183"/>
      <c r="O118" s="79" t="s">
        <v>2590</v>
      </c>
      <c r="P118" s="1598" t="s">
        <v>3975</v>
      </c>
      <c r="Q118" s="232"/>
    </row>
    <row r="119" spans="1:31" ht="12" customHeight="1">
      <c r="A119" s="194"/>
      <c r="B119" s="180"/>
      <c r="C119" s="79" t="s">
        <v>2591</v>
      </c>
      <c r="D119" s="62" t="s">
        <v>681</v>
      </c>
      <c r="E119" s="62"/>
      <c r="F119" s="62"/>
      <c r="G119" s="62"/>
      <c r="H119" s="62"/>
      <c r="I119" s="50"/>
      <c r="J119" s="50"/>
      <c r="K119" s="62"/>
      <c r="L119" s="62"/>
      <c r="M119" s="62"/>
      <c r="O119" s="79" t="s">
        <v>2591</v>
      </c>
      <c r="P119" s="1598" t="s">
        <v>3975</v>
      </c>
      <c r="Q119" s="232"/>
    </row>
    <row r="120" spans="1:31" ht="12" customHeight="1">
      <c r="A120" s="194"/>
      <c r="B120" s="180"/>
      <c r="C120" s="79" t="s">
        <v>2592</v>
      </c>
      <c r="D120" s="62" t="s">
        <v>951</v>
      </c>
      <c r="E120" s="62"/>
      <c r="F120" s="62"/>
      <c r="G120" s="62"/>
      <c r="H120" s="62"/>
      <c r="I120" s="50"/>
      <c r="J120" s="50"/>
      <c r="K120" s="62"/>
      <c r="L120" s="62"/>
      <c r="M120" s="62"/>
      <c r="O120" s="79" t="s">
        <v>2592</v>
      </c>
      <c r="P120" s="1598" t="s">
        <v>3975</v>
      </c>
      <c r="Q120" s="232"/>
    </row>
    <row r="121" spans="1:31" ht="12" customHeight="1">
      <c r="B121" s="55" t="s">
        <v>2825</v>
      </c>
      <c r="C121" s="62" t="s">
        <v>2607</v>
      </c>
      <c r="D121" s="183"/>
      <c r="E121" s="183"/>
      <c r="F121" s="183"/>
      <c r="G121" s="183"/>
      <c r="H121" s="183"/>
      <c r="I121" s="50"/>
      <c r="J121" s="50"/>
      <c r="K121" s="183"/>
      <c r="L121" s="183"/>
      <c r="M121" s="853"/>
      <c r="O121" s="803" t="s">
        <v>2825</v>
      </c>
      <c r="P121" s="1598" t="s">
        <v>1469</v>
      </c>
      <c r="Q121" s="232"/>
    </row>
    <row r="122" spans="1:31" ht="4.9000000000000004" customHeight="1"/>
    <row r="123" spans="1:31" ht="11.25" customHeight="1">
      <c r="B123" s="191" t="s">
        <v>2737</v>
      </c>
      <c r="D123" s="191"/>
      <c r="E123" s="191"/>
      <c r="F123" s="191"/>
      <c r="G123" s="191"/>
      <c r="H123" s="48"/>
      <c r="I123" s="180"/>
      <c r="J123" s="180"/>
      <c r="K123" s="180"/>
      <c r="L123" s="848"/>
      <c r="M123" s="848"/>
      <c r="N123" s="848"/>
      <c r="O123" s="848"/>
      <c r="P123" s="848"/>
      <c r="Q123" s="60"/>
    </row>
    <row r="124" spans="1:31" ht="28.9" customHeight="1">
      <c r="A124" s="1602" t="s">
        <v>4089</v>
      </c>
      <c r="B124" s="1603"/>
      <c r="C124" s="1603"/>
      <c r="D124" s="1603"/>
      <c r="E124" s="1603"/>
      <c r="F124" s="1603"/>
      <c r="G124" s="1603"/>
      <c r="H124" s="1603"/>
      <c r="I124" s="1603"/>
      <c r="J124" s="1603"/>
      <c r="K124" s="1603"/>
      <c r="L124" s="1603"/>
      <c r="M124" s="1603"/>
      <c r="N124" s="1603"/>
      <c r="O124" s="1603"/>
      <c r="P124" s="1603"/>
      <c r="Q124" s="1604"/>
      <c r="R124" s="736" t="s">
        <v>1806</v>
      </c>
      <c r="S124" s="737"/>
      <c r="U124" s="186"/>
      <c r="V124" s="186"/>
      <c r="W124" s="186"/>
      <c r="X124" s="186"/>
      <c r="Y124" s="186"/>
      <c r="Z124" s="186"/>
      <c r="AA124" s="186"/>
      <c r="AB124" s="186"/>
      <c r="AC124" s="186"/>
      <c r="AD124" s="186"/>
      <c r="AE124" s="805"/>
    </row>
    <row r="125" spans="1:31" ht="11.25" customHeight="1">
      <c r="B125" s="187" t="s">
        <v>2738</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3794</v>
      </c>
      <c r="C128" s="857"/>
      <c r="D128" s="856"/>
      <c r="E128" s="856"/>
      <c r="F128" s="856"/>
      <c r="G128" s="856"/>
      <c r="H128" s="856"/>
      <c r="I128" s="856"/>
      <c r="J128" s="856"/>
      <c r="K128" s="856"/>
      <c r="O128" s="181" t="s">
        <v>2739</v>
      </c>
      <c r="P128" s="1114"/>
      <c r="Q128" s="1119"/>
    </row>
    <row r="129" spans="1:31" ht="10.9" customHeight="1">
      <c r="B129" s="55" t="s">
        <v>2862</v>
      </c>
      <c r="C129" s="62" t="s">
        <v>3775</v>
      </c>
      <c r="D129" s="62"/>
      <c r="E129" s="62"/>
      <c r="F129" s="62"/>
      <c r="G129" s="62"/>
      <c r="H129" s="62"/>
      <c r="N129" s="62"/>
      <c r="O129" s="803" t="s">
        <v>2862</v>
      </c>
      <c r="P129" s="1598" t="s">
        <v>3975</v>
      </c>
      <c r="Q129" s="232"/>
    </row>
    <row r="130" spans="1:31" ht="12" customHeight="1">
      <c r="A130" s="189"/>
      <c r="B130" s="55" t="s">
        <v>2865</v>
      </c>
      <c r="C130" s="190" t="s">
        <v>185</v>
      </c>
      <c r="D130" s="190"/>
      <c r="E130" s="190"/>
      <c r="F130" s="190"/>
      <c r="G130" s="190"/>
      <c r="H130" s="190"/>
      <c r="M130" s="803" t="s">
        <v>2865</v>
      </c>
      <c r="N130" s="1625" t="s">
        <v>4044</v>
      </c>
      <c r="O130" s="1626"/>
      <c r="P130" s="1130"/>
      <c r="Q130" s="1131"/>
    </row>
    <row r="131" spans="1:31" ht="12" customHeight="1">
      <c r="A131" s="189"/>
      <c r="B131" s="55" t="s">
        <v>1145</v>
      </c>
      <c r="C131" s="190" t="s">
        <v>952</v>
      </c>
      <c r="D131" s="190"/>
      <c r="E131" s="190"/>
      <c r="F131" s="190"/>
      <c r="G131" s="190"/>
      <c r="H131" s="190"/>
      <c r="J131" s="803" t="s">
        <v>1145</v>
      </c>
      <c r="K131" s="1627" t="s">
        <v>4003</v>
      </c>
      <c r="L131" s="1628"/>
      <c r="M131" s="1628"/>
      <c r="N131" s="1628"/>
      <c r="O131" s="1628"/>
      <c r="P131" s="1629"/>
      <c r="Q131" s="232"/>
    </row>
    <row r="132" spans="1:31" ht="12" customHeight="1">
      <c r="B132" s="191" t="s">
        <v>2737</v>
      </c>
      <c r="D132" s="191"/>
      <c r="E132" s="191"/>
      <c r="F132" s="191"/>
      <c r="G132" s="191"/>
      <c r="H132" s="48"/>
      <c r="I132" s="180"/>
      <c r="J132" s="180"/>
      <c r="K132" s="180"/>
      <c r="L132" s="848"/>
      <c r="M132" s="848"/>
      <c r="N132" s="848"/>
      <c r="O132" s="848"/>
      <c r="P132" s="848"/>
      <c r="Q132" s="60"/>
    </row>
    <row r="133" spans="1:31" ht="11.45" customHeight="1">
      <c r="A133" s="1602"/>
      <c r="B133" s="1603"/>
      <c r="C133" s="1603"/>
      <c r="D133" s="1603"/>
      <c r="E133" s="1603"/>
      <c r="F133" s="1603"/>
      <c r="G133" s="1603"/>
      <c r="H133" s="1603"/>
      <c r="I133" s="1603"/>
      <c r="J133" s="1603"/>
      <c r="K133" s="1603"/>
      <c r="L133" s="1603"/>
      <c r="M133" s="1603"/>
      <c r="N133" s="1603"/>
      <c r="O133" s="1603"/>
      <c r="P133" s="1603"/>
      <c r="Q133" s="1604"/>
      <c r="U133" s="186"/>
      <c r="V133" s="186"/>
      <c r="W133" s="186"/>
      <c r="X133" s="186"/>
      <c r="Y133" s="186"/>
      <c r="Z133" s="186"/>
      <c r="AA133" s="186"/>
      <c r="AB133" s="186"/>
      <c r="AC133" s="186"/>
      <c r="AD133" s="186"/>
      <c r="AE133" s="805"/>
    </row>
    <row r="134" spans="1:31" ht="12" customHeight="1">
      <c r="B134" s="187" t="s">
        <v>2738</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3795</v>
      </c>
      <c r="C137" s="857"/>
      <c r="D137" s="856"/>
      <c r="E137" s="856"/>
      <c r="F137" s="856"/>
      <c r="G137" s="856"/>
      <c r="H137" s="856"/>
      <c r="I137" s="856"/>
      <c r="J137" s="856"/>
      <c r="K137" s="856"/>
      <c r="L137" s="856"/>
      <c r="M137" s="856"/>
      <c r="O137" s="181" t="s">
        <v>2739</v>
      </c>
      <c r="P137" s="1114"/>
      <c r="Q137" s="1119"/>
    </row>
    <row r="138" spans="1:31" ht="12" customHeight="1">
      <c r="B138" s="192" t="s">
        <v>2862</v>
      </c>
      <c r="C138" s="190" t="s">
        <v>104</v>
      </c>
      <c r="D138" s="190"/>
      <c r="E138" s="190"/>
      <c r="F138" s="190"/>
      <c r="G138" s="190"/>
      <c r="H138" s="190"/>
      <c r="I138" s="190"/>
      <c r="J138" s="190"/>
      <c r="K138" s="190"/>
      <c r="L138" s="197"/>
      <c r="M138" s="197"/>
      <c r="N138" s="197"/>
      <c r="O138" s="219" t="s">
        <v>2862</v>
      </c>
      <c r="P138" s="1598" t="s">
        <v>3975</v>
      </c>
      <c r="Q138" s="232"/>
    </row>
    <row r="139" spans="1:31" ht="22.15" customHeight="1">
      <c r="B139" s="192" t="s">
        <v>2865</v>
      </c>
      <c r="C139" s="1118" t="s">
        <v>3517</v>
      </c>
      <c r="D139" s="1118"/>
      <c r="E139" s="1118"/>
      <c r="F139" s="1118"/>
      <c r="G139" s="1118"/>
      <c r="H139" s="1118"/>
      <c r="I139" s="1118"/>
      <c r="J139" s="1118"/>
      <c r="K139" s="1118"/>
      <c r="L139" s="1118"/>
      <c r="M139" s="1118"/>
      <c r="N139" s="1118"/>
      <c r="O139" s="219" t="s">
        <v>2865</v>
      </c>
      <c r="P139" s="1598"/>
      <c r="Q139" s="232"/>
    </row>
    <row r="140" spans="1:31" ht="21.75" customHeight="1">
      <c r="B140" s="192" t="s">
        <v>1145</v>
      </c>
      <c r="C140" s="1118" t="s">
        <v>3777</v>
      </c>
      <c r="D140" s="1118"/>
      <c r="E140" s="1118"/>
      <c r="F140" s="1118"/>
      <c r="G140" s="1118"/>
      <c r="H140" s="1118"/>
      <c r="I140" s="1118"/>
      <c r="J140" s="1118"/>
      <c r="K140" s="1118"/>
      <c r="L140" s="1118"/>
      <c r="M140" s="1118"/>
      <c r="N140" s="1118"/>
      <c r="O140" s="219" t="s">
        <v>1145</v>
      </c>
      <c r="P140" s="1598" t="s">
        <v>3975</v>
      </c>
      <c r="Q140" s="232"/>
    </row>
    <row r="141" spans="1:31" ht="12" customHeight="1">
      <c r="B141" s="191" t="s">
        <v>2737</v>
      </c>
      <c r="D141" s="191"/>
      <c r="E141" s="191"/>
      <c r="F141" s="191"/>
      <c r="G141" s="191"/>
      <c r="H141" s="48"/>
      <c r="I141" s="180"/>
      <c r="J141" s="180"/>
      <c r="K141" s="180"/>
      <c r="L141" s="848"/>
      <c r="M141" s="848"/>
      <c r="N141" s="848"/>
      <c r="O141" s="848"/>
      <c r="P141" s="848"/>
      <c r="Q141" s="60"/>
    </row>
    <row r="142" spans="1:31" ht="25.9" customHeight="1">
      <c r="A142" s="1602" t="s">
        <v>4067</v>
      </c>
      <c r="B142" s="1603"/>
      <c r="C142" s="1603"/>
      <c r="D142" s="1603"/>
      <c r="E142" s="1603"/>
      <c r="F142" s="1603"/>
      <c r="G142" s="1603"/>
      <c r="H142" s="1603"/>
      <c r="I142" s="1603"/>
      <c r="J142" s="1603"/>
      <c r="K142" s="1603"/>
      <c r="L142" s="1603"/>
      <c r="M142" s="1603"/>
      <c r="N142" s="1603"/>
      <c r="O142" s="1603"/>
      <c r="P142" s="1603"/>
      <c r="Q142" s="1604"/>
      <c r="U142" s="186"/>
      <c r="V142" s="186"/>
      <c r="W142" s="186"/>
      <c r="X142" s="186"/>
      <c r="Y142" s="186"/>
      <c r="Z142" s="186"/>
      <c r="AA142" s="186"/>
      <c r="AB142" s="186"/>
      <c r="AC142" s="186"/>
      <c r="AD142" s="186"/>
      <c r="AE142" s="805"/>
    </row>
    <row r="143" spans="1:31" ht="12" customHeight="1">
      <c r="B143" s="187" t="s">
        <v>2738</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3796</v>
      </c>
      <c r="C146" s="1120"/>
      <c r="D146" s="1120"/>
      <c r="O146" s="181" t="s">
        <v>2739</v>
      </c>
      <c r="P146" s="1114"/>
      <c r="Q146" s="1119"/>
    </row>
    <row r="147" spans="1:32" ht="12" customHeight="1">
      <c r="B147" s="192" t="s">
        <v>2862</v>
      </c>
      <c r="C147" s="197" t="s">
        <v>653</v>
      </c>
      <c r="D147" s="197"/>
      <c r="E147" s="197"/>
      <c r="F147" s="197"/>
      <c r="G147" s="197"/>
      <c r="H147" s="197"/>
      <c r="I147" s="197"/>
      <c r="J147" s="197"/>
      <c r="K147" s="197"/>
      <c r="L147" s="197"/>
      <c r="M147" s="197"/>
      <c r="O147" s="219" t="s">
        <v>2862</v>
      </c>
      <c r="P147" s="1598" t="s">
        <v>3975</v>
      </c>
      <c r="Q147" s="232"/>
    </row>
    <row r="148" spans="1:32" ht="12" customHeight="1">
      <c r="B148" s="192" t="s">
        <v>2865</v>
      </c>
      <c r="C148" s="197" t="s">
        <v>3778</v>
      </c>
      <c r="D148" s="197"/>
      <c r="E148" s="197"/>
      <c r="F148" s="197"/>
      <c r="G148" s="197"/>
      <c r="H148" s="197"/>
      <c r="I148" s="197"/>
      <c r="J148" s="197"/>
      <c r="K148" s="197"/>
      <c r="L148" s="197"/>
      <c r="M148" s="197"/>
      <c r="O148" s="219" t="s">
        <v>2865</v>
      </c>
      <c r="P148" s="1598" t="s">
        <v>3975</v>
      </c>
      <c r="Q148" s="232"/>
    </row>
    <row r="149" spans="1:32" ht="12" customHeight="1">
      <c r="B149" s="192" t="s">
        <v>1145</v>
      </c>
      <c r="C149" s="197" t="s">
        <v>3779</v>
      </c>
      <c r="D149" s="197"/>
      <c r="E149" s="197"/>
      <c r="F149" s="197"/>
      <c r="G149" s="197"/>
      <c r="H149" s="197"/>
      <c r="I149" s="197"/>
      <c r="J149" s="197"/>
      <c r="K149" s="197"/>
      <c r="L149" s="197"/>
      <c r="M149" s="197"/>
      <c r="O149" s="219" t="s">
        <v>1145</v>
      </c>
      <c r="P149" s="1598" t="s">
        <v>3975</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598" t="s">
        <v>3975</v>
      </c>
      <c r="Q150" s="232"/>
    </row>
    <row r="151" spans="1:32" ht="12" customHeight="1">
      <c r="B151" s="192"/>
      <c r="C151" s="197"/>
      <c r="D151" s="197"/>
      <c r="E151" s="728" t="s">
        <v>2591</v>
      </c>
      <c r="F151" s="197" t="s">
        <v>3781</v>
      </c>
      <c r="G151" s="197"/>
      <c r="H151" s="197"/>
      <c r="I151" s="197"/>
      <c r="J151" s="197"/>
      <c r="K151" s="197"/>
      <c r="L151" s="197"/>
      <c r="M151" s="197"/>
      <c r="O151" s="728" t="s">
        <v>2591</v>
      </c>
      <c r="P151" s="1598" t="s">
        <v>3975</v>
      </c>
      <c r="Q151" s="232"/>
    </row>
    <row r="152" spans="1:32" s="182" customFormat="1" ht="21.75" customHeight="1">
      <c r="B152" s="192"/>
      <c r="C152" s="197"/>
      <c r="D152" s="197"/>
      <c r="E152" s="219" t="s">
        <v>2592</v>
      </c>
      <c r="F152" s="1118" t="s">
        <v>3782</v>
      </c>
      <c r="G152" s="1118"/>
      <c r="H152" s="1118"/>
      <c r="I152" s="1118"/>
      <c r="J152" s="1118"/>
      <c r="K152" s="1118"/>
      <c r="L152" s="1118"/>
      <c r="M152" s="1118"/>
      <c r="N152" s="1118"/>
      <c r="O152" s="219" t="s">
        <v>2592</v>
      </c>
      <c r="P152" s="1619" t="s">
        <v>3975</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98" t="s">
        <v>3975</v>
      </c>
      <c r="Q153" s="232"/>
    </row>
    <row r="154" spans="1:32" s="182" customFormat="1" ht="21.75" customHeight="1">
      <c r="B154" s="192"/>
      <c r="C154" s="197"/>
      <c r="D154" s="197"/>
      <c r="E154" s="219" t="s">
        <v>2153</v>
      </c>
      <c r="F154" s="1118" t="s">
        <v>3784</v>
      </c>
      <c r="G154" s="1118"/>
      <c r="H154" s="1118"/>
      <c r="I154" s="1118"/>
      <c r="J154" s="1118"/>
      <c r="K154" s="1118"/>
      <c r="L154" s="1118"/>
      <c r="M154" s="1118"/>
      <c r="N154" s="1118"/>
      <c r="O154" s="219" t="s">
        <v>2153</v>
      </c>
      <c r="P154" s="1619" t="s">
        <v>3975</v>
      </c>
      <c r="Q154" s="354"/>
      <c r="AE154" s="806"/>
      <c r="AF154" s="806"/>
    </row>
    <row r="155" spans="1:32" ht="21.75" customHeight="1">
      <c r="B155" s="192" t="s">
        <v>3004</v>
      </c>
      <c r="C155" s="1118" t="s">
        <v>3785</v>
      </c>
      <c r="D155" s="1118"/>
      <c r="E155" s="1118"/>
      <c r="F155" s="1118"/>
      <c r="G155" s="1118"/>
      <c r="H155" s="1118"/>
      <c r="I155" s="1118"/>
      <c r="J155" s="1118"/>
      <c r="K155" s="1118"/>
      <c r="L155" s="1118"/>
      <c r="M155" s="1118"/>
      <c r="N155" s="1118"/>
      <c r="O155" s="219" t="s">
        <v>3004</v>
      </c>
      <c r="P155" s="1598" t="s">
        <v>3975</v>
      </c>
      <c r="Q155" s="232"/>
    </row>
    <row r="156" spans="1:32" ht="12" customHeight="1">
      <c r="B156" s="192" t="s">
        <v>2588</v>
      </c>
      <c r="C156" s="197" t="s">
        <v>3351</v>
      </c>
      <c r="D156" s="197"/>
      <c r="E156" s="197"/>
      <c r="F156" s="197"/>
      <c r="G156" s="197"/>
      <c r="H156" s="197"/>
      <c r="I156" s="197"/>
      <c r="J156" s="197"/>
      <c r="K156" s="197"/>
      <c r="L156" s="197"/>
      <c r="M156" s="197"/>
      <c r="O156" s="219" t="s">
        <v>2588</v>
      </c>
      <c r="P156" s="1598" t="s">
        <v>3975</v>
      </c>
      <c r="Q156" s="232"/>
    </row>
    <row r="157" spans="1:32" ht="12" customHeight="1">
      <c r="B157" s="191" t="s">
        <v>2737</v>
      </c>
      <c r="D157" s="191"/>
      <c r="E157" s="191"/>
      <c r="F157" s="191"/>
      <c r="G157" s="191"/>
      <c r="H157" s="48"/>
      <c r="I157" s="180"/>
      <c r="J157" s="180"/>
      <c r="K157" s="180"/>
      <c r="L157" s="848"/>
      <c r="M157" s="848"/>
      <c r="N157" s="848"/>
      <c r="O157" s="848"/>
      <c r="P157" s="848"/>
      <c r="Q157" s="60"/>
    </row>
    <row r="158" spans="1:32" ht="11.45" customHeight="1">
      <c r="A158" s="1602" t="s">
        <v>4045</v>
      </c>
      <c r="B158" s="1603"/>
      <c r="C158" s="1603"/>
      <c r="D158" s="1603"/>
      <c r="E158" s="1603"/>
      <c r="F158" s="1603"/>
      <c r="G158" s="1603"/>
      <c r="H158" s="1603"/>
      <c r="I158" s="1603"/>
      <c r="J158" s="1603"/>
      <c r="K158" s="1603"/>
      <c r="L158" s="1603"/>
      <c r="M158" s="1603"/>
      <c r="N158" s="1603"/>
      <c r="O158" s="1603"/>
      <c r="P158" s="1603"/>
      <c r="Q158" s="1604"/>
      <c r="U158" s="186"/>
      <c r="V158" s="186"/>
      <c r="W158" s="186"/>
      <c r="X158" s="186"/>
      <c r="Y158" s="186"/>
      <c r="Z158" s="186"/>
      <c r="AA158" s="186"/>
      <c r="AB158" s="186"/>
      <c r="AC158" s="186"/>
      <c r="AD158" s="186"/>
      <c r="AE158" s="805"/>
    </row>
    <row r="159" spans="1:32" ht="12" customHeight="1">
      <c r="B159" s="187" t="s">
        <v>2738</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3797</v>
      </c>
      <c r="C162" s="857"/>
      <c r="D162" s="856"/>
      <c r="E162" s="198"/>
      <c r="F162" s="198"/>
      <c r="G162" s="856"/>
      <c r="J162" s="1148"/>
      <c r="K162" s="1148"/>
      <c r="L162" s="1148"/>
      <c r="M162" s="1148"/>
      <c r="N162" s="1148"/>
      <c r="O162" s="181" t="s">
        <v>2739</v>
      </c>
      <c r="P162" s="1114"/>
      <c r="Q162" s="1119"/>
    </row>
    <row r="163" spans="1:31" ht="12" customHeight="1">
      <c r="A163" s="189"/>
      <c r="B163" s="55" t="s">
        <v>2862</v>
      </c>
      <c r="C163" s="1118" t="s">
        <v>105</v>
      </c>
      <c r="D163" s="1118"/>
      <c r="E163" s="1118"/>
      <c r="F163" s="1118"/>
      <c r="G163" s="1118"/>
      <c r="H163" s="79" t="s">
        <v>2590</v>
      </c>
      <c r="I163" s="62" t="s">
        <v>187</v>
      </c>
      <c r="J163" s="1608" t="s">
        <v>4050</v>
      </c>
      <c r="K163" s="1609"/>
      <c r="L163" s="1609"/>
      <c r="M163" s="1609"/>
      <c r="N163" s="1610"/>
      <c r="O163" s="79" t="s">
        <v>2590</v>
      </c>
      <c r="P163" s="1598"/>
      <c r="Q163" s="232"/>
    </row>
    <row r="164" spans="1:31" ht="12" customHeight="1">
      <c r="A164" s="189"/>
      <c r="B164" s="180"/>
      <c r="C164" s="143"/>
      <c r="D164" s="143"/>
      <c r="E164" s="143"/>
      <c r="F164" s="143"/>
      <c r="H164" s="79" t="s">
        <v>2591</v>
      </c>
      <c r="I164" s="62" t="s">
        <v>2204</v>
      </c>
      <c r="J164" s="1608" t="s">
        <v>4051</v>
      </c>
      <c r="K164" s="1609"/>
      <c r="L164" s="1609"/>
      <c r="M164" s="1609"/>
      <c r="N164" s="1610"/>
      <c r="O164" s="79" t="s">
        <v>2591</v>
      </c>
      <c r="P164" s="1598" t="s">
        <v>3975</v>
      </c>
      <c r="Q164" s="232"/>
    </row>
    <row r="165" spans="1:31" ht="12" customHeight="1">
      <c r="B165" s="191" t="s">
        <v>2737</v>
      </c>
      <c r="D165" s="191"/>
      <c r="E165" s="191"/>
      <c r="F165" s="191"/>
      <c r="G165" s="191"/>
      <c r="J165" s="180"/>
      <c r="K165" s="180"/>
      <c r="L165" s="848"/>
      <c r="M165" s="848"/>
      <c r="N165" s="848"/>
      <c r="O165" s="848"/>
      <c r="P165" s="848"/>
      <c r="Q165" s="60"/>
    </row>
    <row r="166" spans="1:31" ht="11.45" customHeight="1">
      <c r="A166" s="1602"/>
      <c r="B166" s="1603"/>
      <c r="C166" s="1603"/>
      <c r="D166" s="1603"/>
      <c r="E166" s="1603"/>
      <c r="F166" s="1603"/>
      <c r="G166" s="1603"/>
      <c r="H166" s="1603"/>
      <c r="I166" s="1603"/>
      <c r="J166" s="1603"/>
      <c r="K166" s="1603"/>
      <c r="L166" s="1603"/>
      <c r="M166" s="1603"/>
      <c r="N166" s="1603"/>
      <c r="O166" s="1603"/>
      <c r="P166" s="1603"/>
      <c r="Q166" s="1604"/>
      <c r="U166" s="186"/>
      <c r="V166" s="186"/>
      <c r="W166" s="186"/>
      <c r="X166" s="186"/>
      <c r="Y166" s="186"/>
      <c r="Z166" s="186"/>
      <c r="AA166" s="186"/>
      <c r="AB166" s="186"/>
      <c r="AC166" s="186"/>
      <c r="AD166" s="186"/>
      <c r="AE166" s="805"/>
    </row>
    <row r="167" spans="1:31" ht="12" customHeight="1">
      <c r="B167" s="187" t="s">
        <v>2738</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3798</v>
      </c>
      <c r="C170" s="5"/>
      <c r="D170" s="115"/>
      <c r="E170" s="115"/>
      <c r="F170" s="115"/>
      <c r="G170" s="856"/>
      <c r="H170" s="856"/>
      <c r="I170" s="856"/>
      <c r="J170" s="856"/>
      <c r="K170" s="856"/>
      <c r="L170" s="856"/>
      <c r="M170" s="856"/>
      <c r="O170" s="181" t="s">
        <v>2739</v>
      </c>
      <c r="P170" s="1114"/>
      <c r="Q170" s="1119"/>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98" t="s">
        <v>3976</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98"/>
      <c r="Q173" s="232"/>
    </row>
    <row r="174" spans="1:31" ht="11.45" customHeight="1">
      <c r="A174" s="189"/>
      <c r="B174" s="192" t="s">
        <v>2865</v>
      </c>
      <c r="C174" s="1118" t="s">
        <v>2720</v>
      </c>
      <c r="D174" s="1118"/>
      <c r="E174" s="1118"/>
      <c r="F174" s="1118"/>
      <c r="G174" s="1118"/>
      <c r="H174" s="79" t="s">
        <v>2590</v>
      </c>
      <c r="I174" s="62" t="s">
        <v>894</v>
      </c>
      <c r="J174" s="1608" t="s">
        <v>4052</v>
      </c>
      <c r="K174" s="1609"/>
      <c r="L174" s="1609"/>
      <c r="M174" s="1609"/>
      <c r="N174" s="1610"/>
      <c r="O174" s="79" t="s">
        <v>2030</v>
      </c>
      <c r="P174" s="1598" t="s">
        <v>3975</v>
      </c>
      <c r="Q174" s="232"/>
    </row>
    <row r="175" spans="1:31" ht="11.45" customHeight="1">
      <c r="A175" s="189"/>
      <c r="B175" s="859"/>
      <c r="C175" s="1118"/>
      <c r="D175" s="1118"/>
      <c r="E175" s="1118"/>
      <c r="F175" s="1118"/>
      <c r="G175" s="1118"/>
      <c r="H175" s="79" t="s">
        <v>2591</v>
      </c>
      <c r="I175" s="62" t="s">
        <v>125</v>
      </c>
      <c r="J175" s="1608" t="s">
        <v>4052</v>
      </c>
      <c r="K175" s="1609"/>
      <c r="L175" s="1609"/>
      <c r="M175" s="1609"/>
      <c r="N175" s="1610"/>
      <c r="O175" s="79" t="s">
        <v>2591</v>
      </c>
      <c r="P175" s="1598" t="s">
        <v>3975</v>
      </c>
      <c r="Q175" s="232"/>
    </row>
    <row r="176" spans="1:31" ht="11.25" customHeight="1">
      <c r="B176" s="191" t="s">
        <v>2737</v>
      </c>
      <c r="D176" s="191"/>
      <c r="E176" s="191"/>
      <c r="F176" s="191"/>
      <c r="G176" s="191"/>
      <c r="H176" s="48"/>
      <c r="I176" s="180"/>
      <c r="J176" s="180"/>
      <c r="K176" s="180"/>
      <c r="L176" s="848"/>
      <c r="M176" s="848"/>
      <c r="N176" s="848"/>
      <c r="O176" s="848"/>
      <c r="P176" s="848"/>
      <c r="Q176" s="60"/>
    </row>
    <row r="177" spans="1:32" ht="11.45" customHeight="1">
      <c r="A177" s="1602"/>
      <c r="B177" s="1603"/>
      <c r="C177" s="1603"/>
      <c r="D177" s="1603"/>
      <c r="E177" s="1603"/>
      <c r="F177" s="1603"/>
      <c r="G177" s="1603"/>
      <c r="H177" s="1603"/>
      <c r="I177" s="1603"/>
      <c r="J177" s="1603"/>
      <c r="K177" s="1603"/>
      <c r="L177" s="1603"/>
      <c r="M177" s="1603"/>
      <c r="N177" s="1603"/>
      <c r="O177" s="1603"/>
      <c r="P177" s="1603"/>
      <c r="Q177" s="1604"/>
      <c r="U177" s="186"/>
      <c r="V177" s="186"/>
      <c r="W177" s="186"/>
      <c r="X177" s="186"/>
      <c r="Y177" s="186"/>
      <c r="Z177" s="186"/>
      <c r="AA177" s="186"/>
      <c r="AB177" s="186"/>
      <c r="AC177" s="186"/>
      <c r="AD177" s="186"/>
      <c r="AE177" s="805"/>
    </row>
    <row r="178" spans="1:32" ht="11.25" customHeight="1">
      <c r="B178" s="187" t="s">
        <v>2738</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3799</v>
      </c>
      <c r="C181" s="5"/>
      <c r="D181" s="115"/>
      <c r="E181" s="115"/>
      <c r="F181" s="115"/>
      <c r="G181" s="115"/>
      <c r="H181" s="856"/>
      <c r="I181" s="856"/>
      <c r="J181" s="856"/>
      <c r="K181" s="856"/>
      <c r="L181" s="856"/>
      <c r="M181" s="856"/>
      <c r="O181" s="181" t="s">
        <v>2739</v>
      </c>
      <c r="P181" s="1114"/>
      <c r="Q181" s="1119"/>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98" t="s">
        <v>3975</v>
      </c>
      <c r="Q183" s="232"/>
    </row>
    <row r="184" spans="1:32" ht="11.45" customHeight="1">
      <c r="B184" s="55" t="s">
        <v>2865</v>
      </c>
      <c r="C184" s="62" t="s">
        <v>176</v>
      </c>
      <c r="D184" s="62"/>
      <c r="E184" s="62"/>
      <c r="F184" s="62"/>
      <c r="G184" s="62"/>
      <c r="H184" s="62"/>
      <c r="I184" s="50"/>
      <c r="J184" s="50"/>
      <c r="K184" s="50"/>
      <c r="L184" s="190"/>
      <c r="M184" s="190"/>
      <c r="O184" s="219" t="s">
        <v>2865</v>
      </c>
      <c r="P184" s="1598" t="s">
        <v>3975</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98" t="s">
        <v>3975</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98" t="s">
        <v>3976</v>
      </c>
      <c r="Q186" s="232"/>
      <c r="AE186" s="807"/>
      <c r="AF186" s="807"/>
    </row>
    <row r="187" spans="1:32" ht="11.25" customHeight="1">
      <c r="B187" s="191" t="s">
        <v>2737</v>
      </c>
      <c r="D187" s="191"/>
      <c r="E187" s="191"/>
      <c r="F187" s="191"/>
      <c r="G187" s="191"/>
      <c r="H187" s="48"/>
      <c r="I187" s="180"/>
      <c r="J187" s="180"/>
      <c r="K187" s="180"/>
      <c r="L187" s="848"/>
      <c r="M187" s="848"/>
      <c r="N187" s="848"/>
      <c r="O187" s="848"/>
      <c r="P187" s="848"/>
      <c r="Q187" s="60"/>
    </row>
    <row r="188" spans="1:32" ht="13.15" customHeight="1">
      <c r="A188" s="1602"/>
      <c r="B188" s="1603"/>
      <c r="C188" s="1603"/>
      <c r="D188" s="1603"/>
      <c r="E188" s="1603"/>
      <c r="F188" s="1603"/>
      <c r="G188" s="1603"/>
      <c r="H188" s="1603"/>
      <c r="I188" s="1603"/>
      <c r="J188" s="1603"/>
      <c r="K188" s="1603"/>
      <c r="L188" s="1603"/>
      <c r="M188" s="1603"/>
      <c r="N188" s="1603"/>
      <c r="O188" s="1603"/>
      <c r="P188" s="1603"/>
      <c r="Q188" s="1604"/>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3800</v>
      </c>
      <c r="C193" s="154"/>
      <c r="D193" s="856"/>
      <c r="E193" s="856"/>
      <c r="F193" s="856"/>
      <c r="G193" s="856"/>
      <c r="H193" s="856"/>
      <c r="I193" s="856"/>
      <c r="J193" s="856"/>
      <c r="K193" s="856"/>
      <c r="L193" s="856"/>
      <c r="M193" s="856"/>
      <c r="O193" s="181" t="s">
        <v>2739</v>
      </c>
      <c r="P193" s="1114"/>
      <c r="Q193" s="1119"/>
    </row>
    <row r="194" spans="1:32" s="31" customFormat="1" ht="11.45" customHeight="1">
      <c r="B194" s="195" t="s">
        <v>1716</v>
      </c>
      <c r="N194" s="166"/>
      <c r="P194" s="1598" t="s">
        <v>3976</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608" t="s">
        <v>4053</v>
      </c>
      <c r="N196" s="1609"/>
      <c r="O196" s="1610"/>
      <c r="P196" s="1598" t="s">
        <v>4043</v>
      </c>
      <c r="Q196" s="232"/>
    </row>
    <row r="197" spans="1:32" ht="11.45" customHeight="1">
      <c r="B197" s="55"/>
      <c r="C197" s="79" t="s">
        <v>2591</v>
      </c>
      <c r="D197" s="38" t="s">
        <v>180</v>
      </c>
      <c r="E197" s="38"/>
      <c r="F197" s="38"/>
      <c r="G197" s="38"/>
      <c r="H197" s="38"/>
      <c r="I197" s="50"/>
      <c r="J197" s="50"/>
      <c r="K197" s="50"/>
      <c r="L197" s="79" t="s">
        <v>2082</v>
      </c>
      <c r="M197" s="1608" t="s">
        <v>4062</v>
      </c>
      <c r="N197" s="1609"/>
      <c r="O197" s="1610"/>
      <c r="P197" s="1598" t="s">
        <v>4043</v>
      </c>
      <c r="Q197" s="232"/>
    </row>
    <row r="198" spans="1:32" ht="11.45" customHeight="1">
      <c r="B198" s="55"/>
      <c r="C198" s="79" t="s">
        <v>2592</v>
      </c>
      <c r="D198" s="38" t="s">
        <v>796</v>
      </c>
      <c r="E198" s="38"/>
      <c r="F198" s="38"/>
      <c r="G198" s="38"/>
      <c r="H198" s="38"/>
      <c r="I198" s="50"/>
      <c r="J198" s="50"/>
      <c r="K198" s="50"/>
      <c r="L198" s="79" t="s">
        <v>2083</v>
      </c>
      <c r="M198" s="1630" t="s">
        <v>4054</v>
      </c>
      <c r="N198" s="1631"/>
      <c r="O198" s="1632"/>
      <c r="P198" s="1598" t="s">
        <v>4043</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3519</v>
      </c>
      <c r="D200" s="62"/>
      <c r="E200" s="62"/>
      <c r="F200" s="62"/>
      <c r="G200" s="62"/>
      <c r="H200" s="62"/>
      <c r="I200" s="62"/>
      <c r="J200" s="62"/>
      <c r="K200" s="50"/>
      <c r="L200" s="50"/>
      <c r="M200" s="50"/>
      <c r="N200" s="50"/>
      <c r="O200" s="803" t="s">
        <v>2865</v>
      </c>
      <c r="P200" s="1598" t="s">
        <v>4043</v>
      </c>
      <c r="Q200" s="232"/>
    </row>
    <row r="201" spans="1:32" ht="10.9" customHeight="1">
      <c r="B201" s="55"/>
      <c r="C201" s="62" t="s">
        <v>3518</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33" t="s">
        <v>2993</v>
      </c>
      <c r="E203" s="1634"/>
      <c r="F203" s="1634"/>
      <c r="G203" s="1634"/>
      <c r="H203" s="1635"/>
      <c r="I203" s="447"/>
      <c r="J203" s="292"/>
      <c r="K203" s="79" t="s">
        <v>2592</v>
      </c>
      <c r="L203" s="1633"/>
      <c r="M203" s="1634"/>
      <c r="N203" s="1634"/>
      <c r="O203" s="1635"/>
      <c r="P203" s="355"/>
      <c r="Q203" s="292"/>
      <c r="AE203" s="64"/>
      <c r="AF203" s="64"/>
    </row>
    <row r="204" spans="1:32" s="51" customFormat="1" ht="11.45" customHeight="1">
      <c r="A204" s="126"/>
      <c r="B204" s="61"/>
      <c r="C204" s="79" t="s">
        <v>2591</v>
      </c>
      <c r="D204" s="1636" t="s">
        <v>4055</v>
      </c>
      <c r="E204" s="1637"/>
      <c r="F204" s="1637"/>
      <c r="G204" s="1637"/>
      <c r="H204" s="1638"/>
      <c r="I204" s="652"/>
      <c r="J204" s="293"/>
      <c r="K204" s="79" t="s">
        <v>3330</v>
      </c>
      <c r="L204" s="1636"/>
      <c r="M204" s="1637"/>
      <c r="N204" s="1637"/>
      <c r="O204" s="1638"/>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98" t="s">
        <v>4043</v>
      </c>
      <c r="Q206" s="232"/>
    </row>
    <row r="207" spans="1:32" ht="11.45" customHeight="1">
      <c r="B207" s="55"/>
      <c r="C207" s="79" t="s">
        <v>2590</v>
      </c>
      <c r="D207" s="62" t="s">
        <v>188</v>
      </c>
      <c r="E207" s="62"/>
      <c r="F207" s="62"/>
      <c r="G207" s="62"/>
      <c r="H207" s="62"/>
      <c r="I207" s="50"/>
      <c r="J207" s="40"/>
      <c r="K207" s="50"/>
      <c r="L207" s="40"/>
      <c r="M207" s="40"/>
      <c r="O207" s="79" t="s">
        <v>2590</v>
      </c>
      <c r="P207" s="1598" t="s">
        <v>3975</v>
      </c>
      <c r="Q207" s="232"/>
    </row>
    <row r="208" spans="1:32" ht="11.45" customHeight="1">
      <c r="C208" s="79" t="s">
        <v>2591</v>
      </c>
      <c r="D208" s="38" t="s">
        <v>2490</v>
      </c>
      <c r="E208" s="38"/>
      <c r="F208" s="38"/>
      <c r="G208" s="38"/>
      <c r="H208" s="38"/>
      <c r="I208" s="50"/>
      <c r="J208" s="40"/>
      <c r="K208" s="50"/>
      <c r="L208" s="40"/>
      <c r="M208" s="40"/>
      <c r="O208" s="79" t="s">
        <v>2591</v>
      </c>
      <c r="P208" s="1598" t="s">
        <v>3975</v>
      </c>
      <c r="Q208" s="232"/>
    </row>
    <row r="209" spans="1:31" ht="11.45" customHeight="1">
      <c r="C209" s="79" t="s">
        <v>2592</v>
      </c>
      <c r="D209" s="38" t="s">
        <v>2107</v>
      </c>
      <c r="E209" s="38"/>
      <c r="F209" s="38"/>
      <c r="G209" s="38"/>
      <c r="H209" s="38"/>
      <c r="I209" s="50"/>
      <c r="J209" s="40"/>
      <c r="K209" s="50"/>
      <c r="L209" s="40"/>
      <c r="M209" s="40"/>
      <c r="O209" s="79" t="s">
        <v>2592</v>
      </c>
      <c r="P209" s="1598" t="s">
        <v>3975</v>
      </c>
      <c r="Q209" s="232"/>
    </row>
    <row r="210" spans="1:31" ht="11.45" customHeight="1">
      <c r="B210" s="55"/>
      <c r="C210" s="79" t="s">
        <v>3330</v>
      </c>
      <c r="D210" s="38" t="s">
        <v>189</v>
      </c>
      <c r="E210" s="38"/>
      <c r="F210" s="38"/>
      <c r="G210" s="38"/>
      <c r="H210" s="38"/>
      <c r="I210" s="50"/>
      <c r="J210" s="40"/>
      <c r="K210" s="50"/>
      <c r="L210" s="40"/>
      <c r="M210" s="40"/>
      <c r="O210" s="79" t="s">
        <v>3330</v>
      </c>
      <c r="P210" s="1598" t="s">
        <v>3975</v>
      </c>
      <c r="Q210" s="232"/>
    </row>
    <row r="211" spans="1:31" ht="11.45" customHeight="1">
      <c r="B211" s="55"/>
      <c r="C211" s="79" t="s">
        <v>2153</v>
      </c>
      <c r="D211" s="62" t="s">
        <v>1256</v>
      </c>
      <c r="E211" s="62"/>
      <c r="F211" s="62"/>
      <c r="G211" s="62"/>
      <c r="H211" s="62"/>
      <c r="I211" s="50"/>
      <c r="J211" s="40"/>
      <c r="K211" s="50"/>
      <c r="L211" s="40"/>
      <c r="M211" s="40"/>
      <c r="O211" s="79" t="s">
        <v>1257</v>
      </c>
      <c r="P211" s="1598" t="s">
        <v>3975</v>
      </c>
      <c r="Q211" s="232"/>
    </row>
    <row r="212" spans="1:31" ht="11.45" customHeight="1">
      <c r="B212" s="55"/>
      <c r="C212" s="79"/>
      <c r="D212" s="62" t="s">
        <v>2084</v>
      </c>
      <c r="E212" s="62"/>
      <c r="F212" s="62"/>
      <c r="G212" s="62"/>
      <c r="H212" s="62"/>
      <c r="I212" s="50"/>
      <c r="J212" s="40"/>
      <c r="K212" s="50"/>
      <c r="L212" s="40"/>
      <c r="M212" s="40"/>
      <c r="O212" s="79" t="s">
        <v>1258</v>
      </c>
      <c r="P212" s="1598"/>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3869</v>
      </c>
      <c r="D214" s="62"/>
      <c r="E214" s="62"/>
      <c r="F214" s="62"/>
      <c r="G214" s="62"/>
      <c r="H214" s="62"/>
      <c r="I214" s="62"/>
      <c r="J214" s="62"/>
      <c r="K214" s="50"/>
      <c r="L214" s="62"/>
      <c r="M214" s="62"/>
      <c r="O214" s="803" t="s">
        <v>3004</v>
      </c>
      <c r="P214" s="1598"/>
      <c r="Q214" s="232"/>
    </row>
    <row r="215" spans="1:31" ht="11.45" customHeight="1">
      <c r="B215" s="55"/>
      <c r="C215" s="79" t="s">
        <v>2590</v>
      </c>
      <c r="D215" s="47" t="s">
        <v>1807</v>
      </c>
      <c r="E215" s="50"/>
      <c r="F215" s="50"/>
      <c r="G215" s="47"/>
      <c r="H215" s="38"/>
      <c r="I215" s="50"/>
      <c r="J215" s="38"/>
      <c r="K215" s="50"/>
      <c r="L215" s="38"/>
      <c r="M215" s="38"/>
      <c r="O215" s="79" t="s">
        <v>2590</v>
      </c>
      <c r="P215" s="1598"/>
      <c r="Q215" s="232"/>
    </row>
    <row r="216" spans="1:31" ht="11.45" customHeight="1">
      <c r="B216" s="55"/>
      <c r="C216" s="79" t="s">
        <v>2591</v>
      </c>
      <c r="D216" s="47" t="s">
        <v>181</v>
      </c>
      <c r="E216" s="50"/>
      <c r="F216" s="50"/>
      <c r="G216" s="38"/>
      <c r="H216" s="38"/>
      <c r="I216" s="50"/>
      <c r="J216" s="38"/>
      <c r="K216" s="50"/>
      <c r="L216" s="38"/>
      <c r="M216" s="38"/>
      <c r="O216" s="79" t="s">
        <v>2591</v>
      </c>
      <c r="P216" s="1598"/>
      <c r="Q216" s="232"/>
    </row>
    <row r="217" spans="1:31" ht="11.45" customHeight="1">
      <c r="B217" s="55"/>
      <c r="C217" s="79" t="s">
        <v>2592</v>
      </c>
      <c r="D217" s="38" t="s">
        <v>2468</v>
      </c>
      <c r="E217" s="50"/>
      <c r="F217" s="50"/>
      <c r="G217" s="38"/>
      <c r="H217" s="38"/>
      <c r="I217" s="50"/>
      <c r="J217" s="38"/>
      <c r="K217" s="50"/>
      <c r="L217" s="38"/>
      <c r="M217" s="38"/>
      <c r="O217" s="79" t="s">
        <v>3339</v>
      </c>
      <c r="P217" s="1598"/>
      <c r="Q217" s="232"/>
    </row>
    <row r="218" spans="1:31" ht="11.45" customHeight="1">
      <c r="B218" s="44"/>
      <c r="C218" s="50"/>
      <c r="D218" s="38" t="s">
        <v>1852</v>
      </c>
      <c r="E218" s="50"/>
      <c r="F218" s="50"/>
      <c r="G218" s="38"/>
      <c r="H218" s="38"/>
      <c r="I218" s="50"/>
      <c r="J218" s="38"/>
      <c r="K218" s="50"/>
      <c r="L218" s="38"/>
      <c r="M218" s="38"/>
      <c r="O218" s="79" t="s">
        <v>3340</v>
      </c>
      <c r="P218" s="1598"/>
      <c r="Q218" s="232"/>
    </row>
    <row r="219" spans="1:31" ht="11.25" customHeight="1">
      <c r="B219" s="191" t="s">
        <v>2737</v>
      </c>
      <c r="D219" s="191"/>
      <c r="E219" s="191"/>
      <c r="F219" s="191"/>
      <c r="G219" s="191"/>
      <c r="H219" s="48"/>
      <c r="I219" s="180"/>
      <c r="J219" s="180"/>
      <c r="K219" s="180"/>
      <c r="L219" s="848"/>
      <c r="M219" s="848"/>
      <c r="N219" s="848"/>
      <c r="O219" s="848"/>
      <c r="P219" s="848"/>
      <c r="Q219" s="60"/>
    </row>
    <row r="220" spans="1:31" ht="11.45" customHeight="1">
      <c r="A220" s="1602"/>
      <c r="B220" s="1603"/>
      <c r="C220" s="1603"/>
      <c r="D220" s="1603"/>
      <c r="E220" s="1603"/>
      <c r="F220" s="1603"/>
      <c r="G220" s="1603"/>
      <c r="H220" s="1603"/>
      <c r="I220" s="1603"/>
      <c r="J220" s="1603"/>
      <c r="K220" s="1603"/>
      <c r="L220" s="1603"/>
      <c r="M220" s="1603"/>
      <c r="N220" s="1603"/>
      <c r="O220" s="1603"/>
      <c r="P220" s="1603"/>
      <c r="Q220" s="1604"/>
      <c r="R220" s="736" t="s">
        <v>1806</v>
      </c>
      <c r="S220" s="737"/>
      <c r="U220" s="186"/>
      <c r="V220" s="186"/>
      <c r="W220" s="186"/>
      <c r="X220" s="186"/>
      <c r="Y220" s="186"/>
      <c r="Z220" s="186"/>
      <c r="AA220" s="186"/>
      <c r="AB220" s="186"/>
      <c r="AC220" s="186"/>
      <c r="AD220" s="186"/>
      <c r="AE220" s="805"/>
    </row>
    <row r="221" spans="1:31" ht="11.25" customHeight="1">
      <c r="B221" s="187" t="s">
        <v>2738</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3801</v>
      </c>
      <c r="C224" s="5"/>
      <c r="D224" s="115"/>
      <c r="E224" s="115"/>
      <c r="F224" s="115"/>
      <c r="G224" s="115"/>
      <c r="H224" s="856"/>
      <c r="I224" s="856"/>
      <c r="J224" s="856"/>
      <c r="K224" s="856"/>
      <c r="L224" s="856"/>
      <c r="M224" s="856"/>
      <c r="O224" s="181" t="s">
        <v>2739</v>
      </c>
      <c r="P224" s="1114"/>
      <c r="Q224" s="1119"/>
    </row>
    <row r="225" spans="1:32" ht="4.9000000000000004" customHeight="1"/>
    <row r="226" spans="1:32" ht="11.45" customHeight="1">
      <c r="B226" s="55" t="s">
        <v>2862</v>
      </c>
      <c r="C226" s="62" t="s">
        <v>1823</v>
      </c>
      <c r="D226" s="50"/>
      <c r="E226" s="62"/>
      <c r="F226" s="62"/>
      <c r="G226" s="62"/>
      <c r="H226" s="62"/>
      <c r="I226" s="50"/>
      <c r="J226" s="50"/>
      <c r="K226" s="50"/>
      <c r="L226" s="803" t="s">
        <v>2862</v>
      </c>
      <c r="M226" s="1608" t="s">
        <v>2626</v>
      </c>
      <c r="N226" s="1609"/>
      <c r="O226" s="1610"/>
      <c r="P226" s="1132" t="s">
        <v>2626</v>
      </c>
      <c r="Q226" s="1133"/>
    </row>
    <row r="227" spans="1:32" ht="11.45" customHeight="1">
      <c r="B227" s="55" t="s">
        <v>2865</v>
      </c>
      <c r="C227" s="62" t="s">
        <v>1795</v>
      </c>
      <c r="D227" s="62"/>
      <c r="E227" s="62"/>
      <c r="F227" s="62"/>
      <c r="G227" s="62"/>
      <c r="H227" s="62"/>
      <c r="I227" s="50"/>
      <c r="J227" s="50"/>
      <c r="K227" s="50"/>
      <c r="L227" s="803" t="s">
        <v>2865</v>
      </c>
      <c r="M227" s="1639"/>
      <c r="N227" s="1640"/>
      <c r="O227" s="1641"/>
      <c r="P227" s="1163"/>
      <c r="Q227" s="1164"/>
    </row>
    <row r="228" spans="1:32" s="199" customFormat="1" ht="11.45" customHeight="1">
      <c r="B228" s="55" t="s">
        <v>1145</v>
      </c>
      <c r="C228" s="62" t="s">
        <v>2823</v>
      </c>
      <c r="D228" s="62"/>
      <c r="E228" s="62"/>
      <c r="F228" s="62"/>
      <c r="G228" s="62"/>
      <c r="H228" s="62"/>
      <c r="I228" s="126"/>
      <c r="J228" s="126"/>
      <c r="K228" s="126"/>
      <c r="L228" s="803" t="s">
        <v>1145</v>
      </c>
      <c r="M228" s="1608"/>
      <c r="N228" s="1609"/>
      <c r="O228" s="1610"/>
      <c r="P228" s="1132"/>
      <c r="Q228" s="1133"/>
      <c r="AE228" s="807"/>
      <c r="AF228" s="807"/>
    </row>
    <row r="229" spans="1:32" s="199" customFormat="1" ht="11.45" customHeight="1">
      <c r="B229" s="55" t="s">
        <v>3004</v>
      </c>
      <c r="C229" s="62" t="s">
        <v>3567</v>
      </c>
      <c r="D229" s="62"/>
      <c r="E229" s="62"/>
      <c r="F229" s="62"/>
      <c r="G229" s="62"/>
      <c r="H229" s="62"/>
      <c r="I229" s="126"/>
      <c r="J229" s="126"/>
      <c r="K229" s="126"/>
      <c r="L229" s="126"/>
      <c r="M229" s="126"/>
      <c r="O229" s="803" t="s">
        <v>3004</v>
      </c>
      <c r="P229" s="1598"/>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98"/>
      <c r="Q230" s="232"/>
      <c r="AE230" s="807"/>
      <c r="AF230" s="807"/>
    </row>
    <row r="231" spans="1:32" ht="11.25" customHeight="1">
      <c r="B231" s="191" t="s">
        <v>2737</v>
      </c>
      <c r="D231" s="191"/>
      <c r="E231" s="191"/>
      <c r="F231" s="191"/>
      <c r="G231" s="191"/>
      <c r="H231" s="48"/>
      <c r="I231" s="180"/>
      <c r="J231" s="180"/>
      <c r="K231" s="180"/>
      <c r="L231" s="848"/>
      <c r="M231" s="848"/>
      <c r="N231" s="848"/>
      <c r="O231" s="848"/>
      <c r="P231" s="848"/>
      <c r="Q231" s="60"/>
    </row>
    <row r="232" spans="1:32" ht="13.15" customHeight="1">
      <c r="A232" s="1602"/>
      <c r="B232" s="1603"/>
      <c r="C232" s="1603"/>
      <c r="D232" s="1603"/>
      <c r="E232" s="1603"/>
      <c r="F232" s="1603"/>
      <c r="G232" s="1603"/>
      <c r="H232" s="1603"/>
      <c r="I232" s="1603"/>
      <c r="J232" s="1603"/>
      <c r="K232" s="1603"/>
      <c r="L232" s="1603"/>
      <c r="M232" s="1603"/>
      <c r="N232" s="1603"/>
      <c r="O232" s="1603"/>
      <c r="P232" s="1603"/>
      <c r="Q232" s="1604"/>
      <c r="R232" s="736" t="s">
        <v>1806</v>
      </c>
      <c r="S232" s="737"/>
      <c r="U232" s="186"/>
      <c r="V232" s="186"/>
      <c r="W232" s="186"/>
      <c r="X232" s="186"/>
      <c r="Y232" s="186"/>
      <c r="Z232" s="186"/>
      <c r="AA232" s="186"/>
      <c r="AB232" s="186"/>
      <c r="AC232" s="186"/>
      <c r="AD232" s="186"/>
      <c r="AE232" s="805"/>
    </row>
    <row r="233" spans="1:32" ht="10.9" customHeight="1">
      <c r="B233" s="187" t="s">
        <v>2738</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3802</v>
      </c>
      <c r="C236" s="5"/>
      <c r="D236" s="115"/>
      <c r="E236" s="115"/>
      <c r="F236" s="115"/>
      <c r="G236" s="115"/>
      <c r="H236" s="856"/>
      <c r="I236" s="856"/>
      <c r="J236" s="856"/>
      <c r="K236" s="856"/>
      <c r="L236" s="856"/>
      <c r="M236" s="856"/>
      <c r="O236" s="181" t="s">
        <v>2739</v>
      </c>
      <c r="P236" s="1114"/>
      <c r="Q236" s="1119"/>
    </row>
    <row r="237" spans="1:32" ht="3" customHeight="1"/>
    <row r="238" spans="1:32" s="661" customFormat="1" ht="11.25" customHeight="1">
      <c r="B238" s="192" t="s">
        <v>2862</v>
      </c>
      <c r="C238" s="1118" t="s">
        <v>3845</v>
      </c>
      <c r="D238" s="1118"/>
      <c r="E238" s="1118"/>
      <c r="F238" s="1118"/>
      <c r="G238" s="1118"/>
      <c r="H238" s="1118"/>
      <c r="I238" s="1118"/>
      <c r="J238" s="1118"/>
      <c r="K238" s="1118"/>
      <c r="L238" s="1118"/>
      <c r="M238" s="1118"/>
      <c r="N238" s="1118"/>
      <c r="O238" s="219" t="s">
        <v>2862</v>
      </c>
      <c r="P238" s="1619" t="s">
        <v>3975</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98" t="s">
        <v>3975</v>
      </c>
      <c r="Q239" s="232"/>
      <c r="AE239" s="807"/>
      <c r="AF239" s="807"/>
    </row>
    <row r="240" spans="1:32" ht="11.25" customHeight="1">
      <c r="B240" s="191" t="s">
        <v>2737</v>
      </c>
      <c r="D240" s="191"/>
      <c r="E240" s="191"/>
      <c r="F240" s="191"/>
      <c r="G240" s="191"/>
      <c r="H240" s="48"/>
      <c r="I240" s="180"/>
      <c r="J240" s="180"/>
      <c r="K240" s="180"/>
      <c r="L240" s="848"/>
      <c r="M240" s="848"/>
      <c r="N240" s="848"/>
      <c r="O240" s="848"/>
      <c r="P240" s="848"/>
      <c r="Q240" s="60"/>
    </row>
    <row r="241" spans="1:32" ht="13.15" customHeight="1">
      <c r="A241" s="1602"/>
      <c r="B241" s="1603"/>
      <c r="C241" s="1603"/>
      <c r="D241" s="1603"/>
      <c r="E241" s="1603"/>
      <c r="F241" s="1603"/>
      <c r="G241" s="1603"/>
      <c r="H241" s="1603"/>
      <c r="I241" s="1603"/>
      <c r="J241" s="1603"/>
      <c r="K241" s="1603"/>
      <c r="L241" s="1603"/>
      <c r="M241" s="1603"/>
      <c r="N241" s="1603"/>
      <c r="O241" s="1603"/>
      <c r="P241" s="1603"/>
      <c r="Q241" s="1604"/>
      <c r="R241" s="736" t="s">
        <v>1806</v>
      </c>
      <c r="S241" s="737"/>
      <c r="U241" s="186"/>
      <c r="V241" s="186"/>
      <c r="W241" s="186"/>
      <c r="X241" s="186"/>
      <c r="Y241" s="186"/>
      <c r="Z241" s="186"/>
      <c r="AA241" s="186"/>
      <c r="AB241" s="186"/>
      <c r="AC241" s="186"/>
      <c r="AD241" s="186"/>
      <c r="AE241" s="805"/>
    </row>
    <row r="242" spans="1:32" ht="11.25" customHeight="1">
      <c r="B242" s="187" t="s">
        <v>2738</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3803</v>
      </c>
      <c r="C245" s="857"/>
      <c r="D245" s="856"/>
      <c r="E245" s="856"/>
      <c r="F245" s="856"/>
      <c r="G245" s="856"/>
      <c r="H245" s="856"/>
      <c r="I245" s="856"/>
      <c r="J245" s="856"/>
      <c r="K245" s="856"/>
      <c r="L245" s="856"/>
      <c r="M245" s="856"/>
      <c r="O245" s="181" t="s">
        <v>2739</v>
      </c>
      <c r="P245" s="1114"/>
      <c r="Q245" s="1119"/>
    </row>
    <row r="246" spans="1:32" ht="3" customHeight="1"/>
    <row r="247" spans="1:32" s="661" customFormat="1" ht="24" customHeight="1">
      <c r="B247" s="192" t="s">
        <v>2862</v>
      </c>
      <c r="C247" s="1113" t="s">
        <v>3889</v>
      </c>
      <c r="D247" s="1006"/>
      <c r="E247" s="1006"/>
      <c r="F247" s="1006"/>
      <c r="G247" s="1006"/>
      <c r="H247" s="1006"/>
      <c r="I247" s="1006"/>
      <c r="J247" s="1006"/>
      <c r="K247" s="1006"/>
      <c r="L247" s="1006"/>
      <c r="M247" s="1006"/>
      <c r="N247" s="1006"/>
      <c r="O247" s="219" t="s">
        <v>2862</v>
      </c>
      <c r="P247" s="1598" t="s">
        <v>4043</v>
      </c>
      <c r="Q247" s="232"/>
      <c r="AE247" s="808"/>
      <c r="AF247" s="808"/>
    </row>
    <row r="248" spans="1:32" s="661" customFormat="1" ht="24" customHeight="1">
      <c r="B248" s="192" t="s">
        <v>2865</v>
      </c>
      <c r="C248" s="1113" t="s">
        <v>3890</v>
      </c>
      <c r="D248" s="1006"/>
      <c r="E248" s="1006"/>
      <c r="F248" s="1006"/>
      <c r="G248" s="1006"/>
      <c r="H248" s="1006"/>
      <c r="I248" s="1006"/>
      <c r="J248" s="1006"/>
      <c r="K248" s="1006"/>
      <c r="L248" s="1006"/>
      <c r="M248" s="1006"/>
      <c r="N248" s="1006"/>
      <c r="O248" s="219" t="s">
        <v>2865</v>
      </c>
      <c r="P248" s="1598" t="s">
        <v>4043</v>
      </c>
      <c r="Q248" s="232"/>
      <c r="AE248" s="808"/>
      <c r="AF248" s="808"/>
    </row>
    <row r="249" spans="1:32" ht="11.25" customHeight="1">
      <c r="B249" s="191" t="s">
        <v>2737</v>
      </c>
      <c r="D249" s="191"/>
      <c r="E249" s="191"/>
      <c r="F249" s="191"/>
      <c r="G249" s="191"/>
      <c r="H249" s="48"/>
      <c r="I249" s="180"/>
      <c r="J249" s="180"/>
      <c r="K249" s="180"/>
      <c r="L249" s="848"/>
      <c r="M249" s="848"/>
      <c r="N249" s="848"/>
      <c r="O249" s="848"/>
      <c r="P249" s="848"/>
      <c r="Q249" s="60"/>
    </row>
    <row r="250" spans="1:32" ht="13.15" customHeight="1">
      <c r="A250" s="1602"/>
      <c r="B250" s="1603"/>
      <c r="C250" s="1603"/>
      <c r="D250" s="1603"/>
      <c r="E250" s="1603"/>
      <c r="F250" s="1603"/>
      <c r="G250" s="1603"/>
      <c r="H250" s="1603"/>
      <c r="I250" s="1603"/>
      <c r="J250" s="1603"/>
      <c r="K250" s="1603"/>
      <c r="L250" s="1603"/>
      <c r="M250" s="1603"/>
      <c r="N250" s="1603"/>
      <c r="O250" s="1603"/>
      <c r="P250" s="1603"/>
      <c r="Q250" s="1604"/>
      <c r="R250" s="736" t="s">
        <v>1806</v>
      </c>
      <c r="S250" s="737"/>
      <c r="U250" s="186"/>
      <c r="V250" s="186"/>
      <c r="W250" s="186"/>
      <c r="X250" s="186"/>
      <c r="Y250" s="186"/>
      <c r="Z250" s="186"/>
      <c r="AA250" s="186"/>
      <c r="AB250" s="186"/>
      <c r="AC250" s="186"/>
      <c r="AD250" s="186"/>
      <c r="AE250" s="805"/>
    </row>
    <row r="251" spans="1:32" ht="11.25" customHeight="1">
      <c r="B251" s="187" t="s">
        <v>2738</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3804</v>
      </c>
      <c r="C254" s="200"/>
      <c r="D254" s="855"/>
      <c r="E254" s="856"/>
      <c r="F254" s="856"/>
      <c r="G254" s="856"/>
      <c r="H254" s="856"/>
      <c r="I254" s="856"/>
      <c r="J254" s="856"/>
      <c r="K254" s="856"/>
      <c r="L254" s="856"/>
      <c r="M254" s="856"/>
      <c r="O254" s="181" t="s">
        <v>2739</v>
      </c>
      <c r="P254" s="1114"/>
      <c r="Q254" s="1119"/>
    </row>
    <row r="255" spans="1:32" s="199" customFormat="1" ht="46.5" customHeight="1">
      <c r="B255" s="192" t="s">
        <v>2862</v>
      </c>
      <c r="C255" s="1113" t="s">
        <v>3832</v>
      </c>
      <c r="D255" s="1113"/>
      <c r="E255" s="1113"/>
      <c r="F255" s="1113"/>
      <c r="G255" s="1113"/>
      <c r="H255" s="1113"/>
      <c r="I255" s="1113"/>
      <c r="J255" s="1113"/>
      <c r="K255" s="1113"/>
      <c r="L255" s="1113"/>
      <c r="M255" s="1113"/>
      <c r="N255" s="1113"/>
      <c r="O255" s="219" t="s">
        <v>2862</v>
      </c>
      <c r="P255" s="1619" t="s">
        <v>3975</v>
      </c>
      <c r="Q255" s="232"/>
      <c r="AE255" s="807"/>
      <c r="AF255" s="807"/>
    </row>
    <row r="256" spans="1:32" s="126" customFormat="1">
      <c r="B256" s="55" t="s">
        <v>2865</v>
      </c>
      <c r="C256" s="1097" t="s">
        <v>3833</v>
      </c>
      <c r="D256" s="1097"/>
      <c r="E256" s="1097"/>
      <c r="F256" s="1097"/>
      <c r="G256" s="1097"/>
      <c r="H256" s="1097"/>
      <c r="I256" s="1097"/>
      <c r="J256" s="1097"/>
      <c r="K256" s="1097"/>
      <c r="L256" s="1097"/>
      <c r="M256" s="1097"/>
      <c r="N256" s="1097"/>
      <c r="O256" s="803" t="s">
        <v>2865</v>
      </c>
      <c r="P256" s="1598" t="s">
        <v>3975</v>
      </c>
      <c r="Q256" s="232"/>
      <c r="AE256" s="809"/>
      <c r="AF256" s="809"/>
    </row>
    <row r="257" spans="1:256" s="661" customFormat="1" ht="22.9" customHeight="1">
      <c r="B257" s="192" t="s">
        <v>1145</v>
      </c>
      <c r="C257" s="1113" t="s">
        <v>2708</v>
      </c>
      <c r="D257" s="1006"/>
      <c r="E257" s="1006"/>
      <c r="F257" s="1006"/>
      <c r="G257" s="1006"/>
      <c r="H257" s="1006"/>
      <c r="I257" s="1006"/>
      <c r="J257" s="1006"/>
      <c r="K257" s="1006"/>
      <c r="L257" s="1006"/>
      <c r="M257" s="1006"/>
      <c r="N257" s="1006"/>
      <c r="O257" s="219" t="s">
        <v>1145</v>
      </c>
      <c r="P257" s="1619" t="s">
        <v>3975</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98" t="s">
        <v>3975</v>
      </c>
      <c r="Q258" s="232"/>
      <c r="AE258" s="807"/>
      <c r="AF258" s="807"/>
    </row>
    <row r="259" spans="1:256" s="661" customFormat="1" ht="24.75" customHeight="1">
      <c r="B259" s="192" t="s">
        <v>2588</v>
      </c>
      <c r="C259" s="1113" t="s">
        <v>3846</v>
      </c>
      <c r="D259" s="1006"/>
      <c r="E259" s="1006"/>
      <c r="F259" s="1006"/>
      <c r="G259" s="1006"/>
      <c r="H259" s="1006"/>
      <c r="I259" s="1006"/>
      <c r="J259" s="1006"/>
      <c r="K259" s="1006"/>
      <c r="L259" s="1006"/>
      <c r="M259" s="1006"/>
      <c r="N259" s="1006"/>
      <c r="O259" s="219" t="s">
        <v>2588</v>
      </c>
      <c r="P259" s="1619" t="s">
        <v>3975</v>
      </c>
      <c r="Q259" s="354"/>
      <c r="AE259" s="808"/>
      <c r="AF259" s="808"/>
    </row>
    <row r="260" spans="1:256" ht="11.25" customHeight="1">
      <c r="B260" s="191" t="s">
        <v>2737</v>
      </c>
      <c r="D260" s="191"/>
      <c r="E260" s="191"/>
      <c r="F260" s="191"/>
      <c r="G260" s="191"/>
      <c r="H260" s="48"/>
      <c r="I260" s="180"/>
      <c r="J260" s="180"/>
      <c r="K260" s="180"/>
      <c r="L260" s="848"/>
      <c r="M260" s="848"/>
      <c r="N260" s="848"/>
      <c r="O260" s="848"/>
      <c r="P260" s="848"/>
      <c r="Q260" s="60"/>
    </row>
    <row r="261" spans="1:256" ht="11.45" customHeight="1">
      <c r="A261" s="1602"/>
      <c r="B261" s="1603"/>
      <c r="C261" s="1603"/>
      <c r="D261" s="1603"/>
      <c r="E261" s="1603"/>
      <c r="F261" s="1603"/>
      <c r="G261" s="1603"/>
      <c r="H261" s="1603"/>
      <c r="I261" s="1603"/>
      <c r="J261" s="1603"/>
      <c r="K261" s="1603"/>
      <c r="L261" s="1603"/>
      <c r="M261" s="1603"/>
      <c r="N261" s="1603"/>
      <c r="O261" s="1603"/>
      <c r="P261" s="1603"/>
      <c r="Q261" s="1604"/>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3805</v>
      </c>
      <c r="C264" s="11"/>
      <c r="D264" s="11"/>
      <c r="E264" s="11"/>
      <c r="F264" s="11"/>
      <c r="G264" s="11"/>
      <c r="H264" s="856"/>
      <c r="I264" s="856"/>
      <c r="J264" s="856"/>
      <c r="K264" s="856"/>
      <c r="L264" s="856"/>
      <c r="M264" s="856"/>
      <c r="O264" s="181" t="s">
        <v>2739</v>
      </c>
      <c r="P264" s="1171"/>
      <c r="Q264" s="1172"/>
    </row>
    <row r="265" spans="1:256" ht="11.45" customHeight="1">
      <c r="B265" s="195" t="s">
        <v>3163</v>
      </c>
      <c r="P265" s="1598" t="s">
        <v>3976</v>
      </c>
      <c r="Q265" s="232"/>
    </row>
    <row r="266" spans="1:256" ht="12" customHeight="1">
      <c r="B266" s="197" t="s">
        <v>3111</v>
      </c>
      <c r="C266" s="197"/>
      <c r="D266" s="197"/>
      <c r="E266" s="197"/>
      <c r="F266" s="197"/>
      <c r="G266" s="197"/>
      <c r="H266" s="197"/>
      <c r="I266" s="197"/>
      <c r="J266" s="197"/>
      <c r="K266" s="197"/>
      <c r="L266" s="197"/>
      <c r="P266" s="1598" t="s">
        <v>3975</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13" t="s">
        <v>3937</v>
      </c>
      <c r="D268" s="1113"/>
      <c r="E268" s="1113"/>
      <c r="F268" s="1113"/>
      <c r="G268" s="1113"/>
      <c r="H268" s="1113"/>
      <c r="I268" s="1113"/>
      <c r="J268" s="1113"/>
      <c r="K268" s="1113"/>
      <c r="L268" s="1113"/>
      <c r="M268" s="1113"/>
      <c r="N268" s="1113"/>
      <c r="O268" s="219" t="s">
        <v>2862</v>
      </c>
      <c r="P268" s="1619"/>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2865</v>
      </c>
      <c r="C270" s="1147" t="s">
        <v>634</v>
      </c>
      <c r="D270" s="1147"/>
      <c r="E270" s="1147"/>
      <c r="F270" s="1147"/>
      <c r="G270" s="1147"/>
      <c r="H270" s="1147"/>
      <c r="I270" s="1147"/>
      <c r="J270" s="1147"/>
      <c r="K270" s="1147"/>
      <c r="L270" s="1147"/>
      <c r="M270" s="1147"/>
      <c r="O270" s="219" t="s">
        <v>2865</v>
      </c>
      <c r="P270" s="848"/>
      <c r="Q270" s="60"/>
    </row>
    <row r="271" spans="1:256" ht="23.25" customHeight="1">
      <c r="A271" s="194"/>
      <c r="C271" s="294" t="s">
        <v>2590</v>
      </c>
      <c r="D271" s="295" t="s">
        <v>1647</v>
      </c>
      <c r="E271" s="182"/>
      <c r="F271" s="182"/>
      <c r="G271" s="1642" t="s">
        <v>2027</v>
      </c>
      <c r="H271" s="1643"/>
      <c r="I271" s="1643"/>
      <c r="J271" s="1643"/>
      <c r="K271" s="1643"/>
      <c r="L271" s="1643"/>
      <c r="M271" s="1643"/>
      <c r="N271" s="1644"/>
      <c r="O271" s="298" t="s">
        <v>2590</v>
      </c>
      <c r="P271" s="1619" t="s">
        <v>3975</v>
      </c>
      <c r="Q271" s="354"/>
    </row>
    <row r="272" spans="1:256" ht="23.25" customHeight="1">
      <c r="A272" s="194"/>
      <c r="C272" s="294" t="s">
        <v>2591</v>
      </c>
      <c r="D272" s="1165" t="s">
        <v>1648</v>
      </c>
      <c r="E272" s="1166"/>
      <c r="F272" s="1167"/>
      <c r="G272" s="1602" t="s">
        <v>3787</v>
      </c>
      <c r="H272" s="1467"/>
      <c r="I272" s="1467"/>
      <c r="J272" s="1467"/>
      <c r="K272" s="1467"/>
      <c r="L272" s="1467"/>
      <c r="M272" s="1467"/>
      <c r="N272" s="1468"/>
      <c r="O272" s="298" t="s">
        <v>2591</v>
      </c>
      <c r="P272" s="1619" t="s">
        <v>3975</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3834</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45"/>
      <c r="E275" s="1646"/>
      <c r="F275" s="1646"/>
      <c r="G275" s="1646"/>
      <c r="H275" s="1646"/>
      <c r="I275" s="1646"/>
      <c r="J275" s="1646"/>
      <c r="K275" s="1646"/>
      <c r="L275" s="1646"/>
      <c r="M275" s="1646"/>
      <c r="N275" s="1647"/>
      <c r="O275" s="298" t="s">
        <v>2590</v>
      </c>
      <c r="P275" s="1619"/>
      <c r="Q275" s="354"/>
      <c r="AE275" s="806"/>
      <c r="AF275" s="806"/>
    </row>
    <row r="276" spans="1:256" s="182" customFormat="1" ht="11.25" customHeight="1">
      <c r="A276" s="194"/>
      <c r="C276" s="294" t="s">
        <v>2591</v>
      </c>
      <c r="D276" s="1645"/>
      <c r="E276" s="1646"/>
      <c r="F276" s="1646"/>
      <c r="G276" s="1646"/>
      <c r="H276" s="1646"/>
      <c r="I276" s="1646"/>
      <c r="J276" s="1646"/>
      <c r="K276" s="1646"/>
      <c r="L276" s="1646"/>
      <c r="M276" s="1646"/>
      <c r="N276" s="1647"/>
      <c r="O276" s="298" t="s">
        <v>2591</v>
      </c>
      <c r="P276" s="1619"/>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2737</v>
      </c>
      <c r="D278" s="191"/>
      <c r="E278" s="191"/>
      <c r="F278" s="191"/>
      <c r="G278" s="191"/>
      <c r="H278" s="48"/>
      <c r="I278" s="180"/>
      <c r="J278" s="180"/>
      <c r="K278" s="180"/>
      <c r="L278" s="848"/>
      <c r="M278" s="848"/>
      <c r="N278" s="848"/>
      <c r="O278" s="848"/>
      <c r="P278" s="848"/>
      <c r="Q278" s="60"/>
    </row>
    <row r="279" spans="1:256" ht="11.45" customHeight="1">
      <c r="A279" s="1602"/>
      <c r="B279" s="1603"/>
      <c r="C279" s="1603"/>
      <c r="D279" s="1603"/>
      <c r="E279" s="1603"/>
      <c r="F279" s="1603"/>
      <c r="G279" s="1603"/>
      <c r="H279" s="1603"/>
      <c r="I279" s="1603"/>
      <c r="J279" s="1603"/>
      <c r="K279" s="1603"/>
      <c r="L279" s="1603"/>
      <c r="M279" s="1603"/>
      <c r="N279" s="1603"/>
      <c r="O279" s="1603"/>
      <c r="P279" s="1603"/>
      <c r="Q279" s="1604"/>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3806</v>
      </c>
      <c r="C283" s="857"/>
      <c r="D283" s="856"/>
      <c r="E283" s="856"/>
      <c r="F283" s="856"/>
      <c r="G283" s="856"/>
      <c r="H283" s="856"/>
      <c r="O283" s="181" t="s">
        <v>2739</v>
      </c>
      <c r="P283" s="1114"/>
      <c r="Q283" s="1119"/>
    </row>
    <row r="284" spans="1:256" ht="3" customHeight="1"/>
    <row r="285" spans="1:256" ht="11.45" customHeight="1">
      <c r="B285" s="195" t="s">
        <v>3283</v>
      </c>
      <c r="P285" s="1598" t="s">
        <v>3975</v>
      </c>
      <c r="Q285" s="232"/>
    </row>
    <row r="286" spans="1:256" ht="11.45" customHeight="1">
      <c r="B286" s="195" t="s">
        <v>3284</v>
      </c>
      <c r="P286" s="1598" t="s">
        <v>3976</v>
      </c>
      <c r="Q286" s="232"/>
    </row>
    <row r="287" spans="1:256" ht="11.45" customHeight="1">
      <c r="B287" s="195" t="s">
        <v>850</v>
      </c>
      <c r="L287" s="1648" t="s">
        <v>4068</v>
      </c>
      <c r="M287" s="1649"/>
      <c r="N287" s="1649"/>
      <c r="O287" s="1650"/>
    </row>
    <row r="288" spans="1:256" ht="11.45" customHeight="1">
      <c r="B288" s="653" t="s">
        <v>3285</v>
      </c>
      <c r="L288" s="1168"/>
      <c r="M288" s="1169"/>
      <c r="N288" s="1169"/>
      <c r="O288" s="1170"/>
    </row>
    <row r="289" spans="1:31" ht="11.25" customHeight="1">
      <c r="B289" s="191" t="s">
        <v>2737</v>
      </c>
      <c r="D289" s="191"/>
      <c r="E289" s="191"/>
      <c r="F289" s="191"/>
      <c r="G289" s="191"/>
      <c r="H289" s="48"/>
      <c r="I289" s="180"/>
      <c r="J289" s="180"/>
      <c r="K289" s="180"/>
      <c r="L289" s="848"/>
      <c r="M289" s="848"/>
      <c r="N289" s="848"/>
      <c r="O289" s="848"/>
      <c r="P289" s="848"/>
      <c r="Q289" s="60"/>
    </row>
    <row r="290" spans="1:31" ht="13.15" customHeight="1">
      <c r="A290" s="1602"/>
      <c r="B290" s="1603"/>
      <c r="C290" s="1603"/>
      <c r="D290" s="1603"/>
      <c r="E290" s="1603"/>
      <c r="F290" s="1603"/>
      <c r="G290" s="1603"/>
      <c r="H290" s="1603"/>
      <c r="I290" s="1603"/>
      <c r="J290" s="1603"/>
      <c r="K290" s="1603"/>
      <c r="L290" s="1603"/>
      <c r="M290" s="1603"/>
      <c r="N290" s="1603"/>
      <c r="O290" s="1603"/>
      <c r="P290" s="1603"/>
      <c r="Q290" s="1604"/>
      <c r="R290" s="736" t="s">
        <v>1806</v>
      </c>
      <c r="S290" s="737"/>
      <c r="U290" s="186"/>
      <c r="V290" s="186"/>
      <c r="W290" s="186"/>
      <c r="X290" s="186"/>
      <c r="Y290" s="186"/>
      <c r="Z290" s="186"/>
      <c r="AA290" s="186"/>
      <c r="AB290" s="186"/>
      <c r="AC290" s="186"/>
      <c r="AD290" s="186"/>
      <c r="AE290" s="805"/>
    </row>
    <row r="291" spans="1:31" ht="11.25" customHeight="1">
      <c r="B291" s="187" t="s">
        <v>2738</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3807</v>
      </c>
      <c r="C294" s="5"/>
      <c r="D294" s="115"/>
      <c r="E294" s="856"/>
      <c r="F294" s="856"/>
      <c r="G294" s="856"/>
      <c r="H294" s="856"/>
      <c r="I294" s="856"/>
      <c r="J294" s="856"/>
      <c r="K294" s="856"/>
      <c r="L294" s="856"/>
      <c r="M294" s="856"/>
      <c r="O294" s="181" t="s">
        <v>2739</v>
      </c>
      <c r="P294" s="1114"/>
      <c r="Q294" s="1119"/>
    </row>
    <row r="295" spans="1:31" ht="3" customHeight="1"/>
    <row r="296" spans="1:31" ht="22.15" customHeight="1">
      <c r="B296" s="192" t="s">
        <v>2862</v>
      </c>
      <c r="C296" s="1118" t="s">
        <v>3835</v>
      </c>
      <c r="D296" s="1118"/>
      <c r="E296" s="1118"/>
      <c r="F296" s="1118"/>
      <c r="G296" s="1118"/>
      <c r="H296" s="1118"/>
      <c r="I296" s="1118"/>
      <c r="J296" s="1118"/>
      <c r="K296" s="1118"/>
      <c r="L296" s="1118"/>
      <c r="M296" s="1118"/>
      <c r="N296" s="1118"/>
      <c r="O296" s="219" t="s">
        <v>2862</v>
      </c>
      <c r="P296" s="1598" t="s">
        <v>3975</v>
      </c>
      <c r="Q296" s="232"/>
    </row>
    <row r="297" spans="1:31" ht="11.45" customHeight="1">
      <c r="B297" s="192" t="s">
        <v>2865</v>
      </c>
      <c r="C297" s="1118" t="s">
        <v>3891</v>
      </c>
      <c r="D297" s="1118"/>
      <c r="E297" s="1118"/>
      <c r="F297" s="1118"/>
      <c r="G297" s="1118"/>
      <c r="H297" s="1118"/>
      <c r="I297" s="1118"/>
      <c r="J297" s="1118"/>
      <c r="K297" s="1118"/>
      <c r="L297" s="1118"/>
      <c r="M297" s="1118"/>
      <c r="N297" s="1118"/>
      <c r="O297" s="219" t="s">
        <v>2865</v>
      </c>
      <c r="P297" s="1598" t="s">
        <v>3975</v>
      </c>
      <c r="Q297" s="232"/>
    </row>
    <row r="298" spans="1:31" ht="11.45" customHeight="1">
      <c r="B298" s="192" t="s">
        <v>1145</v>
      </c>
      <c r="C298" s="197" t="s">
        <v>3836</v>
      </c>
      <c r="D298" s="197"/>
      <c r="E298" s="197"/>
      <c r="F298" s="197"/>
      <c r="G298" s="197"/>
      <c r="H298" s="197"/>
      <c r="I298" s="197"/>
      <c r="J298" s="197"/>
      <c r="K298" s="197"/>
      <c r="L298" s="197"/>
      <c r="M298" s="197"/>
      <c r="O298" s="219" t="s">
        <v>1145</v>
      </c>
      <c r="P298" s="1598" t="s">
        <v>3975</v>
      </c>
      <c r="Q298" s="232"/>
    </row>
    <row r="299" spans="1:31" ht="22.15" customHeight="1">
      <c r="B299" s="192" t="s">
        <v>3004</v>
      </c>
      <c r="C299" s="1118" t="s">
        <v>3870</v>
      </c>
      <c r="D299" s="1118"/>
      <c r="E299" s="1118"/>
      <c r="F299" s="1118"/>
      <c r="G299" s="1118"/>
      <c r="H299" s="1118"/>
      <c r="I299" s="1118"/>
      <c r="J299" s="1118"/>
      <c r="K299" s="1118"/>
      <c r="L299" s="1118"/>
      <c r="M299" s="1118"/>
      <c r="N299" s="1118"/>
      <c r="O299" s="219" t="s">
        <v>3004</v>
      </c>
      <c r="P299" s="1598" t="s">
        <v>3976</v>
      </c>
      <c r="Q299" s="232"/>
    </row>
    <row r="300" spans="1:31" ht="11.25" customHeight="1">
      <c r="B300" s="191" t="s">
        <v>2737</v>
      </c>
      <c r="D300" s="191"/>
      <c r="E300" s="191"/>
      <c r="F300" s="191"/>
      <c r="G300" s="191"/>
      <c r="H300" s="48"/>
      <c r="I300" s="180"/>
      <c r="J300" s="180"/>
      <c r="K300" s="180"/>
      <c r="L300" s="848"/>
      <c r="M300" s="848"/>
      <c r="N300" s="848"/>
      <c r="O300" s="848"/>
      <c r="P300" s="848"/>
      <c r="Q300" s="60"/>
    </row>
    <row r="301" spans="1:31" ht="11.45" customHeight="1">
      <c r="A301" s="1602"/>
      <c r="B301" s="1603"/>
      <c r="C301" s="1603"/>
      <c r="D301" s="1603"/>
      <c r="E301" s="1603"/>
      <c r="F301" s="1603"/>
      <c r="G301" s="1603"/>
      <c r="H301" s="1603"/>
      <c r="I301" s="1603"/>
      <c r="J301" s="1603"/>
      <c r="K301" s="1603"/>
      <c r="L301" s="1603"/>
      <c r="M301" s="1603"/>
      <c r="N301" s="1603"/>
      <c r="O301" s="1603"/>
      <c r="P301" s="1603"/>
      <c r="Q301" s="1604"/>
      <c r="U301" s="186"/>
      <c r="V301" s="186"/>
      <c r="W301" s="186"/>
      <c r="X301" s="186"/>
      <c r="Y301" s="186"/>
      <c r="Z301" s="186"/>
      <c r="AA301" s="186"/>
      <c r="AB301" s="186"/>
      <c r="AC301" s="186"/>
      <c r="AD301" s="186"/>
      <c r="AE301" s="805"/>
    </row>
    <row r="302" spans="1:31" ht="11.25" customHeight="1">
      <c r="B302" s="187" t="s">
        <v>2738</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3877</v>
      </c>
      <c r="C305" s="5"/>
      <c r="D305" s="5"/>
      <c r="E305" s="5"/>
      <c r="F305" s="5"/>
      <c r="G305" s="5"/>
      <c r="H305" s="856"/>
      <c r="I305" s="856"/>
      <c r="J305" s="856"/>
      <c r="K305" s="856"/>
      <c r="L305" s="856"/>
      <c r="M305" s="856"/>
      <c r="O305" s="181" t="s">
        <v>2739</v>
      </c>
      <c r="P305" s="1114"/>
      <c r="Q305" s="1119"/>
    </row>
    <row r="306" spans="1:32" ht="12" customHeight="1">
      <c r="B306" s="55" t="s">
        <v>2862</v>
      </c>
      <c r="C306" s="161" t="s">
        <v>3872</v>
      </c>
      <c r="D306" s="859"/>
      <c r="E306" s="859"/>
      <c r="F306" s="859"/>
      <c r="G306" s="859"/>
      <c r="H306" s="859"/>
      <c r="I306" s="50"/>
      <c r="J306" s="803" t="s">
        <v>2862</v>
      </c>
      <c r="K306" s="1627" t="s">
        <v>4011</v>
      </c>
      <c r="L306" s="1628"/>
      <c r="M306" s="1628"/>
      <c r="N306" s="1628"/>
      <c r="O306" s="1628"/>
      <c r="P306" s="1629"/>
      <c r="Q306" s="232"/>
    </row>
    <row r="307" spans="1:32" ht="22.5" customHeight="1">
      <c r="B307" s="192" t="s">
        <v>2865</v>
      </c>
      <c r="C307" s="1097" t="s">
        <v>3871</v>
      </c>
      <c r="D307" s="1097"/>
      <c r="E307" s="1097"/>
      <c r="F307" s="1097"/>
      <c r="G307" s="1097"/>
      <c r="H307" s="1097"/>
      <c r="I307" s="1097"/>
      <c r="J307" s="1097"/>
      <c r="K307" s="1097"/>
      <c r="L307" s="1097"/>
      <c r="M307" s="1097"/>
      <c r="N307" s="1097"/>
      <c r="O307" s="219" t="s">
        <v>2865</v>
      </c>
      <c r="P307" s="1619" t="s">
        <v>3975</v>
      </c>
      <c r="Q307" s="232"/>
    </row>
    <row r="308" spans="1:32" ht="11.45" customHeight="1">
      <c r="B308" s="55" t="s">
        <v>1145</v>
      </c>
      <c r="C308" s="62" t="s">
        <v>3873</v>
      </c>
      <c r="D308" s="62"/>
      <c r="E308" s="62"/>
      <c r="F308" s="62"/>
      <c r="G308" s="62"/>
      <c r="H308" s="62"/>
      <c r="I308" s="62"/>
      <c r="J308" s="62"/>
      <c r="K308" s="62"/>
      <c r="L308" s="38"/>
      <c r="M308" s="38"/>
      <c r="O308" s="803" t="s">
        <v>1145</v>
      </c>
      <c r="P308" s="1598" t="s">
        <v>3975</v>
      </c>
      <c r="Q308" s="232"/>
    </row>
    <row r="309" spans="1:32" ht="11.45" customHeight="1">
      <c r="B309" s="55" t="s">
        <v>3004</v>
      </c>
      <c r="C309" s="62" t="s">
        <v>3874</v>
      </c>
      <c r="D309" s="62"/>
      <c r="E309" s="62"/>
      <c r="F309" s="62"/>
      <c r="G309" s="62"/>
      <c r="H309" s="62"/>
      <c r="I309" s="62"/>
      <c r="J309" s="62"/>
      <c r="K309" s="62"/>
      <c r="L309" s="62"/>
      <c r="M309" s="62"/>
      <c r="O309" s="803" t="s">
        <v>3004</v>
      </c>
      <c r="P309" s="1598" t="s">
        <v>3975</v>
      </c>
      <c r="Q309" s="232"/>
    </row>
    <row r="310" spans="1:32" s="182" customFormat="1" ht="11.45" customHeight="1">
      <c r="B310" s="192" t="s">
        <v>2588</v>
      </c>
      <c r="C310" s="1118" t="s">
        <v>3879</v>
      </c>
      <c r="D310" s="1118"/>
      <c r="E310" s="1118"/>
      <c r="F310" s="1118"/>
      <c r="G310" s="1118"/>
      <c r="H310" s="1118"/>
      <c r="I310" s="1118"/>
      <c r="J310" s="1118"/>
      <c r="K310" s="1118"/>
      <c r="L310" s="1118"/>
      <c r="M310" s="1118"/>
      <c r="N310" s="1118"/>
      <c r="O310" s="219" t="s">
        <v>2588</v>
      </c>
      <c r="P310" s="1619" t="s">
        <v>3975</v>
      </c>
      <c r="Q310" s="354"/>
      <c r="AE310" s="806"/>
      <c r="AF310" s="806"/>
    </row>
    <row r="311" spans="1:32" s="182" customFormat="1" ht="11.45" customHeight="1">
      <c r="B311" s="192" t="s">
        <v>2589</v>
      </c>
      <c r="C311" s="1118" t="s">
        <v>3892</v>
      </c>
      <c r="D311" s="1118"/>
      <c r="E311" s="1118"/>
      <c r="F311" s="1118"/>
      <c r="G311" s="1118"/>
      <c r="H311" s="1118"/>
      <c r="I311" s="1118"/>
      <c r="J311" s="1118"/>
      <c r="K311" s="1118"/>
      <c r="L311" s="1118"/>
      <c r="M311" s="1118"/>
      <c r="N311" s="1118"/>
      <c r="O311" s="219" t="s">
        <v>2589</v>
      </c>
      <c r="P311" s="1619" t="s">
        <v>3975</v>
      </c>
      <c r="Q311" s="354"/>
      <c r="AE311" s="806"/>
      <c r="AF311" s="806"/>
    </row>
    <row r="312" spans="1:32" ht="11.45" customHeight="1">
      <c r="B312" s="55" t="s">
        <v>2825</v>
      </c>
      <c r="C312" s="62" t="s">
        <v>3875</v>
      </c>
      <c r="D312" s="62"/>
      <c r="E312" s="62"/>
      <c r="F312" s="62"/>
      <c r="G312" s="62"/>
      <c r="H312" s="62"/>
      <c r="I312" s="62"/>
      <c r="J312" s="62"/>
      <c r="K312" s="62"/>
      <c r="L312" s="62"/>
      <c r="M312" s="62"/>
      <c r="O312" s="803" t="s">
        <v>2825</v>
      </c>
      <c r="P312" s="1598" t="s">
        <v>3975</v>
      </c>
      <c r="Q312" s="232"/>
    </row>
    <row r="313" spans="1:32" ht="11.25" customHeight="1">
      <c r="B313" s="191" t="s">
        <v>2737</v>
      </c>
      <c r="D313" s="191"/>
      <c r="E313" s="191"/>
      <c r="F313" s="191"/>
      <c r="G313" s="191"/>
      <c r="H313" s="48"/>
      <c r="I313" s="180"/>
      <c r="J313" s="180"/>
      <c r="K313" s="180"/>
      <c r="L313" s="848"/>
      <c r="M313" s="848"/>
      <c r="N313" s="848"/>
      <c r="O313" s="848"/>
      <c r="P313" s="848"/>
      <c r="Q313" s="60"/>
    </row>
    <row r="314" spans="1:32" ht="11.45" customHeight="1">
      <c r="A314" s="1602"/>
      <c r="B314" s="1603"/>
      <c r="C314" s="1603"/>
      <c r="D314" s="1603"/>
      <c r="E314" s="1603"/>
      <c r="F314" s="1603"/>
      <c r="G314" s="1603"/>
      <c r="H314" s="1603"/>
      <c r="I314" s="1603"/>
      <c r="J314" s="1603"/>
      <c r="K314" s="1603"/>
      <c r="L314" s="1603"/>
      <c r="M314" s="1603"/>
      <c r="N314" s="1603"/>
      <c r="O314" s="1603"/>
      <c r="P314" s="1603"/>
      <c r="Q314" s="1604"/>
      <c r="U314" s="186"/>
      <c r="V314" s="186"/>
      <c r="W314" s="186"/>
      <c r="X314" s="186"/>
      <c r="Y314" s="186"/>
      <c r="Z314" s="186"/>
      <c r="AA314" s="186"/>
      <c r="AB314" s="186"/>
      <c r="AC314" s="186"/>
      <c r="AD314" s="186"/>
      <c r="AE314" s="805"/>
    </row>
    <row r="315" spans="1:32" ht="11.25" customHeight="1">
      <c r="B315" s="187" t="s">
        <v>2738</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3932</v>
      </c>
      <c r="C318" s="5"/>
      <c r="D318" s="5"/>
      <c r="E318" s="5"/>
      <c r="F318" s="5"/>
      <c r="G318" s="5"/>
      <c r="H318" s="856"/>
      <c r="I318" s="856"/>
      <c r="J318" s="856"/>
      <c r="O318" s="181" t="s">
        <v>2739</v>
      </c>
      <c r="P318" s="1114"/>
      <c r="Q318" s="1119"/>
    </row>
    <row r="319" spans="1:32" ht="13.9" customHeight="1">
      <c r="A319" s="857"/>
      <c r="B319" s="149" t="s">
        <v>3813</v>
      </c>
      <c r="C319" s="5"/>
      <c r="D319" s="5"/>
      <c r="E319" s="5"/>
      <c r="F319" s="5"/>
      <c r="G319" s="5"/>
      <c r="H319" s="856"/>
      <c r="I319" s="856"/>
      <c r="J319" s="856"/>
    </row>
    <row r="320" spans="1:32" ht="11.45" customHeight="1">
      <c r="B320" s="55" t="s">
        <v>2862</v>
      </c>
      <c r="C320" s="653" t="s">
        <v>3816</v>
      </c>
      <c r="D320" s="65"/>
      <c r="E320" s="859"/>
      <c r="F320" s="859"/>
      <c r="G320" s="859"/>
      <c r="H320" s="859"/>
      <c r="I320" s="50"/>
      <c r="O320" s="803" t="s">
        <v>2862</v>
      </c>
    </row>
    <row r="321" spans="2:32" s="182" customFormat="1" ht="21.75" customHeight="1">
      <c r="B321" s="192"/>
      <c r="C321" s="201" t="s">
        <v>2590</v>
      </c>
      <c r="D321" s="1125" t="s">
        <v>3814</v>
      </c>
      <c r="E321" s="1125"/>
      <c r="F321" s="1125"/>
      <c r="G321" s="1125"/>
      <c r="H321" s="1125"/>
      <c r="I321" s="1125"/>
      <c r="J321" s="1125"/>
      <c r="K321" s="1125"/>
      <c r="L321" s="1125"/>
      <c r="M321" s="1125"/>
      <c r="N321" s="1125"/>
      <c r="O321" s="201" t="s">
        <v>2590</v>
      </c>
      <c r="P321" s="1619"/>
      <c r="Q321" s="354"/>
      <c r="AE321" s="806"/>
      <c r="AF321" s="806"/>
    </row>
    <row r="322" spans="2:32" s="182" customFormat="1" ht="21.75" customHeight="1">
      <c r="C322" s="201" t="s">
        <v>2591</v>
      </c>
      <c r="D322" s="1113" t="s">
        <v>3815</v>
      </c>
      <c r="E322" s="1113"/>
      <c r="F322" s="1113"/>
      <c r="G322" s="1113"/>
      <c r="H322" s="1113"/>
      <c r="I322" s="1113"/>
      <c r="J322" s="1113"/>
      <c r="K322" s="1113"/>
      <c r="L322" s="1113"/>
      <c r="M322" s="1113"/>
      <c r="N322" s="1113"/>
      <c r="O322" s="201" t="s">
        <v>2591</v>
      </c>
      <c r="P322" s="1619" t="s">
        <v>3975</v>
      </c>
      <c r="Q322" s="354"/>
      <c r="AE322" s="806"/>
      <c r="AF322" s="806"/>
    </row>
    <row r="323" spans="2:32" s="182" customFormat="1" ht="21.75" customHeight="1">
      <c r="B323" s="192"/>
      <c r="C323" s="201" t="s">
        <v>2592</v>
      </c>
      <c r="D323" s="1113" t="s">
        <v>3818</v>
      </c>
      <c r="E323" s="1113"/>
      <c r="F323" s="1113"/>
      <c r="G323" s="1113"/>
      <c r="H323" s="1113"/>
      <c r="I323" s="1113"/>
      <c r="J323" s="1113"/>
      <c r="K323" s="1113"/>
      <c r="L323" s="1113"/>
      <c r="M323" s="1113"/>
      <c r="N323" s="1113"/>
      <c r="O323" s="201" t="s">
        <v>2592</v>
      </c>
      <c r="P323" s="1619"/>
      <c r="Q323" s="354"/>
      <c r="AE323" s="806"/>
      <c r="AF323" s="806"/>
    </row>
    <row r="324" spans="2:32" s="182" customFormat="1" ht="22.15" customHeight="1">
      <c r="B324" s="192"/>
      <c r="C324" s="201" t="s">
        <v>3330</v>
      </c>
      <c r="D324" s="1113" t="s">
        <v>3819</v>
      </c>
      <c r="E324" s="1113"/>
      <c r="F324" s="1113"/>
      <c r="G324" s="1113"/>
      <c r="H324" s="1113"/>
      <c r="I324" s="1113"/>
      <c r="J324" s="1113"/>
      <c r="K324" s="1113"/>
      <c r="L324" s="1113"/>
      <c r="M324" s="1113"/>
      <c r="N324" s="1113"/>
      <c r="O324" s="201" t="s">
        <v>3330</v>
      </c>
      <c r="P324" s="1619"/>
      <c r="Q324" s="354"/>
      <c r="AE324" s="806"/>
      <c r="AF324" s="806"/>
    </row>
    <row r="325" spans="2:32" s="182" customFormat="1" ht="21.75" customHeight="1">
      <c r="B325" s="192"/>
      <c r="C325" s="201" t="s">
        <v>2153</v>
      </c>
      <c r="D325" s="1113" t="s">
        <v>3820</v>
      </c>
      <c r="E325" s="1113"/>
      <c r="F325" s="1113"/>
      <c r="G325" s="1113"/>
      <c r="H325" s="1113"/>
      <c r="I325" s="1113"/>
      <c r="J325" s="1113"/>
      <c r="K325" s="1113"/>
      <c r="L325" s="1113"/>
      <c r="M325" s="1113"/>
      <c r="N325" s="1113"/>
      <c r="O325" s="201" t="s">
        <v>2153</v>
      </c>
      <c r="P325" s="1619"/>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3817</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48"/>
      <c r="M336" s="848"/>
      <c r="N336" s="848"/>
      <c r="O336" s="848"/>
      <c r="P336" s="848"/>
      <c r="Q336" s="60"/>
    </row>
    <row r="337" spans="1:31" ht="11.45" customHeight="1">
      <c r="A337" s="1602"/>
      <c r="B337" s="1603"/>
      <c r="C337" s="1603"/>
      <c r="D337" s="1603"/>
      <c r="E337" s="1603"/>
      <c r="F337" s="1603"/>
      <c r="G337" s="1603"/>
      <c r="H337" s="1603"/>
      <c r="I337" s="1603"/>
      <c r="J337" s="1603"/>
      <c r="K337" s="1603"/>
      <c r="L337" s="1603"/>
      <c r="M337" s="1603"/>
      <c r="N337" s="1603"/>
      <c r="O337" s="1603"/>
      <c r="P337" s="1603"/>
      <c r="Q337" s="1604"/>
      <c r="U337" s="186"/>
      <c r="V337" s="186"/>
      <c r="W337" s="186"/>
      <c r="X337" s="186"/>
      <c r="Y337" s="186"/>
      <c r="Z337" s="186"/>
      <c r="AA337" s="186"/>
      <c r="AB337" s="186"/>
      <c r="AC337" s="186"/>
      <c r="AD337" s="186"/>
      <c r="AE337" s="805"/>
    </row>
    <row r="338" spans="1:31" ht="11.25" customHeight="1">
      <c r="B338" s="187" t="s">
        <v>2738</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3893</v>
      </c>
      <c r="C341" s="5"/>
      <c r="D341" s="5"/>
      <c r="E341" s="5"/>
      <c r="F341" s="5"/>
      <c r="G341" s="5"/>
      <c r="H341" s="856"/>
      <c r="I341" s="856"/>
      <c r="J341" s="856"/>
      <c r="O341" s="181" t="s">
        <v>2739</v>
      </c>
      <c r="P341" s="1114"/>
      <c r="Q341" s="1119"/>
    </row>
    <row r="342" spans="1:31" ht="11.45" customHeight="1">
      <c r="B342" s="55" t="s">
        <v>2862</v>
      </c>
      <c r="C342" s="161" t="s">
        <v>1543</v>
      </c>
      <c r="E342" s="1608"/>
      <c r="F342" s="1609"/>
      <c r="G342" s="1609"/>
      <c r="H342" s="1609"/>
      <c r="I342" s="1610"/>
      <c r="J342" s="1122" t="s">
        <v>3831</v>
      </c>
      <c r="K342" s="1123"/>
      <c r="L342" s="1124"/>
      <c r="M342" s="1608"/>
      <c r="N342" s="1609"/>
      <c r="O342" s="1609"/>
      <c r="P342" s="1609"/>
      <c r="Q342" s="1610"/>
    </row>
    <row r="343" spans="1:31" ht="11.45" customHeight="1">
      <c r="B343" s="55" t="s">
        <v>2865</v>
      </c>
      <c r="C343" s="62" t="s">
        <v>2593</v>
      </c>
      <c r="D343" s="62"/>
      <c r="E343" s="62"/>
      <c r="F343" s="62"/>
      <c r="G343" s="62"/>
      <c r="H343" s="62"/>
      <c r="I343" s="62"/>
      <c r="J343" s="62"/>
      <c r="K343" s="62"/>
      <c r="L343" s="38"/>
      <c r="M343" s="38"/>
      <c r="O343" s="803" t="s">
        <v>2865</v>
      </c>
      <c r="P343" s="1598"/>
      <c r="Q343" s="232"/>
    </row>
    <row r="344" spans="1:31" ht="11.45" customHeight="1">
      <c r="B344" s="55" t="s">
        <v>1145</v>
      </c>
      <c r="C344" s="62" t="s">
        <v>2008</v>
      </c>
      <c r="D344" s="62"/>
      <c r="E344" s="62"/>
      <c r="F344" s="62"/>
      <c r="G344" s="62"/>
      <c r="H344" s="62"/>
      <c r="I344" s="62"/>
      <c r="J344" s="62"/>
      <c r="K344" s="62"/>
      <c r="L344" s="62"/>
      <c r="M344" s="62"/>
      <c r="O344" s="803" t="s">
        <v>1145</v>
      </c>
      <c r="P344" s="1598"/>
      <c r="Q344" s="232"/>
    </row>
    <row r="345" spans="1:31" ht="11.45" customHeight="1">
      <c r="B345" s="55" t="s">
        <v>3004</v>
      </c>
      <c r="C345" s="62" t="s">
        <v>3876</v>
      </c>
      <c r="D345" s="62"/>
      <c r="E345" s="62"/>
      <c r="F345" s="62"/>
      <c r="G345" s="62"/>
      <c r="H345" s="62"/>
      <c r="I345" s="62"/>
      <c r="J345" s="62"/>
      <c r="K345" s="62"/>
      <c r="L345" s="62"/>
      <c r="M345" s="62"/>
      <c r="O345" s="803" t="s">
        <v>3004</v>
      </c>
      <c r="P345" s="1598"/>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98"/>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619"/>
      <c r="Q347" s="232"/>
    </row>
    <row r="348" spans="1:31" ht="11.45" customHeight="1">
      <c r="B348" s="55" t="s">
        <v>2825</v>
      </c>
      <c r="C348" s="38" t="s">
        <v>792</v>
      </c>
      <c r="D348" s="203"/>
      <c r="E348" s="203"/>
      <c r="F348" s="203"/>
      <c r="G348" s="203"/>
      <c r="H348" s="203"/>
      <c r="I348" s="203"/>
      <c r="J348" s="203"/>
      <c r="K348" s="203"/>
      <c r="L348" s="203"/>
      <c r="M348" s="203"/>
      <c r="O348" s="803" t="s">
        <v>2825</v>
      </c>
      <c r="P348" s="1598"/>
      <c r="Q348" s="232"/>
    </row>
    <row r="349" spans="1:31" ht="11.25" customHeight="1">
      <c r="B349" s="191" t="s">
        <v>2737</v>
      </c>
      <c r="D349" s="191"/>
      <c r="E349" s="191"/>
      <c r="F349" s="191"/>
      <c r="G349" s="191"/>
      <c r="H349" s="48"/>
      <c r="I349" s="180"/>
      <c r="J349" s="180"/>
      <c r="K349" s="180"/>
      <c r="L349" s="848"/>
      <c r="M349" s="848"/>
      <c r="N349" s="848"/>
      <c r="O349" s="848"/>
      <c r="P349" s="848"/>
      <c r="Q349" s="60"/>
    </row>
    <row r="350" spans="1:31" ht="11.45" customHeight="1">
      <c r="A350" s="1602"/>
      <c r="B350" s="1603"/>
      <c r="C350" s="1603"/>
      <c r="D350" s="1603"/>
      <c r="E350" s="1603"/>
      <c r="F350" s="1603"/>
      <c r="G350" s="1603"/>
      <c r="H350" s="1603"/>
      <c r="I350" s="1603"/>
      <c r="J350" s="1603"/>
      <c r="K350" s="1603"/>
      <c r="L350" s="1603"/>
      <c r="M350" s="1603"/>
      <c r="N350" s="1603"/>
      <c r="O350" s="1603"/>
      <c r="P350" s="1603"/>
      <c r="Q350" s="1604"/>
      <c r="U350" s="186"/>
      <c r="V350" s="186"/>
      <c r="W350" s="186"/>
      <c r="X350" s="186"/>
      <c r="Y350" s="186"/>
      <c r="Z350" s="186"/>
      <c r="AA350" s="186"/>
      <c r="AB350" s="186"/>
      <c r="AC350" s="186"/>
      <c r="AD350" s="186"/>
      <c r="AE350" s="805"/>
    </row>
    <row r="351" spans="1:31" ht="11.25" customHeight="1">
      <c r="B351" s="187" t="s">
        <v>2738</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3829</v>
      </c>
      <c r="C354" s="5"/>
      <c r="D354" s="115"/>
      <c r="E354" s="856"/>
      <c r="F354" s="856"/>
      <c r="G354" s="856"/>
      <c r="H354" s="856"/>
      <c r="I354" s="856"/>
      <c r="J354" s="856"/>
      <c r="K354" s="856"/>
      <c r="L354" s="856"/>
      <c r="M354" s="856"/>
      <c r="O354" s="181" t="s">
        <v>2739</v>
      </c>
      <c r="P354" s="1114"/>
      <c r="Q354" s="1119"/>
    </row>
    <row r="355" spans="1:32" s="2" customFormat="1" ht="23.45" customHeight="1">
      <c r="B355" s="192" t="s">
        <v>2862</v>
      </c>
      <c r="C355" s="1118" t="s">
        <v>183</v>
      </c>
      <c r="D355" s="1118"/>
      <c r="E355" s="1118"/>
      <c r="F355" s="1118"/>
      <c r="G355" s="1118"/>
      <c r="H355" s="1118"/>
      <c r="I355" s="1118"/>
      <c r="J355" s="1118"/>
      <c r="K355" s="1118"/>
      <c r="L355" s="1118"/>
      <c r="M355" s="219" t="s">
        <v>2862</v>
      </c>
      <c r="N355" s="1651" t="s">
        <v>4069</v>
      </c>
      <c r="O355" s="1652"/>
      <c r="P355" s="1116" t="s">
        <v>2626</v>
      </c>
      <c r="Q355" s="1117"/>
      <c r="AE355" s="6"/>
      <c r="AF355" s="6"/>
    </row>
    <row r="356" spans="1:32" s="2" customFormat="1" ht="12" customHeight="1">
      <c r="B356" s="55" t="s">
        <v>2865</v>
      </c>
      <c r="C356" s="158" t="s">
        <v>1</v>
      </c>
      <c r="D356" s="203"/>
      <c r="E356" s="203"/>
      <c r="G356" s="803" t="s">
        <v>2865</v>
      </c>
      <c r="H356" s="1653" t="s">
        <v>4090</v>
      </c>
      <c r="I356" s="1654"/>
      <c r="J356" s="1654"/>
      <c r="K356" s="1654"/>
      <c r="L356" s="1654"/>
      <c r="M356" s="1654"/>
      <c r="N356" s="1654"/>
      <c r="O356" s="1654"/>
      <c r="P356" s="1655"/>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98" t="s">
        <v>3975</v>
      </c>
      <c r="Q357" s="232"/>
      <c r="AE357" s="6"/>
      <c r="AF357" s="6"/>
    </row>
    <row r="358" spans="1:32" ht="11.25" customHeight="1">
      <c r="B358" s="191" t="s">
        <v>2737</v>
      </c>
      <c r="D358" s="191"/>
      <c r="E358" s="191"/>
      <c r="F358" s="191"/>
      <c r="G358" s="191"/>
      <c r="H358" s="48"/>
      <c r="I358" s="180"/>
      <c r="J358" s="180"/>
      <c r="K358" s="180"/>
      <c r="L358" s="848"/>
      <c r="M358" s="848"/>
      <c r="N358" s="848"/>
      <c r="O358" s="848"/>
      <c r="P358" s="848"/>
      <c r="Q358" s="60"/>
    </row>
    <row r="359" spans="1:32" ht="11.45" customHeight="1">
      <c r="A359" s="1602"/>
      <c r="B359" s="1603"/>
      <c r="C359" s="1603"/>
      <c r="D359" s="1603"/>
      <c r="E359" s="1603"/>
      <c r="F359" s="1603"/>
      <c r="G359" s="1603"/>
      <c r="H359" s="1603"/>
      <c r="I359" s="1603"/>
      <c r="J359" s="1603"/>
      <c r="K359" s="1603"/>
      <c r="L359" s="1603"/>
      <c r="M359" s="1603"/>
      <c r="N359" s="1603"/>
      <c r="O359" s="1603"/>
      <c r="P359" s="1603"/>
      <c r="Q359" s="1604"/>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3808</v>
      </c>
      <c r="C364" s="5"/>
      <c r="D364" s="5"/>
      <c r="E364" s="856"/>
      <c r="G364" s="190" t="s">
        <v>976</v>
      </c>
      <c r="H364" s="856"/>
      <c r="I364" s="856"/>
      <c r="J364" s="856"/>
      <c r="K364" s="856"/>
      <c r="L364" s="856"/>
      <c r="M364" s="856"/>
      <c r="O364" s="181" t="s">
        <v>2739</v>
      </c>
      <c r="P364" s="1114"/>
      <c r="Q364" s="1115"/>
    </row>
    <row r="365" spans="1:32" ht="12" customHeight="1">
      <c r="A365" s="194"/>
      <c r="B365" s="55" t="s">
        <v>2862</v>
      </c>
      <c r="C365" s="62" t="s">
        <v>3837</v>
      </c>
      <c r="D365" s="727"/>
      <c r="E365" s="727"/>
      <c r="H365" s="190"/>
      <c r="O365" s="803" t="s">
        <v>2862</v>
      </c>
      <c r="P365" s="1598" t="s">
        <v>3976</v>
      </c>
      <c r="Q365" s="232"/>
    </row>
    <row r="366" spans="1:32" ht="12" customHeight="1">
      <c r="A366" s="194"/>
      <c r="B366" s="55" t="s">
        <v>2865</v>
      </c>
      <c r="C366" s="62" t="s">
        <v>3838</v>
      </c>
      <c r="D366" s="727"/>
      <c r="E366" s="727"/>
      <c r="O366" s="803" t="s">
        <v>2865</v>
      </c>
      <c r="P366" s="1598" t="s">
        <v>3976</v>
      </c>
      <c r="Q366" s="232"/>
    </row>
    <row r="367" spans="1:32" ht="12" customHeight="1">
      <c r="A367" s="194"/>
      <c r="B367" s="55" t="s">
        <v>1145</v>
      </c>
      <c r="C367" s="62" t="s">
        <v>3894</v>
      </c>
      <c r="D367" s="727"/>
      <c r="E367" s="727"/>
      <c r="O367" s="803" t="s">
        <v>1145</v>
      </c>
      <c r="P367" s="1598" t="s">
        <v>3975</v>
      </c>
      <c r="Q367" s="232"/>
    </row>
    <row r="368" spans="1:32" ht="12" customHeight="1">
      <c r="A368" s="194"/>
      <c r="B368" s="55" t="s">
        <v>3004</v>
      </c>
      <c r="C368" s="62" t="s">
        <v>3830</v>
      </c>
      <c r="E368" s="190"/>
      <c r="O368" s="803" t="s">
        <v>3004</v>
      </c>
      <c r="P368" s="1598" t="s">
        <v>3976</v>
      </c>
      <c r="Q368" s="232"/>
    </row>
    <row r="369" spans="1:31" ht="12" customHeight="1">
      <c r="B369" s="55" t="s">
        <v>2588</v>
      </c>
      <c r="C369" s="62" t="s">
        <v>2967</v>
      </c>
      <c r="E369" s="190"/>
      <c r="G369" s="803" t="s">
        <v>2588</v>
      </c>
      <c r="H369" s="1620"/>
      <c r="I369" s="1621"/>
      <c r="J369" s="1621"/>
      <c r="K369" s="1621"/>
      <c r="L369" s="1621"/>
      <c r="M369" s="1621"/>
      <c r="N369" s="1621"/>
      <c r="O369" s="1622"/>
      <c r="P369" s="1598"/>
      <c r="Q369" s="232"/>
    </row>
    <row r="370" spans="1:31" ht="11.25" customHeight="1">
      <c r="B370" s="191" t="s">
        <v>2737</v>
      </c>
      <c r="D370" s="191"/>
      <c r="E370" s="191"/>
      <c r="F370" s="191"/>
      <c r="G370" s="191"/>
      <c r="H370" s="48"/>
      <c r="I370" s="180"/>
      <c r="J370" s="180"/>
      <c r="K370" s="180"/>
      <c r="L370" s="848"/>
      <c r="M370" s="848"/>
      <c r="N370" s="848"/>
      <c r="O370" s="848"/>
      <c r="P370" s="848"/>
      <c r="Q370" s="60"/>
    </row>
    <row r="371" spans="1:31" ht="11.45" customHeight="1">
      <c r="A371" s="1602"/>
      <c r="B371" s="1603"/>
      <c r="C371" s="1603"/>
      <c r="D371" s="1603"/>
      <c r="E371" s="1603"/>
      <c r="F371" s="1603"/>
      <c r="G371" s="1603"/>
      <c r="H371" s="1603"/>
      <c r="I371" s="1603"/>
      <c r="J371" s="1603"/>
      <c r="K371" s="1603"/>
      <c r="L371" s="1603"/>
      <c r="M371" s="1603"/>
      <c r="N371" s="1603"/>
      <c r="O371" s="1603"/>
      <c r="P371" s="1603"/>
      <c r="Q371" s="1604"/>
      <c r="U371" s="186"/>
      <c r="V371" s="186"/>
      <c r="W371" s="186"/>
      <c r="X371" s="186"/>
      <c r="Y371" s="186"/>
      <c r="Z371" s="186"/>
      <c r="AA371" s="186"/>
      <c r="AB371" s="186"/>
      <c r="AC371" s="186"/>
      <c r="AD371" s="186"/>
      <c r="AE371" s="805"/>
    </row>
    <row r="372" spans="1:31" ht="11.25" customHeight="1">
      <c r="B372" s="187" t="s">
        <v>2738</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3809</v>
      </c>
      <c r="C375" s="1120"/>
      <c r="D375" s="1120"/>
      <c r="E375" s="1120"/>
      <c r="F375" s="1120"/>
      <c r="G375" s="1120"/>
      <c r="H375" s="856"/>
      <c r="I375" s="856"/>
      <c r="J375" s="856"/>
      <c r="K375" s="856"/>
      <c r="L375" s="856"/>
      <c r="M375" s="856"/>
      <c r="O375" s="181" t="s">
        <v>2739</v>
      </c>
      <c r="P375" s="1114"/>
      <c r="Q375" s="1115"/>
    </row>
    <row r="376" spans="1:31" ht="21.75" customHeight="1">
      <c r="A376" s="189"/>
      <c r="B376" s="192" t="s">
        <v>2862</v>
      </c>
      <c r="C376" s="1118" t="s">
        <v>837</v>
      </c>
      <c r="D376" s="1118"/>
      <c r="E376" s="1118"/>
      <c r="F376" s="1118"/>
      <c r="G376" s="1118"/>
      <c r="H376" s="1118"/>
      <c r="I376" s="1118"/>
      <c r="J376" s="1118"/>
      <c r="K376" s="1118"/>
      <c r="L376" s="1118"/>
      <c r="M376" s="1118"/>
      <c r="N376" s="1118"/>
      <c r="O376" s="219" t="s">
        <v>2862</v>
      </c>
      <c r="P376" s="1598" t="s">
        <v>4043</v>
      </c>
      <c r="Q376" s="232"/>
    </row>
    <row r="377" spans="1:31" ht="12" customHeight="1">
      <c r="A377" s="189"/>
      <c r="B377" s="55" t="s">
        <v>2865</v>
      </c>
      <c r="C377" s="197" t="s">
        <v>793</v>
      </c>
      <c r="D377" s="856"/>
      <c r="E377" s="856"/>
      <c r="F377" s="856"/>
      <c r="G377" s="856"/>
      <c r="H377" s="856"/>
      <c r="I377" s="856"/>
      <c r="J377" s="856"/>
      <c r="K377" s="856"/>
      <c r="L377" s="856"/>
      <c r="M377" s="856"/>
      <c r="O377" s="803" t="s">
        <v>2865</v>
      </c>
      <c r="P377" s="1598" t="s">
        <v>3975</v>
      </c>
      <c r="Q377" s="232"/>
    </row>
    <row r="378" spans="1:31" ht="11.25" customHeight="1">
      <c r="B378" s="127" t="s">
        <v>2737</v>
      </c>
      <c r="D378" s="127"/>
      <c r="E378" s="127"/>
      <c r="F378" s="127"/>
      <c r="G378" s="127"/>
      <c r="H378" s="48"/>
      <c r="I378" s="180"/>
      <c r="J378" s="180"/>
      <c r="K378" s="187" t="s">
        <v>2738</v>
      </c>
      <c r="L378" s="848"/>
      <c r="M378" s="848"/>
      <c r="N378" s="848"/>
      <c r="O378" s="235"/>
      <c r="P378" s="848"/>
      <c r="Q378" s="60"/>
    </row>
    <row r="379" spans="1:31" ht="11.45" customHeight="1">
      <c r="A379" s="1602"/>
      <c r="B379" s="1603"/>
      <c r="C379" s="1603"/>
      <c r="D379" s="1603"/>
      <c r="E379" s="1603"/>
      <c r="F379" s="1603"/>
      <c r="G379" s="1603"/>
      <c r="H379" s="1603"/>
      <c r="I379" s="1603"/>
      <c r="J379" s="1604"/>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3810</v>
      </c>
      <c r="C381" s="5"/>
      <c r="D381" s="5"/>
      <c r="E381" s="5"/>
      <c r="F381" s="5"/>
      <c r="G381" s="5"/>
      <c r="H381" s="856"/>
      <c r="I381" s="856"/>
      <c r="J381" s="856"/>
      <c r="K381" s="856"/>
      <c r="L381" s="856"/>
      <c r="M381" s="856"/>
      <c r="O381" s="181" t="s">
        <v>2739</v>
      </c>
      <c r="P381" s="1114"/>
      <c r="Q381" s="1115"/>
    </row>
    <row r="382" spans="1:31" ht="12" customHeight="1">
      <c r="A382" s="50"/>
      <c r="B382" s="55" t="s">
        <v>2862</v>
      </c>
      <c r="C382" s="47" t="s">
        <v>1148</v>
      </c>
      <c r="D382" s="50"/>
      <c r="E382" s="50"/>
      <c r="F382" s="50"/>
      <c r="G382" s="50"/>
      <c r="H382" s="50"/>
      <c r="I382" s="50"/>
      <c r="J382" s="50"/>
      <c r="K382" s="50"/>
      <c r="L382" s="50"/>
      <c r="M382" s="50"/>
      <c r="N382" s="50"/>
      <c r="O382" s="803" t="s">
        <v>2862</v>
      </c>
      <c r="P382" s="1598" t="s">
        <v>3976</v>
      </c>
      <c r="Q382" s="232"/>
    </row>
    <row r="383" spans="1:31" ht="12" customHeight="1">
      <c r="A383" s="50"/>
      <c r="B383" s="55" t="s">
        <v>2865</v>
      </c>
      <c r="C383" s="47" t="s">
        <v>3100</v>
      </c>
      <c r="D383" s="50"/>
      <c r="E383" s="50"/>
      <c r="F383" s="50"/>
      <c r="G383" s="50"/>
      <c r="H383" s="50"/>
      <c r="I383" s="50"/>
      <c r="J383" s="50"/>
      <c r="K383" s="50"/>
      <c r="L383" s="50"/>
      <c r="M383" s="50"/>
      <c r="N383" s="50"/>
      <c r="O383" s="803" t="s">
        <v>2030</v>
      </c>
      <c r="P383" s="1598" t="s">
        <v>3976</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598"/>
      <c r="Q385" s="232"/>
    </row>
    <row r="386" spans="1:32" ht="12" customHeight="1">
      <c r="A386" s="50"/>
      <c r="B386" s="55" t="s">
        <v>1145</v>
      </c>
      <c r="C386" s="1097" t="s">
        <v>3099</v>
      </c>
      <c r="D386" s="1097"/>
      <c r="E386" s="1097"/>
      <c r="F386" s="1097"/>
      <c r="G386" s="1097"/>
      <c r="H386" s="1097"/>
      <c r="I386" s="1097"/>
      <c r="J386" s="1097"/>
      <c r="K386" s="1097"/>
      <c r="L386" s="1097"/>
      <c r="M386" s="1097"/>
      <c r="N386" s="1097"/>
      <c r="O386" s="803" t="s">
        <v>1145</v>
      </c>
      <c r="P386" s="1598"/>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56"/>
      <c r="H388" s="662" t="s">
        <v>291</v>
      </c>
      <c r="J388" s="184" t="s">
        <v>3105</v>
      </c>
      <c r="K388" s="38"/>
      <c r="N388" s="1656"/>
      <c r="O388" s="662" t="s">
        <v>291</v>
      </c>
    </row>
    <row r="389" spans="1:32" ht="12" customHeight="1">
      <c r="A389" s="50"/>
      <c r="B389" s="55"/>
      <c r="C389" s="184" t="s">
        <v>3103</v>
      </c>
      <c r="D389" s="44"/>
      <c r="E389" s="50"/>
      <c r="F389" s="38"/>
      <c r="G389" s="1656"/>
      <c r="H389" s="662"/>
      <c r="J389" s="184" t="s">
        <v>3106</v>
      </c>
      <c r="K389" s="38"/>
      <c r="N389" s="1656"/>
      <c r="O389" s="662"/>
    </row>
    <row r="390" spans="1:32" ht="12" customHeight="1">
      <c r="A390" s="50"/>
      <c r="B390" s="55"/>
      <c r="C390" s="184" t="s">
        <v>3104</v>
      </c>
      <c r="D390" s="44"/>
      <c r="E390" s="50"/>
      <c r="F390" s="38"/>
      <c r="G390" s="1656"/>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98"/>
      <c r="H392" s="232"/>
      <c r="J392" s="697" t="s">
        <v>1705</v>
      </c>
      <c r="K392" s="38"/>
      <c r="N392" s="1598"/>
      <c r="O392" s="232"/>
    </row>
    <row r="393" spans="1:32" ht="12" customHeight="1">
      <c r="A393" s="50"/>
      <c r="B393" s="55"/>
      <c r="C393" s="697" t="s">
        <v>1704</v>
      </c>
      <c r="D393" s="38"/>
      <c r="E393" s="38"/>
      <c r="F393" s="38"/>
      <c r="G393" s="1598"/>
      <c r="H393" s="232"/>
      <c r="J393" s="697" t="s">
        <v>3165</v>
      </c>
      <c r="N393" s="1657"/>
      <c r="O393" s="1658"/>
      <c r="P393" s="1658"/>
      <c r="Q393" s="1659"/>
    </row>
    <row r="394" spans="1:32" ht="12" customHeight="1">
      <c r="B394" s="191" t="s">
        <v>2737</v>
      </c>
      <c r="D394" s="191"/>
      <c r="E394" s="191"/>
      <c r="F394" s="191"/>
      <c r="G394" s="191"/>
      <c r="H394" s="48"/>
      <c r="I394" s="180"/>
      <c r="J394" s="180"/>
      <c r="K394" s="180"/>
      <c r="P394" s="848"/>
      <c r="Q394" s="60"/>
    </row>
    <row r="395" spans="1:32" ht="12" customHeight="1">
      <c r="A395" s="1602"/>
      <c r="B395" s="1603"/>
      <c r="C395" s="1603"/>
      <c r="D395" s="1603"/>
      <c r="E395" s="1603"/>
      <c r="F395" s="1603"/>
      <c r="G395" s="1603"/>
      <c r="H395" s="1603"/>
      <c r="I395" s="1603"/>
      <c r="J395" s="1603"/>
      <c r="K395" s="1603"/>
      <c r="L395" s="1603"/>
      <c r="M395" s="1603"/>
      <c r="N395" s="1603"/>
      <c r="O395" s="1603"/>
      <c r="P395" s="1603"/>
      <c r="Q395" s="1604"/>
      <c r="U395" s="186"/>
      <c r="V395" s="186"/>
      <c r="W395" s="186"/>
      <c r="X395" s="186"/>
      <c r="Y395" s="186"/>
      <c r="Z395" s="186"/>
      <c r="AA395" s="186"/>
      <c r="AB395" s="186"/>
      <c r="AC395" s="186"/>
      <c r="AD395" s="186"/>
      <c r="AE395" s="805"/>
    </row>
    <row r="396" spans="1:32" ht="12" customHeight="1">
      <c r="B396" s="187" t="s">
        <v>2738</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3811</v>
      </c>
      <c r="C399" s="5"/>
      <c r="D399" s="115"/>
      <c r="E399" s="856"/>
      <c r="F399" s="856"/>
      <c r="G399" s="856"/>
      <c r="H399" s="856"/>
      <c r="O399" s="181" t="s">
        <v>2739</v>
      </c>
      <c r="P399" s="1114"/>
      <c r="Q399" s="1119"/>
    </row>
    <row r="400" spans="1:32" s="182" customFormat="1" ht="21.75" customHeight="1">
      <c r="B400" s="192" t="s">
        <v>2862</v>
      </c>
      <c r="C400" s="1121" t="s">
        <v>3880</v>
      </c>
      <c r="D400" s="1121"/>
      <c r="E400" s="1121"/>
      <c r="F400" s="1121"/>
      <c r="G400" s="1121"/>
      <c r="H400" s="1121"/>
      <c r="I400" s="1121"/>
      <c r="J400" s="1121"/>
      <c r="K400" s="1121"/>
      <c r="L400" s="1121"/>
      <c r="M400" s="1121"/>
      <c r="N400" s="1121"/>
      <c r="O400" s="219" t="s">
        <v>2862</v>
      </c>
      <c r="P400" s="1619" t="s">
        <v>4043</v>
      </c>
      <c r="Q400" s="354"/>
      <c r="AE400" s="806"/>
      <c r="AF400" s="806"/>
    </row>
    <row r="401" spans="1:32" s="182" customFormat="1" ht="12" customHeight="1">
      <c r="B401" s="192" t="s">
        <v>2865</v>
      </c>
      <c r="C401" s="1121" t="s">
        <v>3881</v>
      </c>
      <c r="D401" s="1121"/>
      <c r="E401" s="1121"/>
      <c r="F401" s="1121"/>
      <c r="G401" s="1121"/>
      <c r="H401" s="1121"/>
      <c r="I401" s="1121"/>
      <c r="J401" s="1121"/>
      <c r="K401" s="1121"/>
      <c r="L401" s="1121"/>
      <c r="M401" s="1121"/>
      <c r="N401" s="1121"/>
      <c r="O401" s="219" t="s">
        <v>2865</v>
      </c>
      <c r="P401" s="1619" t="s">
        <v>4043</v>
      </c>
      <c r="Q401" s="354"/>
      <c r="AE401" s="806"/>
      <c r="AF401" s="806"/>
    </row>
    <row r="402" spans="1:32" s="182" customFormat="1" ht="21.75" customHeight="1">
      <c r="B402" s="192" t="s">
        <v>1145</v>
      </c>
      <c r="C402" s="1121" t="s">
        <v>3882</v>
      </c>
      <c r="D402" s="1121"/>
      <c r="E402" s="1121"/>
      <c r="F402" s="1121"/>
      <c r="G402" s="1121"/>
      <c r="H402" s="1121"/>
      <c r="I402" s="1121"/>
      <c r="J402" s="1121"/>
      <c r="K402" s="1121"/>
      <c r="L402" s="1121"/>
      <c r="M402" s="1121"/>
      <c r="N402" s="1121"/>
      <c r="O402" s="219" t="s">
        <v>1145</v>
      </c>
      <c r="P402" s="1619" t="s">
        <v>4043</v>
      </c>
      <c r="Q402" s="354"/>
      <c r="AE402" s="806"/>
      <c r="AF402" s="806"/>
    </row>
    <row r="403" spans="1:32" s="182" customFormat="1" ht="33.75" customHeight="1">
      <c r="B403" s="192" t="s">
        <v>3004</v>
      </c>
      <c r="C403" s="1121" t="s">
        <v>3883</v>
      </c>
      <c r="D403" s="1121"/>
      <c r="E403" s="1121"/>
      <c r="F403" s="1121"/>
      <c r="G403" s="1121"/>
      <c r="H403" s="1121"/>
      <c r="I403" s="1121"/>
      <c r="J403" s="1121"/>
      <c r="K403" s="1121"/>
      <c r="L403" s="1121"/>
      <c r="M403" s="1121"/>
      <c r="N403" s="1121"/>
      <c r="O403" s="219" t="s">
        <v>3004</v>
      </c>
      <c r="P403" s="1619" t="s">
        <v>4043</v>
      </c>
      <c r="Q403" s="354"/>
      <c r="AE403" s="806"/>
      <c r="AF403" s="806"/>
    </row>
    <row r="404" spans="1:32" s="182" customFormat="1" ht="23.45" customHeight="1">
      <c r="B404" s="192" t="s">
        <v>2588</v>
      </c>
      <c r="C404" s="1121" t="s">
        <v>3884</v>
      </c>
      <c r="D404" s="1121"/>
      <c r="E404" s="1121"/>
      <c r="F404" s="1121"/>
      <c r="G404" s="1121"/>
      <c r="H404" s="1121"/>
      <c r="I404" s="1121"/>
      <c r="J404" s="1121"/>
      <c r="K404" s="1121"/>
      <c r="L404" s="1121"/>
      <c r="M404" s="1121"/>
      <c r="N404" s="1121"/>
      <c r="O404" s="219" t="s">
        <v>2588</v>
      </c>
      <c r="P404" s="1619" t="s">
        <v>4043</v>
      </c>
      <c r="Q404" s="354"/>
      <c r="AE404" s="806"/>
      <c r="AF404" s="806"/>
    </row>
    <row r="405" spans="1:32" s="182" customFormat="1" ht="21.75" customHeight="1">
      <c r="B405" s="192" t="s">
        <v>2589</v>
      </c>
      <c r="C405" s="1121" t="s">
        <v>3885</v>
      </c>
      <c r="D405" s="1121"/>
      <c r="E405" s="1121"/>
      <c r="F405" s="1121"/>
      <c r="G405" s="1121"/>
      <c r="H405" s="1121"/>
      <c r="I405" s="1121"/>
      <c r="J405" s="1121"/>
      <c r="K405" s="1121"/>
      <c r="L405" s="1121"/>
      <c r="M405" s="1121"/>
      <c r="N405" s="1121"/>
      <c r="O405" s="219" t="s">
        <v>2589</v>
      </c>
      <c r="P405" s="1619" t="s">
        <v>4043</v>
      </c>
      <c r="Q405" s="354"/>
      <c r="AE405" s="806"/>
      <c r="AF405" s="806"/>
    </row>
    <row r="406" spans="1:32" ht="11.25" customHeight="1">
      <c r="B406" s="191" t="s">
        <v>2737</v>
      </c>
      <c r="D406" s="191"/>
      <c r="E406" s="191"/>
      <c r="F406" s="191"/>
      <c r="G406" s="191"/>
      <c r="H406" s="48"/>
      <c r="I406" s="180"/>
      <c r="J406" s="180"/>
      <c r="K406" s="180"/>
      <c r="L406" s="848"/>
      <c r="M406" s="848"/>
      <c r="N406" s="848"/>
      <c r="O406" s="848"/>
      <c r="P406" s="848"/>
      <c r="Q406" s="60"/>
    </row>
    <row r="407" spans="1:32" ht="11.45" customHeight="1">
      <c r="A407" s="1602"/>
      <c r="B407" s="1603"/>
      <c r="C407" s="1603"/>
      <c r="D407" s="1603"/>
      <c r="E407" s="1603"/>
      <c r="F407" s="1603"/>
      <c r="G407" s="1603"/>
      <c r="H407" s="1603"/>
      <c r="I407" s="1603"/>
      <c r="J407" s="1603"/>
      <c r="K407" s="1603"/>
      <c r="L407" s="1603"/>
      <c r="M407" s="1603"/>
      <c r="N407" s="1603"/>
      <c r="O407" s="1603"/>
      <c r="P407" s="1603"/>
      <c r="Q407" s="1604"/>
      <c r="R407" s="736" t="s">
        <v>1806</v>
      </c>
      <c r="S407" s="737"/>
      <c r="U407" s="186"/>
      <c r="V407" s="186"/>
      <c r="W407" s="186"/>
      <c r="X407" s="186"/>
      <c r="Y407" s="186"/>
      <c r="Z407" s="186"/>
      <c r="AA407" s="186"/>
      <c r="AB407" s="186"/>
      <c r="AC407" s="186"/>
      <c r="AD407" s="186"/>
      <c r="AE407" s="805"/>
    </row>
    <row r="408" spans="1:32" ht="11.25" customHeight="1">
      <c r="B408" s="187" t="s">
        <v>2738</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3812</v>
      </c>
      <c r="C411" s="5"/>
      <c r="D411" s="115"/>
      <c r="E411" s="856"/>
      <c r="F411" s="856"/>
      <c r="G411" s="856"/>
      <c r="H411" s="856"/>
      <c r="I411" s="856"/>
      <c r="J411" s="856"/>
      <c r="K411" s="856"/>
      <c r="L411" s="856"/>
      <c r="M411" s="856"/>
      <c r="O411" s="181" t="s">
        <v>2739</v>
      </c>
      <c r="P411" s="1114"/>
      <c r="Q411" s="1119"/>
    </row>
    <row r="412" spans="1:32" ht="11.25" customHeight="1">
      <c r="A412" s="857"/>
      <c r="B412" s="191" t="s">
        <v>2737</v>
      </c>
      <c r="D412" s="191"/>
      <c r="E412" s="191"/>
      <c r="F412" s="191"/>
      <c r="G412" s="191"/>
      <c r="H412" s="48"/>
      <c r="I412" s="180"/>
      <c r="J412" s="180"/>
      <c r="K412" s="180"/>
      <c r="L412" s="848"/>
      <c r="M412" s="848"/>
      <c r="N412" s="848"/>
      <c r="O412" s="848"/>
      <c r="P412" s="848"/>
      <c r="Q412" s="60"/>
    </row>
    <row r="413" spans="1:32" ht="24" customHeight="1">
      <c r="A413" s="1602" t="s">
        <v>4080</v>
      </c>
      <c r="B413" s="1603"/>
      <c r="C413" s="1603"/>
      <c r="D413" s="1603"/>
      <c r="E413" s="1603"/>
      <c r="F413" s="1603"/>
      <c r="G413" s="1603"/>
      <c r="H413" s="1603"/>
      <c r="I413" s="1603"/>
      <c r="J413" s="1603"/>
      <c r="K413" s="1603"/>
      <c r="L413" s="1603"/>
      <c r="M413" s="1603"/>
      <c r="N413" s="1603"/>
      <c r="O413" s="1603"/>
      <c r="P413" s="1603"/>
      <c r="Q413" s="1604"/>
      <c r="R413" s="736" t="s">
        <v>1806</v>
      </c>
      <c r="S413" s="737"/>
      <c r="U413" s="186"/>
      <c r="V413" s="186"/>
      <c r="W413" s="186"/>
      <c r="X413" s="186"/>
      <c r="Y413" s="186"/>
      <c r="Z413" s="186"/>
      <c r="AA413" s="186"/>
      <c r="AB413" s="186"/>
      <c r="AC413" s="186"/>
      <c r="AD413" s="186"/>
      <c r="AE413" s="805"/>
    </row>
    <row r="414" spans="1:32" ht="11.25" customHeight="1">
      <c r="B414" s="187" t="s">
        <v>2738</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60"/>
      <c r="B419" s="1660"/>
      <c r="C419" s="1660"/>
      <c r="D419" s="1660"/>
      <c r="E419" s="1660"/>
      <c r="F419" s="1660"/>
      <c r="G419" s="1660"/>
      <c r="H419" s="1660"/>
      <c r="I419" s="1660"/>
      <c r="J419" s="1660"/>
      <c r="K419" s="1660"/>
      <c r="L419" s="1660"/>
      <c r="M419" s="1660"/>
      <c r="N419" s="1660"/>
      <c r="O419" s="1660"/>
      <c r="P419" s="1660"/>
      <c r="Q419" s="1660"/>
      <c r="AE419" s="807"/>
      <c r="AF419" s="807"/>
    </row>
    <row r="420" spans="1:32" s="199" customFormat="1" ht="12" customHeight="1">
      <c r="A420" s="1660"/>
      <c r="B420" s="1660"/>
      <c r="C420" s="1660"/>
      <c r="D420" s="1660"/>
      <c r="E420" s="1660"/>
      <c r="F420" s="1660"/>
      <c r="G420" s="1660"/>
      <c r="H420" s="1660"/>
      <c r="I420" s="1660"/>
      <c r="J420" s="1660"/>
      <c r="K420" s="1660"/>
      <c r="L420" s="1660"/>
      <c r="M420" s="1660"/>
      <c r="N420" s="1660"/>
      <c r="O420" s="1660"/>
      <c r="P420" s="1660"/>
      <c r="Q420" s="1660"/>
      <c r="AE420" s="807"/>
      <c r="AF420" s="807"/>
    </row>
    <row r="421" spans="1:32" s="199" customFormat="1" ht="12" customHeight="1">
      <c r="A421" s="1660"/>
      <c r="B421" s="1660"/>
      <c r="C421" s="1660"/>
      <c r="D421" s="1660"/>
      <c r="E421" s="1660"/>
      <c r="F421" s="1660"/>
      <c r="G421" s="1660"/>
      <c r="H421" s="1660"/>
      <c r="I421" s="1660"/>
      <c r="J421" s="1660"/>
      <c r="K421" s="1660"/>
      <c r="L421" s="1660"/>
      <c r="M421" s="1660"/>
      <c r="N421" s="1660"/>
      <c r="O421" s="1660"/>
      <c r="P421" s="1660"/>
      <c r="Q421" s="1660"/>
      <c r="AE421" s="807"/>
      <c r="AF421" s="807"/>
    </row>
    <row r="422" spans="1:32" s="199" customFormat="1" ht="12" customHeight="1">
      <c r="A422" s="1660"/>
      <c r="B422" s="1660"/>
      <c r="C422" s="1660"/>
      <c r="D422" s="1660"/>
      <c r="E422" s="1660"/>
      <c r="F422" s="1660"/>
      <c r="G422" s="1660"/>
      <c r="H422" s="1660"/>
      <c r="I422" s="1660"/>
      <c r="J422" s="1660"/>
      <c r="K422" s="1660"/>
      <c r="L422" s="1660"/>
      <c r="M422" s="1660"/>
      <c r="N422" s="1660"/>
      <c r="O422" s="1660"/>
      <c r="P422" s="1660"/>
      <c r="Q422" s="1660"/>
      <c r="AE422" s="807"/>
      <c r="AF422" s="807"/>
    </row>
    <row r="423" spans="1:32" s="199" customFormat="1" ht="12" customHeight="1">
      <c r="A423" s="1660"/>
      <c r="B423" s="1660"/>
      <c r="C423" s="1660"/>
      <c r="D423" s="1660"/>
      <c r="E423" s="1660"/>
      <c r="F423" s="1660"/>
      <c r="G423" s="1660"/>
      <c r="H423" s="1660"/>
      <c r="I423" s="1660"/>
      <c r="J423" s="1660"/>
      <c r="K423" s="1660"/>
      <c r="L423" s="1660"/>
      <c r="M423" s="1660"/>
      <c r="N423" s="1660"/>
      <c r="O423" s="1660"/>
      <c r="P423" s="1660"/>
      <c r="Q423" s="1660"/>
      <c r="AE423" s="807"/>
      <c r="AF423" s="807"/>
    </row>
    <row r="424" spans="1:32" s="199" customFormat="1" ht="12" customHeight="1">
      <c r="A424" s="1660"/>
      <c r="B424" s="1660"/>
      <c r="C424" s="1660"/>
      <c r="D424" s="1660"/>
      <c r="E424" s="1660"/>
      <c r="F424" s="1660"/>
      <c r="G424" s="1660"/>
      <c r="H424" s="1660"/>
      <c r="I424" s="1660"/>
      <c r="J424" s="1660"/>
      <c r="K424" s="1660"/>
      <c r="L424" s="1660"/>
      <c r="M424" s="1660"/>
      <c r="N424" s="1660"/>
      <c r="O424" s="1660"/>
      <c r="P424" s="1660"/>
      <c r="Q424" s="1660"/>
      <c r="AE424" s="807"/>
      <c r="AF424" s="807"/>
    </row>
    <row r="425" spans="1:32" s="199" customFormat="1" ht="12" customHeight="1">
      <c r="A425" s="1660"/>
      <c r="B425" s="1660"/>
      <c r="C425" s="1660"/>
      <c r="D425" s="1660"/>
      <c r="E425" s="1660"/>
      <c r="F425" s="1660"/>
      <c r="G425" s="1660"/>
      <c r="H425" s="1660"/>
      <c r="I425" s="1660"/>
      <c r="J425" s="1660"/>
      <c r="K425" s="1660"/>
      <c r="L425" s="1660"/>
      <c r="M425" s="1660"/>
      <c r="N425" s="1660"/>
      <c r="O425" s="1660"/>
      <c r="P425" s="1660"/>
      <c r="Q425" s="1660"/>
      <c r="AE425" s="807"/>
      <c r="AF425" s="807"/>
    </row>
    <row r="426" spans="1:32" s="199" customFormat="1" ht="12" customHeight="1">
      <c r="A426" s="1660"/>
      <c r="B426" s="1660"/>
      <c r="C426" s="1660"/>
      <c r="D426" s="1660"/>
      <c r="E426" s="1660"/>
      <c r="F426" s="1660"/>
      <c r="G426" s="1660"/>
      <c r="H426" s="1660"/>
      <c r="I426" s="1660"/>
      <c r="J426" s="1660"/>
      <c r="K426" s="1660"/>
      <c r="L426" s="1660"/>
      <c r="M426" s="1660"/>
      <c r="N426" s="1660"/>
      <c r="O426" s="1660"/>
      <c r="P426" s="1660"/>
      <c r="Q426" s="1660"/>
      <c r="AE426" s="807"/>
      <c r="AF426" s="807"/>
    </row>
    <row r="427" spans="1:32" s="199" customFormat="1" ht="12" customHeight="1">
      <c r="A427" s="1660"/>
      <c r="B427" s="1660"/>
      <c r="C427" s="1660"/>
      <c r="D427" s="1660"/>
      <c r="E427" s="1660"/>
      <c r="F427" s="1660"/>
      <c r="G427" s="1660"/>
      <c r="H427" s="1660"/>
      <c r="I427" s="1660"/>
      <c r="J427" s="1660"/>
      <c r="K427" s="1660"/>
      <c r="L427" s="1660"/>
      <c r="M427" s="1660"/>
      <c r="N427" s="1660"/>
      <c r="O427" s="1660"/>
      <c r="P427" s="1660"/>
      <c r="Q427" s="1660"/>
      <c r="AE427" s="807"/>
      <c r="AF427" s="807"/>
    </row>
    <row r="428" spans="1:32" s="199" customFormat="1" ht="12" customHeight="1">
      <c r="A428" s="1660"/>
      <c r="B428" s="1660"/>
      <c r="C428" s="1660"/>
      <c r="D428" s="1660"/>
      <c r="E428" s="1660"/>
      <c r="F428" s="1660"/>
      <c r="G428" s="1660"/>
      <c r="H428" s="1660"/>
      <c r="I428" s="1660"/>
      <c r="J428" s="1660"/>
      <c r="K428" s="1660"/>
      <c r="L428" s="1660"/>
      <c r="M428" s="1660"/>
      <c r="N428" s="1660"/>
      <c r="O428" s="1660"/>
      <c r="P428" s="1660"/>
      <c r="Q428" s="1660"/>
      <c r="AE428" s="807"/>
      <c r="AF428" s="807"/>
    </row>
    <row r="429" spans="1:32" s="199" customFormat="1" ht="12" customHeight="1">
      <c r="A429" s="1660"/>
      <c r="B429" s="1660"/>
      <c r="C429" s="1660"/>
      <c r="D429" s="1660"/>
      <c r="E429" s="1660"/>
      <c r="F429" s="1660"/>
      <c r="G429" s="1660"/>
      <c r="H429" s="1660"/>
      <c r="I429" s="1660"/>
      <c r="J429" s="1660"/>
      <c r="K429" s="1660"/>
      <c r="L429" s="1660"/>
      <c r="M429" s="1660"/>
      <c r="N429" s="1660"/>
      <c r="O429" s="1660"/>
      <c r="P429" s="1660"/>
      <c r="Q429" s="1660"/>
      <c r="AE429" s="807"/>
      <c r="AF429" s="807"/>
    </row>
    <row r="430" spans="1:32" s="199" customFormat="1" ht="12" customHeight="1">
      <c r="A430" s="1660"/>
      <c r="B430" s="1660"/>
      <c r="C430" s="1660"/>
      <c r="D430" s="1660"/>
      <c r="E430" s="1660"/>
      <c r="F430" s="1660"/>
      <c r="G430" s="1660"/>
      <c r="H430" s="1660"/>
      <c r="I430" s="1660"/>
      <c r="J430" s="1660"/>
      <c r="K430" s="1660"/>
      <c r="L430" s="1660"/>
      <c r="M430" s="1660"/>
      <c r="N430" s="1660"/>
      <c r="O430" s="1660"/>
      <c r="P430" s="1660"/>
      <c r="Q430" s="1660"/>
      <c r="AE430" s="807"/>
      <c r="AF430" s="807"/>
    </row>
    <row r="431" spans="1:32" s="199" customFormat="1" ht="12" customHeight="1">
      <c r="A431" s="1660"/>
      <c r="B431" s="1660"/>
      <c r="C431" s="1660"/>
      <c r="D431" s="1660"/>
      <c r="E431" s="1660"/>
      <c r="F431" s="1660"/>
      <c r="G431" s="1660"/>
      <c r="H431" s="1660"/>
      <c r="I431" s="1660"/>
      <c r="J431" s="1660"/>
      <c r="K431" s="1660"/>
      <c r="L431" s="1660"/>
      <c r="M431" s="1660"/>
      <c r="N431" s="1660"/>
      <c r="O431" s="1660"/>
      <c r="P431" s="1660"/>
      <c r="Q431" s="1660"/>
      <c r="AE431" s="807"/>
      <c r="AF431" s="807"/>
    </row>
    <row r="432" spans="1:32" s="199" customFormat="1" ht="12" customHeight="1">
      <c r="A432" s="1660"/>
      <c r="B432" s="1660"/>
      <c r="C432" s="1660"/>
      <c r="D432" s="1660"/>
      <c r="E432" s="1660"/>
      <c r="F432" s="1660"/>
      <c r="G432" s="1660"/>
      <c r="H432" s="1660"/>
      <c r="I432" s="1660"/>
      <c r="J432" s="1660"/>
      <c r="K432" s="1660"/>
      <c r="L432" s="1660"/>
      <c r="M432" s="1660"/>
      <c r="N432" s="1660"/>
      <c r="O432" s="1660"/>
      <c r="P432" s="1660"/>
      <c r="Q432" s="1660"/>
      <c r="AE432" s="807"/>
      <c r="AF432" s="807"/>
    </row>
    <row r="433" spans="1:32" s="199" customFormat="1" ht="12" customHeight="1">
      <c r="A433" s="1660"/>
      <c r="B433" s="1660"/>
      <c r="C433" s="1660"/>
      <c r="D433" s="1660"/>
      <c r="E433" s="1660"/>
      <c r="F433" s="1660"/>
      <c r="G433" s="1660"/>
      <c r="H433" s="1660"/>
      <c r="I433" s="1660"/>
      <c r="J433" s="1660"/>
      <c r="K433" s="1660"/>
      <c r="L433" s="1660"/>
      <c r="M433" s="1660"/>
      <c r="N433" s="1660"/>
      <c r="O433" s="1660"/>
      <c r="P433" s="1660"/>
      <c r="Q433" s="1660"/>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3511</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6"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70" zoomScaleNormal="7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2012-019 Walton Oaks Family 2, Augusta, Richmond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61</v>
      </c>
      <c r="P6" s="77">
        <f>P291</f>
        <v>14</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1" t="s">
        <v>3619</v>
      </c>
      <c r="G10" s="38">
        <f>F16</f>
        <v>0</v>
      </c>
      <c r="H10" s="244" t="s">
        <v>301</v>
      </c>
      <c r="M10" s="7">
        <v>7</v>
      </c>
      <c r="N10" s="78" t="s">
        <v>2862</v>
      </c>
      <c r="O10" s="1661"/>
      <c r="P10" s="66"/>
    </row>
    <row r="11" spans="1:19" s="50" customFormat="1" ht="11.25" customHeight="1">
      <c r="A11" s="255" t="s">
        <v>2865</v>
      </c>
      <c r="B11" s="236" t="s">
        <v>1122</v>
      </c>
      <c r="D11" s="56"/>
      <c r="E11" s="56"/>
      <c r="F11" s="821" t="s">
        <v>3619</v>
      </c>
      <c r="G11" s="38">
        <f>K16</f>
        <v>0</v>
      </c>
      <c r="H11" s="244" t="s">
        <v>302</v>
      </c>
      <c r="J11" s="57"/>
      <c r="M11" s="7">
        <v>0</v>
      </c>
      <c r="N11" s="78" t="s">
        <v>2865</v>
      </c>
      <c r="O11" s="1661"/>
      <c r="P11" s="66"/>
      <c r="Q11" s="148"/>
    </row>
    <row r="12" spans="1:19" s="51" customFormat="1" ht="11.25" customHeight="1">
      <c r="A12" s="255" t="s">
        <v>1145</v>
      </c>
      <c r="B12" s="236" t="s">
        <v>3002</v>
      </c>
      <c r="D12" s="56"/>
      <c r="E12" s="56"/>
      <c r="F12" s="821" t="s">
        <v>3619</v>
      </c>
      <c r="G12" s="38">
        <f>P16</f>
        <v>0</v>
      </c>
      <c r="H12" s="244" t="s">
        <v>303</v>
      </c>
      <c r="J12" s="57"/>
      <c r="M12" s="7">
        <v>1</v>
      </c>
      <c r="N12" s="78" t="s">
        <v>1145</v>
      </c>
      <c r="O12" s="1661"/>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602"/>
      <c r="B14" s="1603"/>
      <c r="C14" s="1603"/>
      <c r="D14" s="1603"/>
      <c r="E14" s="1603"/>
      <c r="F14" s="1603"/>
      <c r="G14" s="1603"/>
      <c r="H14" s="1603"/>
      <c r="I14" s="1603"/>
      <c r="J14" s="1603"/>
      <c r="K14" s="1603"/>
      <c r="L14" s="1603"/>
      <c r="M14" s="1603"/>
      <c r="N14" s="1603"/>
      <c r="O14" s="1603"/>
      <c r="P14" s="1604"/>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205" t="s">
        <v>3380</v>
      </c>
      <c r="B16" s="1205"/>
      <c r="C16" s="1205"/>
      <c r="D16" s="1205"/>
      <c r="E16" s="79" t="s">
        <v>739</v>
      </c>
      <c r="F16" s="93">
        <f>SUM(F17:F28)</f>
        <v>0</v>
      </c>
      <c r="G16" s="1206" t="s">
        <v>3381</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4</v>
      </c>
      <c r="P30" s="204">
        <f>IF($L$32 &gt;= $P$32,$M$32,IF($L$31&gt;=$P$31,$M$31,0))</f>
        <v>4</v>
      </c>
      <c r="Q30" s="148" t="s">
        <v>612</v>
      </c>
      <c r="R30" s="558" t="str">
        <f>IF(OR($O30=$M30,$O30=0,$O30=""),"","* * Check Score! * *")</f>
        <v/>
      </c>
    </row>
    <row r="31" spans="1:19" s="688" customFormat="1" ht="11.25" customHeight="1">
      <c r="A31" s="687" t="s">
        <v>2862</v>
      </c>
      <c r="B31" s="155" t="s">
        <v>3701</v>
      </c>
      <c r="E31" s="689"/>
      <c r="H31" s="660" t="s">
        <v>3856</v>
      </c>
      <c r="I31" s="1662"/>
      <c r="K31" s="660" t="s">
        <v>3858</v>
      </c>
      <c r="L31" s="691">
        <f>IF(OR('Part VI-Revenues &amp; Expenses'!$M$60="", 'Part VI-Revenues &amp; Expenses'!$M$60=0),0,I31/'Part VI-Revenues &amp; Expenses'!$M$60)</f>
        <v>0</v>
      </c>
      <c r="M31" s="1">
        <v>3</v>
      </c>
      <c r="N31" s="690"/>
      <c r="O31" s="1189" t="s">
        <v>3927</v>
      </c>
      <c r="P31" s="735">
        <v>0.15</v>
      </c>
    </row>
    <row r="32" spans="1:19" s="688" customFormat="1" ht="11.25" customHeight="1">
      <c r="A32" s="687" t="s">
        <v>2865</v>
      </c>
      <c r="B32" s="155" t="s">
        <v>3702</v>
      </c>
      <c r="E32" s="689"/>
      <c r="H32" s="660" t="s">
        <v>3703</v>
      </c>
      <c r="I32" s="1662">
        <v>32</v>
      </c>
      <c r="K32" s="660" t="s">
        <v>3858</v>
      </c>
      <c r="L32" s="691">
        <f>IF(OR('Part VI-Revenues &amp; Expenses'!$M$60="", 'Part VI-Revenues &amp; Expenses'!$M$60=0),0,I32/'Part VI-Revenues &amp; Expenses'!$M$60)</f>
        <v>0.30188679245283018</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602"/>
      <c r="B34" s="1603"/>
      <c r="C34" s="1603"/>
      <c r="D34" s="1603"/>
      <c r="E34" s="1603"/>
      <c r="F34" s="1603"/>
      <c r="G34" s="1603"/>
      <c r="H34" s="1603"/>
      <c r="I34" s="1603"/>
      <c r="J34" s="1603"/>
      <c r="K34" s="1603"/>
      <c r="L34" s="1603"/>
      <c r="M34" s="1603"/>
      <c r="N34" s="1603"/>
      <c r="O34" s="1603"/>
      <c r="P34" s="1604"/>
    </row>
    <row r="35" spans="1:18" s="51" customFormat="1" ht="11.45" customHeight="1">
      <c r="A35" s="50"/>
      <c r="B35" s="129" t="s">
        <v>2738</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3548</v>
      </c>
      <c r="B38" s="144" t="s">
        <v>2746</v>
      </c>
      <c r="D38" s="49"/>
      <c r="H38" s="244" t="s">
        <v>851</v>
      </c>
      <c r="I38" s="47"/>
      <c r="J38" s="56"/>
      <c r="K38" s="44"/>
      <c r="M38" s="3">
        <v>12</v>
      </c>
      <c r="N38" s="803"/>
      <c r="O38" s="204">
        <f>IF(OR($M$40-O$41&lt;0,O$40-O$41&lt;0),0,IF(O$40&lt;=$M$40,O$40-O$41,IF(O$40&gt;$M$40,$M$40-O$41,0)))</f>
        <v>11</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63">
        <v>12</v>
      </c>
      <c r="P40" s="85"/>
      <c r="R40" s="558"/>
    </row>
    <row r="41" spans="1:18" s="51" customFormat="1" ht="12.6" customHeight="1">
      <c r="A41" s="189" t="s">
        <v>2865</v>
      </c>
      <c r="B41" s="236" t="s">
        <v>2748</v>
      </c>
      <c r="D41" s="49"/>
      <c r="E41" s="244" t="s">
        <v>588</v>
      </c>
      <c r="F41" s="585"/>
      <c r="G41" s="585"/>
      <c r="H41" s="585"/>
      <c r="M41" s="180" t="s">
        <v>1777</v>
      </c>
      <c r="N41" s="803" t="s">
        <v>2865</v>
      </c>
      <c r="O41" s="1661">
        <v>1</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602" t="s">
        <v>4092</v>
      </c>
      <c r="B44" s="1603"/>
      <c r="C44" s="1603"/>
      <c r="D44" s="1603"/>
      <c r="E44" s="1603"/>
      <c r="F44" s="1603"/>
      <c r="G44" s="1603"/>
      <c r="H44" s="1603"/>
      <c r="I44" s="1603"/>
      <c r="J44" s="1603"/>
      <c r="K44" s="1603"/>
      <c r="L44" s="1603"/>
      <c r="M44" s="1603"/>
      <c r="N44" s="1603"/>
      <c r="O44" s="1603"/>
      <c r="P44" s="1604"/>
      <c r="Q44" s="736" t="s">
        <v>1806</v>
      </c>
      <c r="R44" s="737"/>
    </row>
    <row r="45" spans="1:18" s="51" customFormat="1" ht="11.45" customHeight="1">
      <c r="A45" s="50"/>
      <c r="B45" s="80" t="s">
        <v>2738</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2755</v>
      </c>
      <c r="J49" s="56"/>
      <c r="K49" s="56"/>
      <c r="M49" s="3">
        <v>3</v>
      </c>
      <c r="N49" s="803"/>
      <c r="O49" s="204">
        <f>MIN($M49,(O50+O51+O52))</f>
        <v>3</v>
      </c>
      <c r="P49" s="204">
        <f>MIN($M49,(P50+P51+P52))</f>
        <v>0</v>
      </c>
      <c r="Q49" s="148" t="s">
        <v>612</v>
      </c>
    </row>
    <row r="50" spans="1:18" s="51" customFormat="1" ht="12" customHeight="1">
      <c r="A50" s="189" t="s">
        <v>2862</v>
      </c>
      <c r="B50" s="236" t="s">
        <v>3716</v>
      </c>
      <c r="C50" s="5"/>
      <c r="D50" s="5"/>
      <c r="E50" s="44"/>
      <c r="F50" s="5"/>
      <c r="G50" s="47"/>
      <c r="I50" s="47"/>
      <c r="K50" s="56"/>
      <c r="L50" s="558" t="str">
        <f>IF(OR($O50=$M50,$O50=0,$O50=""),"","* * Check Score! * *")</f>
        <v/>
      </c>
      <c r="M50" s="3">
        <v>3</v>
      </c>
      <c r="N50" s="250" t="s">
        <v>2862</v>
      </c>
      <c r="O50" s="1663">
        <v>3</v>
      </c>
      <c r="P50" s="85"/>
      <c r="R50" s="558"/>
    </row>
    <row r="51" spans="1:18" s="51" customFormat="1" ht="12.6" customHeight="1">
      <c r="A51" s="189" t="s">
        <v>2865</v>
      </c>
      <c r="B51" s="236" t="s">
        <v>3717</v>
      </c>
      <c r="E51" s="49"/>
      <c r="K51" s="56"/>
      <c r="L51" s="558" t="str">
        <f>IF(OR($O51=$M51,$O51=0,$O51=""),"","* * Check Score! * *")</f>
        <v/>
      </c>
      <c r="M51" s="3">
        <v>2</v>
      </c>
      <c r="N51" s="803" t="s">
        <v>2865</v>
      </c>
      <c r="O51" s="1663"/>
      <c r="P51" s="85"/>
      <c r="R51" s="558"/>
    </row>
    <row r="52" spans="1:18" s="51" customFormat="1" ht="12.6" customHeight="1">
      <c r="A52" s="189" t="s">
        <v>1145</v>
      </c>
      <c r="B52" s="236" t="s">
        <v>3759</v>
      </c>
      <c r="E52" s="49"/>
      <c r="K52" s="56"/>
      <c r="L52" s="558" t="str">
        <f>IF(OR($O52=$M52,$O52=0,$O52=""),"","* * Check Score! * *")</f>
        <v/>
      </c>
      <c r="M52" s="3">
        <v>1</v>
      </c>
      <c r="N52" s="250" t="s">
        <v>1145</v>
      </c>
      <c r="O52" s="1663"/>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602"/>
      <c r="B54" s="1603"/>
      <c r="C54" s="1603"/>
      <c r="D54" s="1603"/>
      <c r="E54" s="1603"/>
      <c r="F54" s="1603"/>
      <c r="G54" s="1603"/>
      <c r="H54" s="1603"/>
      <c r="I54" s="1603"/>
      <c r="J54" s="1603"/>
      <c r="K54" s="1603"/>
      <c r="L54" s="1603"/>
      <c r="M54" s="1603"/>
      <c r="N54" s="1603"/>
      <c r="O54" s="1603"/>
      <c r="P54" s="1604"/>
    </row>
    <row r="55" spans="1:18" s="134" customFormat="1" ht="11.45" customHeight="1">
      <c r="A55" s="50"/>
      <c r="B55" s="129" t="s">
        <v>2738</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2755</v>
      </c>
      <c r="M58" s="3">
        <v>1</v>
      </c>
      <c r="N58" s="601" t="str">
        <f>IF(OR($O58=$M58,$O58=0,$O58=""),"","***")</f>
        <v/>
      </c>
      <c r="O58" s="1663"/>
      <c r="P58" s="85"/>
      <c r="Q58" s="148" t="s">
        <v>612</v>
      </c>
    </row>
    <row r="59" spans="1:18" s="51" customFormat="1" ht="12.6" customHeight="1">
      <c r="A59" s="209"/>
      <c r="B59" s="586" t="s">
        <v>1120</v>
      </c>
      <c r="D59" s="49"/>
      <c r="H59" s="57"/>
      <c r="I59" s="57"/>
      <c r="J59" s="57"/>
      <c r="K59" s="57"/>
      <c r="L59" s="57"/>
      <c r="M59" s="3"/>
      <c r="N59" s="601"/>
      <c r="O59" s="1598"/>
      <c r="P59" s="232"/>
      <c r="Q59" s="148"/>
    </row>
    <row r="60" spans="1:18" s="51" customFormat="1" ht="12.6" customHeight="1">
      <c r="A60" s="209"/>
      <c r="B60" s="586" t="s">
        <v>1119</v>
      </c>
      <c r="D60" s="49"/>
      <c r="H60" s="57"/>
      <c r="I60" s="1664"/>
      <c r="J60" s="1665"/>
      <c r="K60" s="1665"/>
      <c r="L60" s="1666"/>
      <c r="M60" s="3"/>
      <c r="N60" s="601"/>
      <c r="O60" s="601"/>
      <c r="P60" s="601"/>
      <c r="Q60" s="148"/>
    </row>
    <row r="61" spans="1:18" s="51" customFormat="1" ht="12.6" customHeight="1">
      <c r="A61" s="209"/>
      <c r="B61" s="586" t="s">
        <v>1121</v>
      </c>
      <c r="D61" s="49"/>
      <c r="H61" s="57"/>
      <c r="I61" s="57"/>
      <c r="J61" s="57"/>
      <c r="K61" s="57"/>
      <c r="L61" s="57"/>
      <c r="M61" s="3"/>
      <c r="N61" s="601"/>
      <c r="O61" s="1598"/>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602"/>
      <c r="B63" s="1603"/>
      <c r="C63" s="1603"/>
      <c r="D63" s="1603"/>
      <c r="E63" s="1603"/>
      <c r="F63" s="1603"/>
      <c r="G63" s="1603"/>
      <c r="H63" s="1603"/>
      <c r="I63" s="1603"/>
      <c r="J63" s="1603"/>
      <c r="K63" s="1603"/>
      <c r="L63" s="1603"/>
      <c r="M63" s="1603"/>
      <c r="N63" s="1603"/>
      <c r="O63" s="1603"/>
      <c r="P63" s="1604"/>
      <c r="Q63" s="736" t="s">
        <v>1806</v>
      </c>
    </row>
    <row r="64" spans="1:18" s="134" customFormat="1" ht="11.45" customHeight="1">
      <c r="A64" s="50"/>
      <c r="B64" s="129" t="s">
        <v>2738</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3758</v>
      </c>
      <c r="D67" s="49"/>
      <c r="E67" s="44" t="s">
        <v>1954</v>
      </c>
      <c r="I67" s="57" t="s">
        <v>2755</v>
      </c>
      <c r="M67" s="3">
        <v>2</v>
      </c>
      <c r="N67" s="601" t="str">
        <f>IF(OR($O67=$M67,$O67=0,$O67=""),"","***")</f>
        <v/>
      </c>
      <c r="O67" s="1663"/>
      <c r="P67" s="85"/>
      <c r="Q67" s="148" t="s">
        <v>612</v>
      </c>
    </row>
    <row r="68" spans="1:18" s="51" customFormat="1" ht="12.6" customHeight="1">
      <c r="A68" s="209"/>
      <c r="B68" s="586" t="s">
        <v>3704</v>
      </c>
      <c r="D68" s="49"/>
      <c r="E68" s="44"/>
      <c r="I68" s="1664"/>
      <c r="J68" s="1665"/>
      <c r="K68" s="1665"/>
      <c r="L68" s="1666"/>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602"/>
      <c r="B70" s="1603"/>
      <c r="C70" s="1603"/>
      <c r="D70" s="1603"/>
      <c r="E70" s="1603"/>
      <c r="F70" s="1603"/>
      <c r="G70" s="1603"/>
      <c r="H70" s="1603"/>
      <c r="I70" s="1603"/>
      <c r="J70" s="1603"/>
      <c r="K70" s="1603"/>
      <c r="L70" s="1603"/>
      <c r="M70" s="1603"/>
      <c r="N70" s="1603"/>
      <c r="O70" s="1603"/>
      <c r="P70" s="1604"/>
    </row>
    <row r="71" spans="1:18" s="134" customFormat="1" ht="11.45" customHeight="1">
      <c r="A71" s="50"/>
      <c r="B71" s="129" t="s">
        <v>2738</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3843</v>
      </c>
      <c r="J74" s="1667" t="s">
        <v>4070</v>
      </c>
      <c r="K74" s="1668"/>
      <c r="L74" s="1669"/>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2862</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2862</v>
      </c>
      <c r="O76" s="1598" t="s">
        <v>3975</v>
      </c>
      <c r="P76" s="232"/>
      <c r="Q76" s="148"/>
    </row>
    <row r="77" spans="1:18" ht="11.45" customHeight="1">
      <c r="A77" s="550" t="str">
        <f>IF($I$90="Stable Communities &lt; 10%", "X","")</f>
        <v/>
      </c>
      <c r="B77" s="551" t="s">
        <v>2866</v>
      </c>
      <c r="C77" s="568" t="s">
        <v>3705</v>
      </c>
      <c r="E77" s="160"/>
      <c r="N77" s="31"/>
      <c r="O77" s="31"/>
      <c r="P77" s="31"/>
    </row>
    <row r="78" spans="1:18" ht="23.25" customHeight="1">
      <c r="B78" s="575" t="s">
        <v>3418</v>
      </c>
      <c r="C78" s="1191" t="s">
        <v>3707</v>
      </c>
      <c r="D78" s="1191"/>
      <c r="E78" s="1191"/>
      <c r="F78" s="1191"/>
      <c r="G78" s="1191"/>
      <c r="H78" s="1191"/>
      <c r="I78" s="1191"/>
      <c r="J78" s="1191"/>
      <c r="K78" s="1191"/>
      <c r="L78" s="1191"/>
      <c r="M78" s="572" t="str">
        <f>IF(AND($I$90="Stable Communities &lt; 10%",O78=""), "X","")</f>
        <v/>
      </c>
      <c r="N78" s="574" t="s">
        <v>3711</v>
      </c>
      <c r="O78" s="1670" t="s">
        <v>3975</v>
      </c>
      <c r="P78" s="355"/>
    </row>
    <row r="79" spans="1:18" ht="23.25" customHeight="1">
      <c r="B79" s="575" t="s">
        <v>3419</v>
      </c>
      <c r="C79" s="1118" t="s">
        <v>3709</v>
      </c>
      <c r="D79" s="1118"/>
      <c r="E79" s="1118"/>
      <c r="F79" s="1118"/>
      <c r="G79" s="1118"/>
      <c r="H79" s="1118"/>
      <c r="I79" s="1118"/>
      <c r="J79" s="1118"/>
      <c r="K79" s="1118"/>
      <c r="L79" s="1118"/>
      <c r="M79" s="572" t="str">
        <f>IF(AND($I$90="Stable Communities &lt; 10%",O79=""), "X","")</f>
        <v/>
      </c>
      <c r="N79" s="574" t="s">
        <v>3712</v>
      </c>
      <c r="O79" s="1671" t="s">
        <v>3976</v>
      </c>
      <c r="P79" s="356"/>
    </row>
    <row r="80" spans="1:18" ht="11.45" customHeight="1">
      <c r="A80" s="550" t="str">
        <f>IF($I$90="Stable Communities &lt; 20%", "X","")</f>
        <v/>
      </c>
      <c r="B80" s="551" t="s">
        <v>2868</v>
      </c>
      <c r="C80" s="568" t="s">
        <v>3706</v>
      </c>
      <c r="E80" s="160"/>
      <c r="M80" s="573"/>
      <c r="N80" s="31"/>
      <c r="O80" s="162" t="s">
        <v>3521</v>
      </c>
      <c r="P80" s="162" t="s">
        <v>3521</v>
      </c>
    </row>
    <row r="81" spans="1:18" ht="23.25" customHeight="1">
      <c r="B81" s="575" t="s">
        <v>3418</v>
      </c>
      <c r="C81" s="1191" t="s">
        <v>3708</v>
      </c>
      <c r="D81" s="1191"/>
      <c r="E81" s="1191"/>
      <c r="F81" s="1191"/>
      <c r="G81" s="1191"/>
      <c r="H81" s="1191"/>
      <c r="I81" s="1191"/>
      <c r="J81" s="1191"/>
      <c r="K81" s="1191"/>
      <c r="L81" s="1191"/>
      <c r="M81" s="572" t="str">
        <f>IF(AND($I$90="Stable Communities &lt; 10%",O81=""), "X","")</f>
        <v/>
      </c>
      <c r="N81" s="692" t="s">
        <v>3713</v>
      </c>
      <c r="O81" s="1670"/>
      <c r="P81" s="355"/>
    </row>
    <row r="82" spans="1:18">
      <c r="B82" s="575" t="s">
        <v>3419</v>
      </c>
      <c r="C82" s="1118" t="s">
        <v>3710</v>
      </c>
      <c r="D82" s="1118"/>
      <c r="E82" s="1118"/>
      <c r="F82" s="1118"/>
      <c r="G82" s="1118"/>
      <c r="H82" s="1118"/>
      <c r="I82" s="1118"/>
      <c r="J82" s="1118"/>
      <c r="K82" s="1118"/>
      <c r="L82" s="1118"/>
      <c r="M82" s="572" t="str">
        <f>IF(AND($I$90="Stable Communities &lt; 10%",O82=""), "X","")</f>
        <v/>
      </c>
      <c r="N82" s="692" t="s">
        <v>3714</v>
      </c>
      <c r="O82" s="1671"/>
      <c r="P82" s="356"/>
    </row>
    <row r="83" spans="1:18" ht="11.45" customHeight="1">
      <c r="A83" s="189" t="s">
        <v>2865</v>
      </c>
      <c r="B83" s="254" t="s">
        <v>379</v>
      </c>
      <c r="D83" s="40"/>
      <c r="E83" s="40"/>
      <c r="F83" s="40"/>
      <c r="M83" s="67">
        <v>2</v>
      </c>
      <c r="N83" s="31"/>
      <c r="O83" s="162" t="s">
        <v>3521</v>
      </c>
      <c r="P83" s="162" t="s">
        <v>3521</v>
      </c>
    </row>
    <row r="84" spans="1:18" s="51" customFormat="1" ht="12.6" customHeight="1">
      <c r="A84" s="209"/>
      <c r="B84" s="693" t="s">
        <v>3715</v>
      </c>
      <c r="D84" s="49"/>
      <c r="M84" s="3"/>
      <c r="N84" s="803" t="s">
        <v>2865</v>
      </c>
      <c r="O84" s="1598"/>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72"/>
      <c r="B86" s="1673"/>
      <c r="C86" s="1673"/>
      <c r="D86" s="1673"/>
      <c r="E86" s="1673"/>
      <c r="F86" s="1673"/>
      <c r="G86" s="1673"/>
      <c r="H86" s="1673"/>
      <c r="I86" s="1673"/>
      <c r="J86" s="1673"/>
      <c r="K86" s="1673"/>
      <c r="L86" s="1673"/>
      <c r="M86" s="1673"/>
      <c r="N86" s="1673"/>
      <c r="O86" s="1673"/>
      <c r="P86" s="1674"/>
      <c r="Q86" s="736" t="s">
        <v>1806</v>
      </c>
    </row>
    <row r="87" spans="1:18" s="51" customFormat="1" ht="11.25" customHeight="1">
      <c r="A87" s="50"/>
      <c r="B87" s="129" t="s">
        <v>2738</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88" t="s">
        <v>4071</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2862</v>
      </c>
      <c r="B92" s="254" t="s">
        <v>3520</v>
      </c>
      <c r="D92" s="40"/>
      <c r="H92" s="73"/>
      <c r="I92" s="40"/>
      <c r="J92" s="40"/>
      <c r="M92" s="157"/>
      <c r="N92" s="31"/>
      <c r="O92" s="31"/>
      <c r="P92" s="31"/>
    </row>
    <row r="93" spans="1:18" ht="11.45" customHeight="1">
      <c r="A93" s="550" t="str">
        <f>IF($I$90="Stable Communities &lt; 10%", "X","")</f>
        <v/>
      </c>
      <c r="B93" s="551" t="s">
        <v>2866</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70"/>
      <c r="P94" s="355"/>
    </row>
    <row r="95" spans="1:18" ht="11.45" customHeight="1">
      <c r="B95" s="231" t="s">
        <v>3419</v>
      </c>
      <c r="C95" s="665" t="s">
        <v>3366</v>
      </c>
      <c r="E95" s="160"/>
      <c r="G95" s="132" t="s">
        <v>3367</v>
      </c>
      <c r="M95" s="694" t="str">
        <f>IF(AND($I$90="Stable Communities &lt; 10%",O95=""), "X","")</f>
        <v/>
      </c>
      <c r="N95" s="231" t="s">
        <v>3419</v>
      </c>
      <c r="O95" s="1675"/>
      <c r="P95" s="541"/>
    </row>
    <row r="96" spans="1:18" ht="11.45" customHeight="1">
      <c r="B96" s="231" t="s">
        <v>3420</v>
      </c>
      <c r="C96" s="665" t="s">
        <v>3752</v>
      </c>
      <c r="E96" s="160"/>
      <c r="M96" s="694" t="str">
        <f>IF(AND($I$90="Stable Communities &lt; 10%",O96=""), "X","")</f>
        <v/>
      </c>
      <c r="N96" s="231" t="s">
        <v>3420</v>
      </c>
      <c r="O96" s="1671"/>
      <c r="P96" s="356"/>
    </row>
    <row r="97" spans="1:18" ht="3" customHeight="1">
      <c r="B97" s="160"/>
      <c r="C97" s="160"/>
      <c r="D97" s="160"/>
      <c r="E97" s="160"/>
      <c r="R97" s="51"/>
    </row>
    <row r="98" spans="1:18" ht="11.45" customHeight="1">
      <c r="A98" s="550" t="str">
        <f>IF($I$90="Stable Communities &lt; 20%", "X","")</f>
        <v/>
      </c>
      <c r="B98" s="551" t="s">
        <v>2868</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70"/>
      <c r="P99" s="355"/>
    </row>
    <row r="100" spans="1:18" ht="11.45" customHeight="1">
      <c r="B100" s="231" t="s">
        <v>3419</v>
      </c>
      <c r="C100" s="665" t="s">
        <v>3366</v>
      </c>
      <c r="E100" s="160"/>
      <c r="G100" s="132" t="s">
        <v>3367</v>
      </c>
      <c r="M100" s="572" t="str">
        <f>IF(AND($I$90="Stable Communities &lt; 20%",O100=""), "X","")</f>
        <v/>
      </c>
      <c r="N100" s="231" t="s">
        <v>3419</v>
      </c>
      <c r="O100" s="1675"/>
      <c r="P100" s="541"/>
    </row>
    <row r="101" spans="1:18" ht="11.45" customHeight="1">
      <c r="B101" s="231" t="s">
        <v>3420</v>
      </c>
      <c r="C101" s="665" t="s">
        <v>3752</v>
      </c>
      <c r="E101" s="160"/>
      <c r="M101" s="572" t="str">
        <f>IF(AND($I$90="Stable Communities &lt; 20%",O101=""), "X","")</f>
        <v/>
      </c>
      <c r="N101" s="231" t="s">
        <v>3420</v>
      </c>
      <c r="O101" s="1671"/>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3441</v>
      </c>
      <c r="D104" s="134"/>
      <c r="G104" s="195"/>
      <c r="K104" s="134"/>
      <c r="L104" s="134"/>
      <c r="M104" s="664">
        <v>6</v>
      </c>
      <c r="N104" s="31"/>
      <c r="O104" s="162" t="s">
        <v>3521</v>
      </c>
      <c r="P104" s="162" t="s">
        <v>3521</v>
      </c>
    </row>
    <row r="105" spans="1:18" ht="10.9" customHeight="1">
      <c r="B105" s="552" t="s">
        <v>3418</v>
      </c>
      <c r="C105" s="553" t="s">
        <v>842</v>
      </c>
      <c r="D105" s="132"/>
      <c r="M105" s="861" t="str">
        <f>IF(AND($I$90="HOPE VI Initiative",O105=""), "X","")</f>
        <v/>
      </c>
      <c r="N105" s="231" t="s">
        <v>3418</v>
      </c>
      <c r="O105" s="1670"/>
      <c r="P105" s="355"/>
    </row>
    <row r="106" spans="1:18" ht="10.9" customHeight="1">
      <c r="B106" s="552" t="s">
        <v>3419</v>
      </c>
      <c r="C106" s="553" t="s">
        <v>843</v>
      </c>
      <c r="M106" s="861" t="str">
        <f>IF(AND($I$90="HOPE VI Initiative",O106=""), "X","")</f>
        <v/>
      </c>
      <c r="N106" s="231" t="s">
        <v>3419</v>
      </c>
      <c r="O106" s="1675"/>
      <c r="P106" s="541"/>
    </row>
    <row r="107" spans="1:18" ht="10.9" customHeight="1">
      <c r="B107" s="552" t="s">
        <v>3420</v>
      </c>
      <c r="C107" s="553" t="s">
        <v>844</v>
      </c>
      <c r="M107" s="861" t="str">
        <f>IF(AND($I$90="HOPE VI Initiative",O107=""), "X","")</f>
        <v/>
      </c>
      <c r="N107" s="231" t="s">
        <v>3420</v>
      </c>
      <c r="O107" s="1675"/>
      <c r="P107" s="541"/>
    </row>
    <row r="108" spans="1:18" ht="10.9" customHeight="1">
      <c r="B108" s="552" t="s">
        <v>3421</v>
      </c>
      <c r="C108" s="69" t="s">
        <v>845</v>
      </c>
      <c r="M108" s="861" t="str">
        <f>IF(AND($I$90="HOPE VI Initiative",O108=""), "X","")</f>
        <v/>
      </c>
      <c r="N108" s="231" t="s">
        <v>3421</v>
      </c>
      <c r="O108" s="1671"/>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3928</v>
      </c>
      <c r="M110" s="696">
        <v>2</v>
      </c>
      <c r="N110" s="551" t="s">
        <v>2868</v>
      </c>
      <c r="O110" s="1598">
        <v>2</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76" t="s">
        <v>4072</v>
      </c>
      <c r="I112" s="162" t="s">
        <v>1458</v>
      </c>
      <c r="J112" s="1677">
        <v>106</v>
      </c>
      <c r="K112" s="1678"/>
      <c r="L112" s="1679"/>
      <c r="M112" s="696">
        <v>1</v>
      </c>
      <c r="N112" s="551" t="s">
        <v>3548</v>
      </c>
      <c r="O112" s="1598">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80"/>
      <c r="I114" s="1342"/>
      <c r="J114" s="1342"/>
      <c r="K114" s="1342"/>
      <c r="L114" s="1343"/>
      <c r="M114" s="696">
        <v>1</v>
      </c>
      <c r="N114" s="551" t="s">
        <v>1762</v>
      </c>
      <c r="O114" s="1598"/>
      <c r="P114" s="232"/>
    </row>
    <row r="115" spans="1:18" ht="11.45" customHeight="1">
      <c r="B115" s="552" t="s">
        <v>3418</v>
      </c>
      <c r="C115" s="48" t="s">
        <v>3751</v>
      </c>
      <c r="D115" s="132"/>
      <c r="G115" s="132" t="s">
        <v>848</v>
      </c>
      <c r="H115" s="1681"/>
      <c r="M115" s="571" t="str">
        <f>IF(AND($I$90="Local Redevelopment Plan",O115=""), "X","")</f>
        <v/>
      </c>
      <c r="N115" s="552" t="s">
        <v>3418</v>
      </c>
      <c r="O115" s="1670"/>
      <c r="P115" s="355"/>
    </row>
    <row r="116" spans="1:18" ht="10.9" customHeight="1">
      <c r="B116" s="552" t="s">
        <v>3419</v>
      </c>
      <c r="C116" s="553" t="s">
        <v>3444</v>
      </c>
      <c r="D116" s="132"/>
      <c r="M116" s="571"/>
      <c r="N116" s="552" t="s">
        <v>3419</v>
      </c>
      <c r="O116" s="1682"/>
      <c r="P116" s="602"/>
    </row>
    <row r="117" spans="1:18" ht="10.9" customHeight="1">
      <c r="B117" s="552" t="s">
        <v>3420</v>
      </c>
      <c r="C117" s="553" t="s">
        <v>3445</v>
      </c>
      <c r="M117" s="571" t="str">
        <f t="shared" ref="M117:M121" si="0">IF(AND($I$90="Local Redevelopment Plan",O117=""), "X","")</f>
        <v/>
      </c>
      <c r="N117" s="552" t="s">
        <v>3420</v>
      </c>
      <c r="O117" s="1675"/>
      <c r="P117" s="541"/>
    </row>
    <row r="118" spans="1:18" ht="10.9" customHeight="1">
      <c r="B118" s="552" t="s">
        <v>3421</v>
      </c>
      <c r="C118" s="553" t="s">
        <v>3446</v>
      </c>
      <c r="M118" s="571" t="str">
        <f t="shared" si="0"/>
        <v/>
      </c>
      <c r="N118" s="552" t="s">
        <v>3421</v>
      </c>
      <c r="O118" s="1675"/>
      <c r="P118" s="541"/>
    </row>
    <row r="119" spans="1:18" ht="10.9" customHeight="1">
      <c r="B119" s="552" t="s">
        <v>3422</v>
      </c>
      <c r="C119" s="69" t="s">
        <v>3447</v>
      </c>
      <c r="M119" s="571" t="str">
        <f t="shared" si="0"/>
        <v/>
      </c>
      <c r="N119" s="552" t="s">
        <v>3422</v>
      </c>
      <c r="O119" s="1675"/>
      <c r="P119" s="541"/>
    </row>
    <row r="120" spans="1:18" ht="10.9" customHeight="1">
      <c r="B120" s="552" t="s">
        <v>3442</v>
      </c>
      <c r="C120" s="553" t="s">
        <v>3448</v>
      </c>
      <c r="D120" s="132"/>
      <c r="M120" s="571" t="str">
        <f t="shared" si="0"/>
        <v/>
      </c>
      <c r="N120" s="552" t="s">
        <v>3442</v>
      </c>
      <c r="O120" s="1675"/>
      <c r="P120" s="541"/>
    </row>
    <row r="121" spans="1:18" ht="10.9" customHeight="1">
      <c r="B121" s="552" t="s">
        <v>3443</v>
      </c>
      <c r="C121" s="553" t="s">
        <v>3449</v>
      </c>
      <c r="M121" s="571" t="str">
        <f t="shared" si="0"/>
        <v/>
      </c>
      <c r="N121" s="552" t="s">
        <v>3443</v>
      </c>
      <c r="O121" s="1671"/>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72"/>
      <c r="B128" s="1673"/>
      <c r="C128" s="1673"/>
      <c r="D128" s="1673"/>
      <c r="E128" s="1673"/>
      <c r="F128" s="1673"/>
      <c r="G128" s="1673"/>
      <c r="H128" s="1673"/>
      <c r="I128" s="1673"/>
      <c r="J128" s="1673"/>
      <c r="K128" s="1673"/>
      <c r="L128" s="1673"/>
      <c r="M128" s="1673"/>
      <c r="N128" s="1673"/>
      <c r="O128" s="1673"/>
      <c r="P128" s="1674"/>
    </row>
    <row r="129" spans="1:17" s="51" customFormat="1" ht="11.25" customHeight="1">
      <c r="A129" s="50"/>
      <c r="B129" s="114" t="s">
        <v>2738</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3</v>
      </c>
      <c r="P132" s="93">
        <f>MIN($M132,(P133+P139))</f>
        <v>0</v>
      </c>
      <c r="Q132" s="148" t="s">
        <v>612</v>
      </c>
    </row>
    <row r="133" spans="1:17" ht="12" customHeight="1">
      <c r="B133" s="848" t="s">
        <v>2862</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83">
        <v>3</v>
      </c>
      <c r="P133" s="658"/>
    </row>
    <row r="134" spans="1:17" s="132" customFormat="1" ht="22.9" customHeight="1">
      <c r="B134" s="581" t="s">
        <v>2866</v>
      </c>
      <c r="C134" s="1214" t="s">
        <v>1459</v>
      </c>
      <c r="D134" s="1166"/>
      <c r="E134" s="1166"/>
      <c r="F134" s="1166"/>
      <c r="G134" s="1166"/>
      <c r="H134" s="1166"/>
      <c r="I134" s="1166"/>
      <c r="J134" s="1166"/>
      <c r="K134" s="1166"/>
      <c r="L134" s="1166"/>
      <c r="M134" s="657"/>
      <c r="N134" s="581" t="s">
        <v>2866</v>
      </c>
      <c r="O134" s="1598" t="s">
        <v>3975</v>
      </c>
      <c r="P134" s="232"/>
    </row>
    <row r="135" spans="1:17" s="132" customFormat="1" ht="11.45" customHeight="1">
      <c r="B135" s="250"/>
      <c r="C135" s="161" t="s">
        <v>1460</v>
      </c>
      <c r="H135" s="704" t="s">
        <v>3619</v>
      </c>
      <c r="I135" s="1676" t="s">
        <v>4073</v>
      </c>
      <c r="J135" s="704" t="s">
        <v>3218</v>
      </c>
      <c r="K135" s="1684" t="s">
        <v>4074</v>
      </c>
      <c r="L135" s="1685"/>
      <c r="M135" s="1686"/>
    </row>
    <row r="136" spans="1:17" s="132" customFormat="1" ht="11.45" customHeight="1">
      <c r="B136" s="250" t="s">
        <v>2868</v>
      </c>
      <c r="C136" s="161" t="s">
        <v>1461</v>
      </c>
      <c r="M136" s="8"/>
      <c r="N136" s="250" t="s">
        <v>2868</v>
      </c>
      <c r="O136" s="1670" t="s">
        <v>3975</v>
      </c>
      <c r="P136" s="355"/>
    </row>
    <row r="137" spans="1:17" s="132" customFormat="1" ht="11.45" customHeight="1">
      <c r="B137" s="250" t="s">
        <v>3548</v>
      </c>
      <c r="C137" s="161" t="s">
        <v>1462</v>
      </c>
      <c r="M137" s="8"/>
      <c r="N137" s="250" t="s">
        <v>3548</v>
      </c>
      <c r="O137" s="1675" t="s">
        <v>3976</v>
      </c>
      <c r="P137" s="541"/>
    </row>
    <row r="138" spans="1:17" s="132" customFormat="1" ht="11.45" customHeight="1">
      <c r="B138" s="250" t="s">
        <v>1762</v>
      </c>
      <c r="C138" s="161" t="s">
        <v>1463</v>
      </c>
      <c r="M138" s="8"/>
      <c r="N138" s="250" t="s">
        <v>1762</v>
      </c>
      <c r="O138" s="1671" t="s">
        <v>3975</v>
      </c>
      <c r="P138" s="356"/>
    </row>
    <row r="139" spans="1:17" ht="12" customHeight="1">
      <c r="A139" s="254" t="s">
        <v>1921</v>
      </c>
      <c r="B139" s="848" t="s">
        <v>2865</v>
      </c>
      <c r="C139" s="254" t="s">
        <v>3142</v>
      </c>
      <c r="D139" s="160"/>
      <c r="E139" s="666" t="s">
        <v>3648</v>
      </c>
      <c r="M139" s="3">
        <v>3</v>
      </c>
      <c r="N139" s="803" t="s">
        <v>2865</v>
      </c>
      <c r="O139" s="659">
        <f>IF($M140=5,3,IF($M140=4,2,0))</f>
        <v>0</v>
      </c>
      <c r="P139" s="85"/>
    </row>
    <row r="140" spans="1:17" ht="12" customHeight="1">
      <c r="B140" s="122"/>
      <c r="D140" s="40"/>
      <c r="E140" s="40"/>
      <c r="F140" s="40"/>
      <c r="G140" s="48"/>
      <c r="H140" s="48"/>
      <c r="I140" s="48"/>
      <c r="J140" s="48"/>
      <c r="L140" s="574" t="s">
        <v>688</v>
      </c>
      <c r="M140" s="1598"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602"/>
      <c r="B142" s="1603"/>
      <c r="C142" s="1603"/>
      <c r="D142" s="1603"/>
      <c r="E142" s="1603"/>
      <c r="F142" s="1603"/>
      <c r="G142" s="1603"/>
      <c r="H142" s="1603"/>
      <c r="I142" s="1603"/>
      <c r="J142" s="1603"/>
      <c r="K142" s="1603"/>
      <c r="L142" s="1603"/>
      <c r="M142" s="1603"/>
      <c r="N142" s="1603"/>
      <c r="O142" s="1603"/>
      <c r="P142" s="1604"/>
      <c r="Q142" s="736" t="s">
        <v>1806</v>
      </c>
    </row>
    <row r="143" spans="1:17" s="51" customFormat="1" ht="11.45" customHeight="1">
      <c r="B143" s="114" t="s">
        <v>2738</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63">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174"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174"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13" t="s">
        <v>3755</v>
      </c>
      <c r="C151" s="1178"/>
      <c r="D151" s="1178"/>
      <c r="E151" s="1178"/>
      <c r="F151" s="1178"/>
      <c r="G151" s="1178"/>
      <c r="H151" s="1178"/>
      <c r="I151" s="1178"/>
      <c r="J151" s="1178"/>
      <c r="K151" s="1178"/>
      <c r="L151" s="1178"/>
      <c r="M151" s="1178"/>
      <c r="N151" s="1178"/>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602"/>
      <c r="B157" s="1603"/>
      <c r="C157" s="1603"/>
      <c r="D157" s="1603"/>
      <c r="E157" s="1603"/>
      <c r="F157" s="1603"/>
      <c r="G157" s="1603"/>
      <c r="H157" s="1603"/>
      <c r="I157" s="1603"/>
      <c r="J157" s="1603"/>
      <c r="K157" s="1603"/>
      <c r="L157" s="1603"/>
      <c r="M157" s="1603"/>
      <c r="N157" s="1603"/>
      <c r="O157" s="1603"/>
      <c r="P157" s="1604"/>
    </row>
    <row r="158" spans="1:17" s="51" customFormat="1" ht="11.25" customHeight="1">
      <c r="A158" s="50"/>
      <c r="B158" s="114" t="s">
        <v>2738</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3144</v>
      </c>
      <c r="D162" s="73"/>
      <c r="E162" s="73"/>
      <c r="F162" s="52"/>
      <c r="G162" s="31"/>
      <c r="K162" s="803" t="s">
        <v>3963</v>
      </c>
      <c r="L162" s="1598" t="s">
        <v>3975</v>
      </c>
      <c r="M162" s="8">
        <v>1</v>
      </c>
      <c r="N162" s="803" t="s">
        <v>2862</v>
      </c>
      <c r="O162" s="1663">
        <v>1</v>
      </c>
      <c r="P162" s="85"/>
      <c r="Q162" s="148"/>
      <c r="R162" s="558" t="str">
        <f>IF(OR($O162=$M162,$O162=0,$O162=""),"","* * Check Score! * *")</f>
        <v/>
      </c>
    </row>
    <row r="163" spans="1:18" s="51" customFormat="1" ht="12" customHeight="1">
      <c r="A163" s="189" t="s">
        <v>2865</v>
      </c>
      <c r="B163" s="236" t="s">
        <v>3145</v>
      </c>
      <c r="D163" s="69"/>
      <c r="E163" s="38"/>
      <c r="F163" s="62" t="s">
        <v>3896</v>
      </c>
      <c r="K163" s="62"/>
      <c r="L163" s="558"/>
      <c r="M163" s="8">
        <v>1</v>
      </c>
      <c r="N163" s="803" t="s">
        <v>2865</v>
      </c>
      <c r="O163" s="1663"/>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602"/>
      <c r="B165" s="1603"/>
      <c r="C165" s="1603"/>
      <c r="D165" s="1603"/>
      <c r="E165" s="1603"/>
      <c r="F165" s="1603"/>
      <c r="G165" s="1603"/>
      <c r="H165" s="1603"/>
      <c r="I165" s="1603"/>
      <c r="J165" s="1603"/>
      <c r="K165" s="1603"/>
      <c r="L165" s="1603"/>
      <c r="M165" s="1603"/>
      <c r="N165" s="1603"/>
      <c r="O165" s="1603"/>
      <c r="P165" s="1604"/>
      <c r="Q165" s="736" t="s">
        <v>1806</v>
      </c>
    </row>
    <row r="166" spans="1:18" s="51" customFormat="1" ht="11.25" customHeight="1">
      <c r="A166" s="50"/>
      <c r="B166" s="114" t="s">
        <v>2738</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3878</v>
      </c>
      <c r="C169" s="116"/>
      <c r="D169" s="70"/>
      <c r="E169" s="62"/>
      <c r="J169" s="73"/>
      <c r="K169" s="733" t="s">
        <v>3931</v>
      </c>
      <c r="L169" s="800" t="str">
        <f>'Part I-Project Information'!E81</f>
        <v>Yes</v>
      </c>
      <c r="M169" s="3">
        <v>3</v>
      </c>
      <c r="N169" s="7"/>
      <c r="O169" s="7"/>
      <c r="P169" s="85"/>
      <c r="Q169" s="148" t="s">
        <v>612</v>
      </c>
    </row>
    <row r="170" spans="1:18" s="51" customFormat="1" ht="12" customHeight="1">
      <c r="A170" s="189"/>
      <c r="B170" s="65" t="s">
        <v>3286</v>
      </c>
      <c r="D170" s="40"/>
      <c r="N170" s="803"/>
      <c r="O170" s="1598" t="s">
        <v>3975</v>
      </c>
      <c r="P170" s="232"/>
      <c r="R170" s="558"/>
    </row>
    <row r="171" spans="1:18" s="51" customFormat="1" ht="12" customHeight="1">
      <c r="A171" s="189"/>
      <c r="B171" s="65" t="s">
        <v>3945</v>
      </c>
      <c r="D171" s="40"/>
      <c r="N171" s="803"/>
      <c r="O171" s="1598" t="s">
        <v>3975</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602"/>
      <c r="B173" s="1603"/>
      <c r="C173" s="1603"/>
      <c r="D173" s="1603"/>
      <c r="E173" s="1603"/>
      <c r="F173" s="1603"/>
      <c r="G173" s="1603"/>
      <c r="H173" s="1603"/>
      <c r="I173" s="1603"/>
      <c r="J173" s="1603"/>
      <c r="K173" s="1603"/>
      <c r="L173" s="1603"/>
      <c r="M173" s="1603"/>
      <c r="N173" s="1603"/>
      <c r="O173" s="1603"/>
      <c r="P173" s="1604"/>
    </row>
    <row r="174" spans="1:18" s="51" customFormat="1" ht="12" customHeight="1">
      <c r="B174" s="114" t="s">
        <v>2738</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3947</v>
      </c>
      <c r="G177" s="159"/>
      <c r="H177" s="665"/>
      <c r="I177" s="159"/>
      <c r="J177" s="801">
        <f>'Part VI-Revenues &amp; Expenses'!$M$74</f>
        <v>106</v>
      </c>
      <c r="K177" s="159"/>
      <c r="L177" s="802" t="str">
        <f>IF(AND(J177=0,O177&gt;0),"&lt;&lt;&lt; Check NC units!","")</f>
        <v/>
      </c>
      <c r="M177" s="3">
        <v>3</v>
      </c>
      <c r="N177" s="601" t="str">
        <f>IF(OR($O177=$M177,$O177=0,$O177=""),"","***")</f>
        <v/>
      </c>
      <c r="O177" s="1663"/>
      <c r="P177" s="85"/>
      <c r="Q177" s="148" t="s">
        <v>612</v>
      </c>
      <c r="R177" s="31"/>
    </row>
    <row r="178" spans="1:18" s="75" customFormat="1" ht="25.15" customHeight="1">
      <c r="A178" s="209"/>
      <c r="B178" s="1097" t="s">
        <v>3946</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602"/>
      <c r="B180" s="1603"/>
      <c r="C180" s="1603"/>
      <c r="D180" s="1603"/>
      <c r="E180" s="1603"/>
      <c r="F180" s="1603"/>
      <c r="G180" s="1603"/>
      <c r="H180" s="1603"/>
      <c r="I180" s="1604"/>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63"/>
      <c r="P182" s="85"/>
      <c r="Q182" s="148" t="s">
        <v>612</v>
      </c>
    </row>
    <row r="183" spans="1:18" s="51" customFormat="1" ht="12.6" customHeight="1">
      <c r="A183" s="50"/>
      <c r="B183" s="154" t="s">
        <v>2713</v>
      </c>
      <c r="D183" s="134"/>
      <c r="E183" s="1687" t="s">
        <v>2639</v>
      </c>
      <c r="F183" s="1688"/>
      <c r="G183" s="1689"/>
      <c r="H183" s="1690"/>
      <c r="I183" s="61" t="s">
        <v>2712</v>
      </c>
      <c r="O183" s="162" t="s">
        <v>3521</v>
      </c>
      <c r="P183" s="162" t="s">
        <v>3521</v>
      </c>
    </row>
    <row r="184" spans="1:18" s="132" customFormat="1" ht="11.45" customHeight="1">
      <c r="A184" s="189" t="s">
        <v>2862</v>
      </c>
      <c r="B184" s="161" t="s">
        <v>2512</v>
      </c>
      <c r="D184" s="161"/>
      <c r="E184" s="161"/>
      <c r="F184" s="161"/>
      <c r="G184" s="1691" t="s">
        <v>3534</v>
      </c>
      <c r="H184" s="1692"/>
      <c r="I184" s="1693"/>
      <c r="J184" s="1691" t="s">
        <v>1715</v>
      </c>
      <c r="K184" s="1692"/>
      <c r="L184" s="1693"/>
      <c r="N184" s="803" t="s">
        <v>2862</v>
      </c>
      <c r="O184" s="1598"/>
      <c r="P184" s="232"/>
    </row>
    <row r="185" spans="1:18" s="132" customFormat="1" ht="11.45" customHeight="1">
      <c r="A185" s="189" t="s">
        <v>2865</v>
      </c>
      <c r="B185" s="161" t="s">
        <v>475</v>
      </c>
      <c r="D185" s="161"/>
      <c r="E185" s="161"/>
      <c r="F185" s="161"/>
      <c r="G185" s="161"/>
      <c r="L185" s="161"/>
      <c r="M185" s="161"/>
      <c r="N185" s="803" t="s">
        <v>2865</v>
      </c>
      <c r="O185" s="1598"/>
      <c r="P185" s="232"/>
    </row>
    <row r="186" spans="1:18" s="132" customFormat="1" ht="11.45" customHeight="1">
      <c r="A186" s="189" t="s">
        <v>1145</v>
      </c>
      <c r="B186" s="161" t="s">
        <v>2467</v>
      </c>
      <c r="D186" s="161"/>
      <c r="E186" s="161"/>
      <c r="F186" s="161"/>
      <c r="G186" s="161"/>
      <c r="H186" s="161"/>
      <c r="L186" s="161"/>
      <c r="M186" s="161"/>
      <c r="N186" s="803" t="s">
        <v>1145</v>
      </c>
      <c r="O186" s="1598"/>
      <c r="P186" s="232"/>
    </row>
    <row r="187" spans="1:18" s="132" customFormat="1" ht="11.45" customHeight="1">
      <c r="A187" s="189" t="s">
        <v>3004</v>
      </c>
      <c r="B187" s="184" t="s">
        <v>3844</v>
      </c>
      <c r="D187" s="161"/>
      <c r="E187" s="161"/>
      <c r="F187" s="161"/>
      <c r="G187" s="161"/>
      <c r="H187" s="161"/>
      <c r="I187" s="161"/>
      <c r="J187" s="161"/>
      <c r="K187" s="161"/>
      <c r="L187" s="161"/>
      <c r="M187" s="161"/>
      <c r="N187" s="803" t="s">
        <v>3004</v>
      </c>
      <c r="O187" s="1598"/>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602"/>
      <c r="B189" s="1603"/>
      <c r="C189" s="1603"/>
      <c r="D189" s="1603"/>
      <c r="E189" s="1603"/>
      <c r="F189" s="1603"/>
      <c r="G189" s="1603"/>
      <c r="H189" s="1603"/>
      <c r="I189" s="1603"/>
      <c r="J189" s="1603"/>
      <c r="K189" s="1603"/>
      <c r="L189" s="1603"/>
      <c r="M189" s="1603"/>
      <c r="N189" s="1603"/>
      <c r="O189" s="1603"/>
      <c r="P189" s="1604"/>
      <c r="Q189" s="736" t="s">
        <v>1806</v>
      </c>
    </row>
    <row r="190" spans="1:18" s="51" customFormat="1" ht="11.25" customHeight="1">
      <c r="A190" s="50"/>
      <c r="B190" s="114" t="s">
        <v>2738</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5</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70" t="s">
        <v>3975</v>
      </c>
      <c r="P195" s="355"/>
    </row>
    <row r="196" spans="1:18" s="132" customFormat="1" ht="11.25" customHeight="1">
      <c r="B196" s="715" t="s">
        <v>2868</v>
      </c>
      <c r="C196" s="132" t="s">
        <v>809</v>
      </c>
      <c r="N196" s="250" t="s">
        <v>2868</v>
      </c>
      <c r="O196" s="1675" t="s">
        <v>3975</v>
      </c>
      <c r="P196" s="541"/>
    </row>
    <row r="197" spans="1:18" s="132" customFormat="1" ht="11.25" customHeight="1">
      <c r="B197" s="715" t="s">
        <v>3548</v>
      </c>
      <c r="C197" s="132" t="s">
        <v>810</v>
      </c>
      <c r="N197" s="250" t="s">
        <v>3548</v>
      </c>
      <c r="O197" s="1675" t="s">
        <v>3975</v>
      </c>
      <c r="P197" s="541"/>
    </row>
    <row r="198" spans="1:18" s="132" customFormat="1" ht="11.25" customHeight="1">
      <c r="B198" s="715" t="s">
        <v>1762</v>
      </c>
      <c r="C198" s="132" t="s">
        <v>811</v>
      </c>
      <c r="N198" s="250" t="s">
        <v>1762</v>
      </c>
      <c r="O198" s="1675" t="s">
        <v>3975</v>
      </c>
      <c r="P198" s="541"/>
    </row>
    <row r="199" spans="1:18" s="132" customFormat="1" ht="11.25" customHeight="1">
      <c r="B199" s="715" t="s">
        <v>1763</v>
      </c>
      <c r="C199" s="132" t="s">
        <v>819</v>
      </c>
      <c r="N199" s="250" t="s">
        <v>1763</v>
      </c>
      <c r="O199" s="1671" t="s">
        <v>3975</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4</v>
      </c>
      <c r="P201" s="204">
        <f>IF($L$214&gt;=0.15, 4,IF($L$214&gt;=0.1, 3,IF($L$214&gt;=0.05, 2,IF($L$214&gt;=0.02, 1,0))))</f>
        <v>0</v>
      </c>
    </row>
    <row r="202" spans="1:18" ht="12" customHeight="1">
      <c r="B202" s="551" t="s">
        <v>2866</v>
      </c>
      <c r="C202" s="722" t="s">
        <v>3721</v>
      </c>
      <c r="I202" s="1215" t="s">
        <v>2870</v>
      </c>
      <c r="J202" s="1215"/>
      <c r="L202" s="858" t="s">
        <v>2870</v>
      </c>
      <c r="M202" s="216"/>
      <c r="N202" s="250" t="s">
        <v>2866</v>
      </c>
    </row>
    <row r="203" spans="1:18" s="51" customFormat="1" ht="11.25" customHeight="1">
      <c r="A203" s="251"/>
      <c r="B203" s="150"/>
      <c r="C203" s="552" t="s">
        <v>3418</v>
      </c>
      <c r="D203" s="44" t="s">
        <v>2073</v>
      </c>
      <c r="H203" s="65"/>
      <c r="I203" s="1694"/>
      <c r="J203" s="1695"/>
      <c r="K203" s="253"/>
      <c r="L203" s="705"/>
      <c r="M203" s="89"/>
      <c r="N203" s="552" t="s">
        <v>3418</v>
      </c>
      <c r="O203" s="1670"/>
      <c r="P203" s="355"/>
      <c r="R203" s="558"/>
    </row>
    <row r="204" spans="1:18" ht="11.25" customHeight="1">
      <c r="A204" s="252"/>
      <c r="B204" s="108"/>
      <c r="C204" s="575" t="s">
        <v>3419</v>
      </c>
      <c r="D204" s="44" t="s">
        <v>2074</v>
      </c>
      <c r="H204" s="65"/>
      <c r="I204" s="1694"/>
      <c r="J204" s="1695"/>
      <c r="L204" s="705"/>
      <c r="M204" s="89"/>
      <c r="N204" s="575" t="s">
        <v>3419</v>
      </c>
      <c r="O204" s="1675"/>
      <c r="P204" s="541"/>
      <c r="R204" s="558"/>
    </row>
    <row r="205" spans="1:18" ht="11.25" customHeight="1">
      <c r="B205" s="715"/>
      <c r="C205" s="552" t="s">
        <v>3420</v>
      </c>
      <c r="D205" s="44" t="s">
        <v>3718</v>
      </c>
      <c r="H205" s="65"/>
      <c r="I205" s="1694"/>
      <c r="J205" s="1695"/>
      <c r="L205" s="705"/>
      <c r="M205" s="89"/>
      <c r="N205" s="552" t="s">
        <v>3420</v>
      </c>
      <c r="O205" s="1675"/>
      <c r="P205" s="541"/>
      <c r="R205" s="558"/>
    </row>
    <row r="206" spans="1:18" ht="11.25" customHeight="1">
      <c r="A206" s="252"/>
      <c r="B206" s="715"/>
      <c r="C206" s="552" t="s">
        <v>3421</v>
      </c>
      <c r="D206" s="44" t="s">
        <v>3719</v>
      </c>
      <c r="I206" s="1694"/>
      <c r="J206" s="1695"/>
      <c r="L206" s="705"/>
      <c r="M206" s="89"/>
      <c r="N206" s="552" t="s">
        <v>3421</v>
      </c>
      <c r="O206" s="1675"/>
      <c r="P206" s="541"/>
      <c r="R206" s="558"/>
    </row>
    <row r="207" spans="1:18" s="51" customFormat="1" ht="11.25" customHeight="1">
      <c r="A207" s="251"/>
      <c r="B207" s="715"/>
      <c r="C207" s="575" t="s">
        <v>3422</v>
      </c>
      <c r="D207" s="44" t="s">
        <v>2075</v>
      </c>
      <c r="H207" s="65"/>
      <c r="I207" s="1694"/>
      <c r="J207" s="1695"/>
      <c r="K207" s="253"/>
      <c r="L207" s="705"/>
      <c r="M207" s="89"/>
      <c r="N207" s="575" t="s">
        <v>3422</v>
      </c>
      <c r="O207" s="1675"/>
      <c r="P207" s="541"/>
      <c r="R207" s="558"/>
    </row>
    <row r="208" spans="1:18" ht="11.25" customHeight="1">
      <c r="A208" s="252"/>
      <c r="B208" s="715"/>
      <c r="C208" s="552" t="s">
        <v>3442</v>
      </c>
      <c r="D208" s="44" t="s">
        <v>2076</v>
      </c>
      <c r="H208" s="65"/>
      <c r="I208" s="1694"/>
      <c r="J208" s="1695"/>
      <c r="L208" s="705"/>
      <c r="M208" s="89"/>
      <c r="N208" s="552" t="s">
        <v>3442</v>
      </c>
      <c r="O208" s="1675"/>
      <c r="P208" s="541"/>
      <c r="R208" s="558"/>
    </row>
    <row r="209" spans="1:18" ht="11.25" customHeight="1">
      <c r="A209" s="252"/>
      <c r="B209" s="715"/>
      <c r="C209" s="552" t="s">
        <v>3443</v>
      </c>
      <c r="D209" s="44" t="s">
        <v>2077</v>
      </c>
      <c r="H209" s="65"/>
      <c r="I209" s="1694"/>
      <c r="J209" s="1695"/>
      <c r="L209" s="705"/>
      <c r="M209" s="89"/>
      <c r="N209" s="552" t="s">
        <v>3443</v>
      </c>
      <c r="O209" s="1675"/>
      <c r="P209" s="541"/>
      <c r="R209" s="558"/>
    </row>
    <row r="210" spans="1:18" ht="11.25" customHeight="1" thickBot="1">
      <c r="A210" s="252"/>
      <c r="B210" s="715"/>
      <c r="C210" s="552" t="s">
        <v>3450</v>
      </c>
      <c r="D210" s="701" t="s">
        <v>3720</v>
      </c>
      <c r="E210" s="702"/>
      <c r="F210" s="702"/>
      <c r="G210" s="702"/>
      <c r="H210" s="703"/>
      <c r="I210" s="1696">
        <v>1800000</v>
      </c>
      <c r="J210" s="1697"/>
      <c r="L210" s="709"/>
      <c r="M210" s="89"/>
      <c r="N210" s="552" t="s">
        <v>3450</v>
      </c>
      <c r="O210" s="1671" t="s">
        <v>3975</v>
      </c>
      <c r="P210" s="356"/>
      <c r="R210" s="558"/>
    </row>
    <row r="211" spans="1:18" ht="12" customHeight="1" thickBot="1">
      <c r="A211" s="252"/>
      <c r="B211" s="715"/>
      <c r="D211" s="699" t="s">
        <v>3723</v>
      </c>
      <c r="H211" s="65"/>
      <c r="I211" s="1698">
        <f>SUM(I203:J210)</f>
        <v>1800000</v>
      </c>
      <c r="J211" s="1699"/>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2868</v>
      </c>
      <c r="C213" s="722" t="s">
        <v>3722</v>
      </c>
      <c r="D213" s="699" t="s">
        <v>3724</v>
      </c>
      <c r="I213" s="1207">
        <f>'Part IV-Uses of Funds'!$G$123</f>
        <v>11995205</v>
      </c>
      <c r="J213" s="1208"/>
      <c r="M213" s="216"/>
      <c r="N213" s="31"/>
      <c r="O213" s="31"/>
      <c r="P213" s="31"/>
    </row>
    <row r="214" spans="1:18" ht="12" customHeight="1">
      <c r="B214" s="250"/>
      <c r="C214" s="698"/>
      <c r="D214" s="720" t="s">
        <v>3725</v>
      </c>
      <c r="G214" s="708"/>
      <c r="H214" s="708"/>
      <c r="I214" s="1209">
        <f>IF($I$213=0,0,$I$211/$I$213)</f>
        <v>0.15005996145959991</v>
      </c>
      <c r="J214" s="1210"/>
      <c r="L214" s="700">
        <f>IF($I$213=0,0,$L$211/$I$213)</f>
        <v>0</v>
      </c>
      <c r="M214" s="216"/>
      <c r="N214" s="31"/>
      <c r="O214" s="31"/>
      <c r="P214" s="31"/>
    </row>
    <row r="215" spans="1:18" s="132" customFormat="1" ht="5.25" customHeight="1">
      <c r="B215" s="715"/>
    </row>
    <row r="216" spans="1:18" s="51" customFormat="1" ht="12.75" customHeight="1">
      <c r="A216" s="189" t="s">
        <v>2865</v>
      </c>
      <c r="B216" s="256" t="s">
        <v>3897</v>
      </c>
      <c r="D216" s="47"/>
      <c r="E216" s="44"/>
      <c r="F216" s="1"/>
      <c r="G216" s="38" t="s">
        <v>3898</v>
      </c>
      <c r="H216" s="44"/>
      <c r="I216" s="1"/>
      <c r="J216" s="38"/>
      <c r="K216" s="38"/>
      <c r="L216" s="38"/>
      <c r="M216" s="89">
        <v>1</v>
      </c>
      <c r="N216" s="803" t="s">
        <v>2865</v>
      </c>
      <c r="O216" s="1598">
        <v>1</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700"/>
      <c r="F219" s="1701"/>
      <c r="G219" s="1701"/>
      <c r="H219" s="1702"/>
      <c r="K219" s="253"/>
      <c r="M219" s="7"/>
      <c r="N219" s="7"/>
      <c r="O219" s="7"/>
      <c r="P219" s="7"/>
    </row>
    <row r="220" spans="1:18" ht="12" customHeight="1">
      <c r="A220" s="252"/>
      <c r="B220" s="582" t="s">
        <v>3320</v>
      </c>
      <c r="D220" s="583"/>
      <c r="E220" s="1703"/>
      <c r="F220" s="1704"/>
      <c r="G220" s="1704"/>
      <c r="H220" s="1704"/>
      <c r="I220" s="1704"/>
      <c r="J220" s="1704"/>
      <c r="K220" s="1704"/>
      <c r="L220" s="1704"/>
      <c r="M220" s="1704"/>
      <c r="N220" s="1704"/>
      <c r="O220" s="1704"/>
      <c r="P220" s="1313"/>
    </row>
    <row r="221" spans="1:18" ht="12.6" customHeight="1">
      <c r="B221" s="44" t="s">
        <v>3862</v>
      </c>
      <c r="E221" s="704"/>
      <c r="I221" s="1705"/>
      <c r="J221" s="1706"/>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602"/>
      <c r="B224" s="1603"/>
      <c r="C224" s="1603"/>
      <c r="D224" s="1603"/>
      <c r="E224" s="1603"/>
      <c r="F224" s="1603"/>
      <c r="G224" s="1603"/>
      <c r="H224" s="1603"/>
      <c r="I224" s="1603"/>
      <c r="J224" s="1603"/>
      <c r="K224" s="1603"/>
      <c r="L224" s="1603"/>
      <c r="M224" s="1603"/>
      <c r="N224" s="1603"/>
      <c r="O224" s="1603"/>
      <c r="P224" s="1604"/>
    </row>
    <row r="225" spans="1:18" s="134" customFormat="1" ht="10.9" customHeight="1">
      <c r="A225" s="50"/>
      <c r="B225" s="129" t="s">
        <v>2738</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3658</v>
      </c>
      <c r="D229" s="40"/>
      <c r="H229" s="65" t="s">
        <v>3286</v>
      </c>
      <c r="N229" s="803" t="s">
        <v>2862</v>
      </c>
      <c r="O229" s="1670"/>
      <c r="P229" s="355"/>
      <c r="R229" s="558"/>
    </row>
    <row r="230" spans="1:18" s="51" customFormat="1" ht="24.6" customHeight="1">
      <c r="A230" s="50"/>
      <c r="B230" s="1211" t="s">
        <v>3641</v>
      </c>
      <c r="C230" s="1212"/>
      <c r="D230" s="1212"/>
      <c r="E230" s="1212"/>
      <c r="F230" s="1212"/>
      <c r="G230" s="1212"/>
      <c r="H230" s="1212"/>
      <c r="I230" s="1212"/>
      <c r="J230" s="1212"/>
      <c r="K230" s="1212"/>
      <c r="L230" s="1212"/>
      <c r="M230" s="54"/>
      <c r="N230" s="74"/>
      <c r="O230" s="1671"/>
      <c r="P230" s="356"/>
    </row>
    <row r="231" spans="1:18" s="51" customFormat="1" ht="12" customHeight="1">
      <c r="A231" s="189" t="s">
        <v>2865</v>
      </c>
      <c r="B231" s="236" t="s">
        <v>3726</v>
      </c>
      <c r="D231" s="40"/>
      <c r="E231" s="40"/>
      <c r="F231" s="40"/>
      <c r="H231" s="65" t="s">
        <v>3286</v>
      </c>
      <c r="N231" s="803" t="s">
        <v>2865</v>
      </c>
      <c r="O231" s="1598" t="s">
        <v>3975</v>
      </c>
      <c r="P231" s="232"/>
      <c r="R231" s="558"/>
    </row>
    <row r="232" spans="1:18" s="51" customFormat="1" ht="12" customHeight="1">
      <c r="A232" s="50"/>
      <c r="B232" s="65" t="s">
        <v>3729</v>
      </c>
      <c r="D232" s="47"/>
      <c r="E232" s="44"/>
      <c r="F232" s="1"/>
      <c r="G232" s="1"/>
      <c r="H232" s="1"/>
      <c r="I232" s="1"/>
      <c r="J232" s="38"/>
      <c r="K232" s="38"/>
      <c r="L232" s="38"/>
      <c r="M232" s="821"/>
      <c r="N232" s="1"/>
      <c r="O232" s="854"/>
      <c r="P232" s="4"/>
    </row>
    <row r="233" spans="1:18" s="132" customFormat="1" ht="11.25" customHeight="1">
      <c r="B233" s="551" t="s">
        <v>2866</v>
      </c>
      <c r="C233" s="697" t="s">
        <v>3727</v>
      </c>
      <c r="E233" s="117"/>
      <c r="F233" s="62"/>
      <c r="G233" s="62"/>
      <c r="H233" s="62"/>
      <c r="I233" s="62"/>
      <c r="J233" s="64"/>
      <c r="K233" s="72"/>
      <c r="L233" s="68" t="str">
        <f>IF(M233&gt;14,"Over limit!","")</f>
        <v/>
      </c>
      <c r="N233" s="250" t="s">
        <v>2866</v>
      </c>
      <c r="O233" s="1670" t="s">
        <v>3975</v>
      </c>
      <c r="P233" s="355"/>
    </row>
    <row r="234" spans="1:18" s="132" customFormat="1" ht="11.25" customHeight="1">
      <c r="B234" s="551" t="s">
        <v>2868</v>
      </c>
      <c r="C234" s="697" t="s">
        <v>3728</v>
      </c>
      <c r="N234" s="250" t="s">
        <v>2868</v>
      </c>
      <c r="O234" s="1675" t="s">
        <v>3975</v>
      </c>
      <c r="P234" s="541"/>
    </row>
    <row r="235" spans="1:18" s="132" customFormat="1" ht="11.25" customHeight="1">
      <c r="B235" s="551" t="s">
        <v>3548</v>
      </c>
      <c r="C235" s="697" t="s">
        <v>3730</v>
      </c>
      <c r="N235" s="250" t="s">
        <v>3548</v>
      </c>
      <c r="O235" s="1675" t="s">
        <v>3975</v>
      </c>
      <c r="P235" s="541"/>
    </row>
    <row r="236" spans="1:18" s="132" customFormat="1" ht="11.25" customHeight="1">
      <c r="B236" s="551" t="s">
        <v>1762</v>
      </c>
      <c r="C236" s="697" t="s">
        <v>3731</v>
      </c>
      <c r="N236" s="250" t="s">
        <v>1762</v>
      </c>
      <c r="O236" s="1671" t="s">
        <v>3975</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602"/>
      <c r="B238" s="1603"/>
      <c r="C238" s="1603"/>
      <c r="D238" s="1603"/>
      <c r="E238" s="1603"/>
      <c r="F238" s="1603"/>
      <c r="G238" s="1603"/>
      <c r="H238" s="1603"/>
      <c r="I238" s="1603"/>
      <c r="J238" s="1603"/>
      <c r="K238" s="1603"/>
      <c r="L238" s="1603"/>
      <c r="M238" s="1603"/>
      <c r="N238" s="1603"/>
      <c r="O238" s="1603"/>
      <c r="P238" s="1604"/>
      <c r="Q238" s="736" t="s">
        <v>1806</v>
      </c>
    </row>
    <row r="239" spans="1:18" s="134" customFormat="1" ht="10.5" customHeight="1">
      <c r="A239" s="50"/>
      <c r="B239" s="129" t="s">
        <v>2738</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0</v>
      </c>
      <c r="P242" s="93">
        <f>MIN($M242,P243+P246)</f>
        <v>0</v>
      </c>
      <c r="Q242" s="148" t="s">
        <v>612</v>
      </c>
    </row>
    <row r="243" spans="1:18" s="51" customFormat="1" ht="12" customHeight="1">
      <c r="A243" s="189" t="s">
        <v>2862</v>
      </c>
      <c r="B243" s="236" t="s">
        <v>3732</v>
      </c>
      <c r="D243" s="40"/>
      <c r="E243" s="40"/>
      <c r="F243" s="40"/>
      <c r="L243" s="558" t="str">
        <f>IF(OR($O243=$M243,$O243=0,$O243=""),"","* * Check Score! * *")</f>
        <v/>
      </c>
      <c r="M243" s="7">
        <v>3</v>
      </c>
      <c r="N243" s="803" t="s">
        <v>2862</v>
      </c>
      <c r="O243" s="1707"/>
      <c r="P243" s="743"/>
      <c r="Q243" s="148"/>
      <c r="R243" s="558" t="str">
        <f>IF(OR($O243=$M243,$O243=0,$O243=""),"","* * Check Score! * *")</f>
        <v/>
      </c>
    </row>
    <row r="244" spans="1:18" s="51" customFormat="1" ht="36" customHeight="1">
      <c r="A244" s="189"/>
      <c r="B244" s="1180" t="s">
        <v>3734</v>
      </c>
      <c r="C244" s="1180"/>
      <c r="D244" s="1180"/>
      <c r="E244" s="1180"/>
      <c r="F244" s="1180"/>
      <c r="G244" s="1180"/>
      <c r="H244" s="1180"/>
      <c r="I244" s="1180"/>
      <c r="J244" s="1180"/>
      <c r="K244" s="1180"/>
      <c r="L244" s="1180"/>
      <c r="M244" s="558"/>
      <c r="N244" s="558"/>
      <c r="O244" s="1708"/>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3733</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21" t="s">
        <v>172</v>
      </c>
      <c r="D247" s="1121"/>
      <c r="E247" s="1121"/>
      <c r="F247" s="1121"/>
      <c r="G247" s="1121"/>
      <c r="H247" s="1121"/>
      <c r="I247" s="1121"/>
      <c r="J247" s="1121"/>
      <c r="K247" s="1121"/>
      <c r="L247" s="1121"/>
      <c r="M247" s="656">
        <v>2</v>
      </c>
      <c r="O247" s="1707"/>
      <c r="P247" s="743"/>
    </row>
    <row r="248" spans="1:18" s="655" customFormat="1" ht="24" customHeight="1">
      <c r="A248" s="711" t="s">
        <v>1921</v>
      </c>
      <c r="B248" s="723" t="s">
        <v>2868</v>
      </c>
      <c r="C248" s="1121" t="s">
        <v>3760</v>
      </c>
      <c r="D248" s="1121"/>
      <c r="E248" s="1121"/>
      <c r="F248" s="1121"/>
      <c r="G248" s="1121"/>
      <c r="H248" s="1121"/>
      <c r="I248" s="1121"/>
      <c r="J248" s="1121"/>
      <c r="K248" s="1121"/>
      <c r="L248" s="1121"/>
      <c r="M248" s="656">
        <v>1</v>
      </c>
      <c r="O248" s="1708"/>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602"/>
      <c r="B250" s="1603"/>
      <c r="C250" s="1603"/>
      <c r="D250" s="1603"/>
      <c r="E250" s="1603"/>
      <c r="F250" s="1603"/>
      <c r="G250" s="1603"/>
      <c r="H250" s="1603"/>
      <c r="I250" s="1603"/>
      <c r="J250" s="1603"/>
      <c r="K250" s="1603"/>
      <c r="L250" s="1603"/>
      <c r="M250" s="1603"/>
      <c r="N250" s="1603"/>
      <c r="O250" s="1603"/>
      <c r="P250" s="1604"/>
    </row>
    <row r="251" spans="1:18" s="51" customFormat="1" ht="12" customHeight="1">
      <c r="B251" s="114" t="s">
        <v>2738</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598" t="s">
        <v>3975</v>
      </c>
      <c r="P255" s="232"/>
    </row>
    <row r="256" spans="1:18" ht="12.6" customHeight="1">
      <c r="A256" s="189" t="s">
        <v>2862</v>
      </c>
      <c r="B256" s="254" t="s">
        <v>2020</v>
      </c>
      <c r="D256" s="40"/>
      <c r="E256" s="40"/>
      <c r="F256" s="40"/>
      <c r="G256" s="40"/>
      <c r="H256" s="40"/>
      <c r="I256" s="40"/>
      <c r="J256" s="40"/>
      <c r="K256" s="40"/>
      <c r="L256" s="40"/>
      <c r="M256" s="157"/>
      <c r="N256" s="803" t="s">
        <v>2862</v>
      </c>
      <c r="O256" s="1709">
        <v>10</v>
      </c>
      <c r="P256" s="580"/>
    </row>
    <row r="257" spans="1:18" ht="12.6" customHeight="1">
      <c r="A257" s="189" t="s">
        <v>2865</v>
      </c>
      <c r="B257" s="254" t="s">
        <v>325</v>
      </c>
      <c r="D257" s="40"/>
      <c r="E257" s="40"/>
      <c r="F257" s="40"/>
      <c r="G257" s="48"/>
      <c r="H257" s="48"/>
      <c r="I257" s="48"/>
      <c r="J257" s="48"/>
      <c r="K257" s="48"/>
      <c r="M257" s="134"/>
      <c r="N257" s="803" t="s">
        <v>2865</v>
      </c>
      <c r="O257" s="1598" t="s">
        <v>4075</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602"/>
      <c r="B259" s="1603"/>
      <c r="C259" s="1603"/>
      <c r="D259" s="1603"/>
      <c r="E259" s="1603"/>
      <c r="F259" s="1603"/>
      <c r="G259" s="1603"/>
      <c r="H259" s="1603"/>
      <c r="I259" s="1603"/>
      <c r="J259" s="1603"/>
      <c r="K259" s="1603"/>
      <c r="L259" s="1603"/>
      <c r="M259" s="1603"/>
      <c r="N259" s="1603"/>
      <c r="O259" s="1603"/>
      <c r="P259" s="1604"/>
      <c r="Q259" s="736" t="s">
        <v>1806</v>
      </c>
      <c r="R259" s="737"/>
    </row>
    <row r="260" spans="1:18" s="134" customFormat="1" ht="11.25" customHeight="1">
      <c r="A260" s="80"/>
      <c r="B260" s="80" t="s">
        <v>2738</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3735</v>
      </c>
      <c r="C263" s="64"/>
      <c r="D263" s="159"/>
      <c r="E263" s="159"/>
      <c r="F263" s="49"/>
      <c r="H263" s="47"/>
      <c r="K263" s="56"/>
      <c r="M263" s="3">
        <v>20</v>
      </c>
      <c r="N263" s="7"/>
      <c r="O263" s="93">
        <f>MIN($M263,(O264+O273))</f>
        <v>7</v>
      </c>
      <c r="P263" s="93">
        <f>MIN($M263,(P264+P273))</f>
        <v>0</v>
      </c>
      <c r="Q263" s="148" t="s">
        <v>612</v>
      </c>
    </row>
    <row r="264" spans="1:18" s="51" customFormat="1" ht="13.5" customHeight="1">
      <c r="A264" s="189" t="s">
        <v>2862</v>
      </c>
      <c r="B264" s="236" t="s">
        <v>3736</v>
      </c>
      <c r="D264" s="73" t="s">
        <v>3967</v>
      </c>
      <c r="H264" s="47"/>
      <c r="I264" s="47"/>
      <c r="K264" s="47"/>
      <c r="L264" s="558"/>
      <c r="M264" s="3">
        <v>6</v>
      </c>
      <c r="N264" s="79" t="s">
        <v>2862</v>
      </c>
      <c r="O264" s="125">
        <f>IF(O265=$M265,$M265, IF(O267=$M267,$M267, IF(O269=$M269,$M269,0)))</f>
        <v>3</v>
      </c>
      <c r="P264" s="125">
        <f>IF(P265=$M265,$M265, IF(P267=$M267,$M267, IF(P269=$M269,$M269,0)))</f>
        <v>0</v>
      </c>
      <c r="Q264" s="148"/>
    </row>
    <row r="265" spans="1:18" s="655" customFormat="1" ht="12" customHeight="1">
      <c r="A265" s="654" t="str">
        <f>IF($I$90="HOPE VI Initiative", "X","")</f>
        <v/>
      </c>
      <c r="B265" s="723" t="s">
        <v>2866</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62"/>
      <c r="K266" s="862"/>
      <c r="L266" s="862"/>
      <c r="M266" s="714"/>
      <c r="O266" s="1663"/>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3949</v>
      </c>
      <c r="D268" s="1121"/>
      <c r="E268" s="1121"/>
      <c r="F268" s="1121"/>
      <c r="G268" s="1121"/>
      <c r="H268" s="1121"/>
      <c r="I268" s="1121"/>
      <c r="J268" s="1121"/>
      <c r="K268" s="1121"/>
      <c r="L268" s="1121"/>
      <c r="M268" s="714"/>
      <c r="N268" s="656"/>
      <c r="O268" s="1710"/>
      <c r="P268" s="712"/>
    </row>
    <row r="269" spans="1:18" s="655" customFormat="1" ht="12" customHeight="1">
      <c r="A269" s="713" t="s">
        <v>1921</v>
      </c>
      <c r="B269" s="723" t="s">
        <v>3548</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3</v>
      </c>
      <c r="P269" s="125">
        <f>IF(AND('Part I-Project Information'!$E$82="Yes",'Part I-Project Information'!$H$121="Yes",OR(P270="Yes",P271="Yes",P272="Yes")),$M269,0)</f>
        <v>0</v>
      </c>
    </row>
    <row r="270" spans="1:18" s="655" customFormat="1" ht="22.5" customHeight="1">
      <c r="A270" s="654"/>
      <c r="B270" s="575" t="s">
        <v>3418</v>
      </c>
      <c r="C270" s="1125" t="s">
        <v>3950</v>
      </c>
      <c r="D270" s="1125"/>
      <c r="E270" s="1125"/>
      <c r="F270" s="1125"/>
      <c r="G270" s="1125"/>
      <c r="H270" s="1125"/>
      <c r="I270" s="1125"/>
      <c r="J270" s="1125"/>
      <c r="K270" s="1125"/>
      <c r="L270" s="1125"/>
      <c r="M270" s="656"/>
      <c r="N270" s="575" t="s">
        <v>3418</v>
      </c>
      <c r="O270" s="1711" t="s">
        <v>3975</v>
      </c>
      <c r="P270" s="740"/>
    </row>
    <row r="271" spans="1:18" s="655" customFormat="1" ht="22.5" customHeight="1">
      <c r="A271" s="654"/>
      <c r="B271" s="575" t="s">
        <v>3419</v>
      </c>
      <c r="C271" s="1121" t="s">
        <v>3761</v>
      </c>
      <c r="D271" s="1121"/>
      <c r="E271" s="1121"/>
      <c r="F271" s="1121"/>
      <c r="G271" s="1121"/>
      <c r="H271" s="1121"/>
      <c r="I271" s="1121"/>
      <c r="J271" s="1121"/>
      <c r="K271" s="1121"/>
      <c r="L271" s="1121"/>
      <c r="M271" s="656"/>
      <c r="N271" s="575" t="s">
        <v>3419</v>
      </c>
      <c r="O271" s="1712"/>
      <c r="P271" s="741"/>
    </row>
    <row r="272" spans="1:18" s="655" customFormat="1" ht="22.5" customHeight="1">
      <c r="A272" s="654"/>
      <c r="B272" s="575" t="s">
        <v>3420</v>
      </c>
      <c r="C272" s="1121" t="s">
        <v>3738</v>
      </c>
      <c r="D272" s="1121"/>
      <c r="E272" s="1121"/>
      <c r="F272" s="1121"/>
      <c r="G272" s="1121"/>
      <c r="H272" s="1121"/>
      <c r="I272" s="1121"/>
      <c r="J272" s="1121"/>
      <c r="K272" s="1121"/>
      <c r="L272" s="1121"/>
      <c r="M272" s="656"/>
      <c r="N272" s="575" t="s">
        <v>3420</v>
      </c>
      <c r="O272" s="1713"/>
      <c r="P272" s="742"/>
    </row>
    <row r="273" spans="1:18" ht="13.5" customHeight="1">
      <c r="A273" s="189" t="s">
        <v>2865</v>
      </c>
      <c r="B273" s="236" t="s">
        <v>3739</v>
      </c>
      <c r="D273" s="40"/>
      <c r="E273" s="73" t="s">
        <v>3966</v>
      </c>
      <c r="F273" s="40"/>
      <c r="G273" s="158"/>
      <c r="H273" s="40"/>
      <c r="I273" s="40"/>
      <c r="J273" s="40"/>
      <c r="K273" s="40"/>
      <c r="L273" s="40"/>
      <c r="M273" s="1">
        <v>14</v>
      </c>
      <c r="N273" s="803" t="s">
        <v>2865</v>
      </c>
      <c r="O273" s="125">
        <f>MIN($M273,O274+O277+O278+O281+O282)</f>
        <v>4</v>
      </c>
      <c r="P273" s="125">
        <f>MIN($M273,P274+P277+P278+P281+P282+P283)</f>
        <v>0</v>
      </c>
      <c r="R273" s="655"/>
    </row>
    <row r="274" spans="1:18" s="132" customFormat="1" ht="12.75" customHeight="1">
      <c r="B274" s="551" t="s">
        <v>2866</v>
      </c>
      <c r="C274" s="724" t="s">
        <v>3740</v>
      </c>
      <c r="L274" s="558"/>
      <c r="M274" s="8">
        <v>4</v>
      </c>
      <c r="N274" s="250" t="s">
        <v>2866</v>
      </c>
      <c r="O274" s="125">
        <f>IF(AND('Part I-Project Information'!$E$82="Yes",'Part I-Project Information'!$H$121="Yes"),MIN(O275+O276,$M274),0)</f>
        <v>2</v>
      </c>
      <c r="P274" s="125">
        <f>IF(AND('Part I-Project Information'!$E$82="Yes",'Part I-Project Information'!$H$121="Yes"),MIN(P275+P276,$M274),0)</f>
        <v>0</v>
      </c>
    </row>
    <row r="275" spans="1:18" s="655" customFormat="1" ht="33" customHeight="1">
      <c r="A275" s="654"/>
      <c r="B275" s="575" t="s">
        <v>3418</v>
      </c>
      <c r="C275" s="1121" t="s">
        <v>3742</v>
      </c>
      <c r="D275" s="1121"/>
      <c r="E275" s="1121"/>
      <c r="F275" s="1121"/>
      <c r="G275" s="1121"/>
      <c r="H275" s="1121"/>
      <c r="I275" s="1121"/>
      <c r="J275" s="1121"/>
      <c r="K275" s="1121"/>
      <c r="L275" s="1121"/>
      <c r="M275" s="656">
        <v>4</v>
      </c>
      <c r="N275" s="575" t="s">
        <v>3418</v>
      </c>
      <c r="O275" s="1711"/>
      <c r="P275" s="740"/>
    </row>
    <row r="276" spans="1:18" s="655" customFormat="1" ht="22.5" customHeight="1">
      <c r="A276" s="219" t="s">
        <v>3762</v>
      </c>
      <c r="B276" s="575" t="s">
        <v>3419</v>
      </c>
      <c r="C276" s="1121" t="s">
        <v>3743</v>
      </c>
      <c r="D276" s="1121"/>
      <c r="E276" s="1121"/>
      <c r="F276" s="1121"/>
      <c r="G276" s="1121"/>
      <c r="H276" s="1121"/>
      <c r="I276" s="1121"/>
      <c r="J276" s="1121"/>
      <c r="K276" s="1121"/>
      <c r="L276" s="1121"/>
      <c r="M276" s="656">
        <v>2</v>
      </c>
      <c r="N276" s="575" t="s">
        <v>3419</v>
      </c>
      <c r="O276" s="1713">
        <v>2</v>
      </c>
      <c r="P276" s="742"/>
    </row>
    <row r="277" spans="1:18" s="132" customFormat="1" ht="12" customHeight="1">
      <c r="B277" s="551" t="s">
        <v>2868</v>
      </c>
      <c r="C277" s="724" t="s">
        <v>3741</v>
      </c>
      <c r="L277" s="558" t="str">
        <f>IF(OR($O277=$M277,$O277=0,$O277=""),"","* * Check Score! * *")</f>
        <v/>
      </c>
      <c r="M277" s="8">
        <v>1</v>
      </c>
      <c r="N277" s="250" t="s">
        <v>2868</v>
      </c>
      <c r="O277" s="1663"/>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21" t="s">
        <v>3746</v>
      </c>
      <c r="D279" s="1121"/>
      <c r="E279" s="1121"/>
      <c r="F279" s="1121"/>
      <c r="G279" s="1121"/>
      <c r="H279" s="1121"/>
      <c r="I279" s="1121"/>
      <c r="J279" s="1121"/>
      <c r="K279" s="1121"/>
      <c r="L279" s="1121"/>
      <c r="M279" s="656">
        <v>2</v>
      </c>
      <c r="N279" s="575" t="s">
        <v>3418</v>
      </c>
      <c r="O279" s="1707"/>
      <c r="P279" s="743"/>
    </row>
    <row r="280" spans="1:18" s="655" customFormat="1" ht="12" customHeight="1">
      <c r="A280" s="219" t="s">
        <v>3762</v>
      </c>
      <c r="B280" s="575" t="s">
        <v>3419</v>
      </c>
      <c r="C280" s="1121" t="s">
        <v>3745</v>
      </c>
      <c r="D280" s="1121"/>
      <c r="E280" s="1121"/>
      <c r="F280" s="1121"/>
      <c r="G280" s="1121"/>
      <c r="H280" s="1121"/>
      <c r="I280" s="1121"/>
      <c r="J280" s="1121"/>
      <c r="K280" s="1121"/>
      <c r="L280" s="1121"/>
      <c r="M280" s="656">
        <v>1</v>
      </c>
      <c r="N280" s="575" t="s">
        <v>3419</v>
      </c>
      <c r="O280" s="1708"/>
      <c r="P280" s="744"/>
    </row>
    <row r="281" spans="1:18" s="132" customFormat="1" ht="12" customHeight="1">
      <c r="B281" s="551" t="s">
        <v>1762</v>
      </c>
      <c r="C281" s="724" t="s">
        <v>3747</v>
      </c>
      <c r="F281" s="697" t="s">
        <v>3863</v>
      </c>
      <c r="L281" s="558"/>
      <c r="M281" s="8">
        <v>2</v>
      </c>
      <c r="N281" s="250" t="s">
        <v>1762</v>
      </c>
      <c r="O281" s="1663"/>
      <c r="P281" s="85"/>
    </row>
    <row r="282" spans="1:18" s="132" customFormat="1" ht="12" customHeight="1">
      <c r="B282" s="551" t="s">
        <v>1763</v>
      </c>
      <c r="C282" s="724" t="s">
        <v>3748</v>
      </c>
      <c r="F282" s="697" t="s">
        <v>3750</v>
      </c>
      <c r="J282" s="1175">
        <f>'Part IV-Uses of Funds'!$B$39/'Part IV-Uses of Funds'!$G$123</f>
        <v>0.70042988010625917</v>
      </c>
      <c r="K282" s="1176"/>
      <c r="L282" s="558"/>
      <c r="M282" s="8">
        <v>2</v>
      </c>
      <c r="N282" s="250" t="s">
        <v>1763</v>
      </c>
      <c r="O282" s="1663">
        <v>2</v>
      </c>
      <c r="P282" s="85"/>
    </row>
    <row r="283" spans="1:18" s="132" customFormat="1" ht="12" customHeight="1">
      <c r="B283" s="551" t="s">
        <v>2757</v>
      </c>
      <c r="C283" s="724" t="s">
        <v>3749</v>
      </c>
      <c r="F283" s="697" t="s">
        <v>3951</v>
      </c>
      <c r="L283" s="558"/>
      <c r="M283" s="8">
        <v>3</v>
      </c>
      <c r="N283" s="250" t="s">
        <v>2757</v>
      </c>
      <c r="P283" s="85"/>
    </row>
    <row r="284" spans="1:18" s="51" customFormat="1" ht="12" customHeight="1">
      <c r="A284" s="189"/>
      <c r="B284" s="575" t="s">
        <v>3418</v>
      </c>
      <c r="C284" s="65" t="s">
        <v>3286</v>
      </c>
      <c r="D284" s="40"/>
      <c r="N284" s="803"/>
      <c r="O284" s="1598"/>
      <c r="P284" s="232"/>
      <c r="R284" s="558"/>
    </row>
    <row r="285" spans="1:18" s="51" customFormat="1" ht="12" customHeight="1">
      <c r="A285" s="189"/>
      <c r="B285" s="575" t="s">
        <v>3419</v>
      </c>
      <c r="C285" s="65" t="s">
        <v>3945</v>
      </c>
      <c r="D285" s="40"/>
      <c r="N285" s="803"/>
      <c r="O285" s="1598"/>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602"/>
      <c r="B287" s="1603"/>
      <c r="C287" s="1603"/>
      <c r="D287" s="1603"/>
      <c r="E287" s="1603"/>
      <c r="F287" s="1603"/>
      <c r="G287" s="1603"/>
      <c r="H287" s="1603"/>
      <c r="I287" s="1603"/>
      <c r="J287" s="1603"/>
      <c r="K287" s="1603"/>
      <c r="L287" s="1603"/>
      <c r="M287" s="1603"/>
      <c r="N287" s="1603"/>
      <c r="O287" s="1603"/>
      <c r="P287" s="1604"/>
    </row>
    <row r="288" spans="1:18" s="51" customFormat="1" ht="11.25" customHeight="1">
      <c r="A288" s="50"/>
      <c r="B288" s="114" t="s">
        <v>2738</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61</v>
      </c>
      <c r="P291" s="214">
        <f>P8+P30+P38+P49+P58+P67+P74+P90+P132+P146+P161+P169+P177+P182+P193+P228+P242+P254+P263</f>
        <v>14</v>
      </c>
    </row>
    <row r="292" spans="1:19" s="50" customFormat="1" ht="13.5" customHeight="1">
      <c r="A292" s="64"/>
      <c r="B292" s="81"/>
      <c r="C292" s="64"/>
      <c r="D292" s="43"/>
      <c r="E292" s="43"/>
      <c r="F292" s="83"/>
      <c r="G292" s="83"/>
      <c r="H292" s="236" t="s">
        <v>3899</v>
      </c>
      <c r="I292" s="82"/>
      <c r="J292" s="82"/>
      <c r="K292" s="82"/>
      <c r="L292" s="51"/>
      <c r="M292" s="43"/>
      <c r="N292" s="3"/>
      <c r="O292" s="793">
        <f>O291-O263</f>
        <v>54</v>
      </c>
      <c r="P292" s="793">
        <f>P291-P263</f>
        <v>14</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3511</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2806</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3016</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6"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heetViews>
  <sheetFormatPr defaultRowHeight="12.75"/>
  <cols>
    <col min="1" max="1" width="88.42578125" customWidth="1"/>
  </cols>
  <sheetData>
    <row r="1" spans="1:6" ht="15.75">
      <c r="A1" s="577" t="s">
        <v>3939</v>
      </c>
    </row>
    <row r="2" spans="1:6" ht="16.5">
      <c r="A2" s="576" t="str">
        <f>'Part I-Project Information'!F22</f>
        <v>Walton Oaks Family 2</v>
      </c>
    </row>
    <row r="3" spans="1:6" ht="16.5">
      <c r="A3" s="576" t="str">
        <f>CONCATENATE('Part I-Project Information'!F24,", ", 'Part I-Project Information'!J25," County")</f>
        <v>Augusta, Richmond County</v>
      </c>
    </row>
    <row r="4" spans="1:6" ht="12" customHeight="1"/>
    <row r="5" spans="1:6" ht="113.25" customHeight="1">
      <c r="A5" s="1216" t="s">
        <v>3959</v>
      </c>
      <c r="B5" s="1129" t="s">
        <v>3960</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6"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heetViews>
  <sheetFormatPr defaultRowHeight="12.75"/>
  <cols>
    <col min="1" max="1" width="88.42578125" customWidth="1"/>
  </cols>
  <sheetData>
    <row r="1" spans="1:6" ht="15.75">
      <c r="A1" s="577" t="s">
        <v>3940</v>
      </c>
    </row>
    <row r="2" spans="1:6" ht="16.5">
      <c r="A2" s="576" t="str">
        <f>'Part I-Project Information'!F22</f>
        <v>Walton Oaks Family 2</v>
      </c>
    </row>
    <row r="3" spans="1:6" ht="16.5">
      <c r="A3" s="576" t="str">
        <f>CONCATENATE('Part I-Project Information'!F24,", ", 'Part I-Project Information'!J25," County")</f>
        <v>Augusta, Richmond County</v>
      </c>
    </row>
    <row r="4" spans="1:6" ht="12" customHeight="1"/>
    <row r="5" spans="1:6" ht="60" customHeight="1">
      <c r="A5" s="1216" t="s">
        <v>3958</v>
      </c>
      <c r="B5" s="1129" t="s">
        <v>3961</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3249</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3" t="s">
        <v>953</v>
      </c>
      <c r="C22" s="1223"/>
      <c r="D22" s="1223"/>
      <c r="E22" s="1223"/>
      <c r="F22" s="1223"/>
      <c r="G22" s="1223"/>
      <c r="H22" s="1223"/>
      <c r="I22" s="1223"/>
      <c r="J22" s="1223"/>
      <c r="K22" s="1223"/>
      <c r="L22" s="1223"/>
      <c r="M22" s="1223"/>
    </row>
    <row r="23" spans="1:13" ht="165.6" customHeight="1">
      <c r="A23" s="140" t="s">
        <v>2153</v>
      </c>
      <c r="B23" s="1223" t="s">
        <v>2919</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2859</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6"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16391390</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19669688</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18030518</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3848</v>
      </c>
      <c r="J76" s="241" t="s">
        <v>2618</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6"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85" zoomScaleNormal="85"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Walton Oaks Family 2</v>
      </c>
    </row>
    <row r="3" spans="1:6" ht="16.5">
      <c r="A3" s="1281" t="str">
        <f>CONCATENATE('Part I-Project Information'!F24,", ", 'Part I-Project Information'!J25," County")</f>
        <v>Augusta, Richmond County</v>
      </c>
    </row>
    <row r="4" spans="1:6" ht="12" customHeight="1"/>
    <row r="5" spans="1:6" ht="111" customHeight="1">
      <c r="A5" s="1282" t="s">
        <v>4063</v>
      </c>
      <c r="B5" s="886" t="s">
        <v>3965</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408" customHeight="1">
      <c r="A19" s="1282"/>
    </row>
    <row r="20" spans="1:1" ht="6.6" customHeight="1">
      <c r="A20" s="1282"/>
    </row>
    <row r="21" spans="1:1" ht="406.9" customHeight="1">
      <c r="A21" s="1282"/>
    </row>
    <row r="22" spans="1:1" ht="408.6" customHeight="1">
      <c r="A22" s="1282"/>
    </row>
    <row r="23" spans="1:1" ht="102" customHeight="1">
      <c r="A23" s="1282"/>
    </row>
    <row r="24" spans="1:1" ht="6.6" customHeight="1">
      <c r="A24" s="1283"/>
    </row>
  </sheetData>
  <sheetProtection password="BEC8" sheet="1" objects="1" scenarios="1" formatColumns="0" formatRows="0"/>
  <mergeCells count="2">
    <mergeCell ref="B5:F6"/>
    <mergeCell ref="A5:A23"/>
  </mergeCells>
  <phoneticPr fontId="6" type="noConversion"/>
  <printOptions horizontalCentered="1"/>
  <pageMargins left="0.25" right="0.25" top="0.55000000000000004" bottom="0.38" header="0.25" footer="0.19"/>
  <pageSetup scale="97"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115" zoomScaleNormal="115"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- 2012-019 Walton Oaks Family 2, Augusta, Richmond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908" t="s">
        <v>3866</v>
      </c>
      <c r="P3" s="908"/>
    </row>
    <row r="4" spans="1:16" s="449" customFormat="1" ht="12" customHeight="1" thickBot="1">
      <c r="A4" s="844"/>
      <c r="B4" s="452"/>
      <c r="C4" s="452"/>
      <c r="D4" s="453"/>
      <c r="E4" s="400" t="s">
        <v>615</v>
      </c>
      <c r="H4" s="836"/>
      <c r="I4" s="836"/>
      <c r="J4" s="836"/>
      <c r="O4" s="1284" t="s">
        <v>4094</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3347</v>
      </c>
      <c r="D6" s="416"/>
      <c r="E6" s="454"/>
      <c r="F6" s="455" t="s">
        <v>2567</v>
      </c>
      <c r="J6" s="898">
        <f>'Part IV-Uses of Funds'!J165</f>
        <v>900000</v>
      </c>
      <c r="K6" s="899"/>
      <c r="O6" s="896" t="s">
        <v>3865</v>
      </c>
      <c r="P6" s="896"/>
    </row>
    <row r="7" spans="1:16" s="2" customFormat="1" ht="13.15" customHeight="1">
      <c r="A7" s="5"/>
      <c r="C7" s="5"/>
      <c r="D7" s="31"/>
      <c r="E7" s="549"/>
      <c r="F7" s="449" t="s">
        <v>1850</v>
      </c>
      <c r="J7" s="900">
        <f>'Part III A-Sources of Funds'!J5</f>
        <v>0</v>
      </c>
      <c r="K7" s="901"/>
      <c r="M7" s="449"/>
      <c r="N7" s="449"/>
      <c r="O7" s="1286" t="s">
        <v>4040</v>
      </c>
      <c r="P7" s="1287"/>
    </row>
    <row r="8" spans="1:16" s="449" customFormat="1" ht="7.15" customHeight="1">
      <c r="A8" s="452"/>
      <c r="C8" s="452"/>
      <c r="D8" s="416"/>
      <c r="E8" s="454"/>
      <c r="F8" s="454"/>
      <c r="I8" s="456"/>
      <c r="N8" s="457"/>
    </row>
    <row r="9" spans="1:16" s="449" customFormat="1" ht="13.15" customHeight="1">
      <c r="A9" s="456" t="s">
        <v>1136</v>
      </c>
      <c r="C9" s="452" t="s">
        <v>2925</v>
      </c>
      <c r="F9" s="1288" t="s">
        <v>3977</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3978</v>
      </c>
      <c r="G13" s="1293"/>
      <c r="H13" s="1293"/>
      <c r="I13" s="1293"/>
      <c r="J13" s="1293"/>
      <c r="K13" s="1293"/>
      <c r="L13" s="1294"/>
      <c r="M13" s="827" t="s">
        <v>2859</v>
      </c>
      <c r="N13" s="1292" t="s">
        <v>3979</v>
      </c>
      <c r="O13" s="1293"/>
      <c r="P13" s="1294"/>
    </row>
    <row r="14" spans="1:16" s="449" customFormat="1" ht="13.15" customHeight="1">
      <c r="C14" s="455" t="s">
        <v>2860</v>
      </c>
      <c r="F14" s="1292" t="s">
        <v>3980</v>
      </c>
      <c r="G14" s="1293"/>
      <c r="H14" s="1293"/>
      <c r="I14" s="1293"/>
      <c r="J14" s="1293"/>
      <c r="K14" s="1293"/>
      <c r="L14" s="1294"/>
      <c r="M14" s="827" t="s">
        <v>2573</v>
      </c>
      <c r="O14" s="1295">
        <v>6783034127</v>
      </c>
      <c r="P14" s="1296"/>
    </row>
    <row r="15" spans="1:16" s="449" customFormat="1" ht="13.15" customHeight="1">
      <c r="C15" s="455" t="s">
        <v>876</v>
      </c>
      <c r="F15" s="1297" t="s">
        <v>451</v>
      </c>
      <c r="G15" s="1298"/>
      <c r="H15" s="1299"/>
      <c r="M15" s="827" t="s">
        <v>2658</v>
      </c>
      <c r="O15" s="1300">
        <v>6783034111</v>
      </c>
      <c r="P15" s="1301"/>
    </row>
    <row r="16" spans="1:16" s="449" customFormat="1" ht="13.15" customHeight="1">
      <c r="C16" s="455" t="s">
        <v>2655</v>
      </c>
      <c r="F16" s="1302" t="s">
        <v>1337</v>
      </c>
      <c r="I16" s="836" t="s">
        <v>3137</v>
      </c>
      <c r="J16" s="1303">
        <v>300678770</v>
      </c>
      <c r="K16" s="1304"/>
      <c r="M16" s="827" t="s">
        <v>2858</v>
      </c>
      <c r="O16" s="1300">
        <v>4049695367</v>
      </c>
      <c r="P16" s="1301"/>
    </row>
    <row r="17" spans="1:16" s="449" customFormat="1" ht="13.15" customHeight="1">
      <c r="B17" s="833"/>
      <c r="C17" s="455" t="s">
        <v>2572</v>
      </c>
      <c r="F17" s="1300">
        <v>6783034100</v>
      </c>
      <c r="G17" s="1305"/>
      <c r="H17" s="1301"/>
      <c r="I17" s="828" t="s">
        <v>2571</v>
      </c>
      <c r="J17" s="1306">
        <v>4727</v>
      </c>
      <c r="K17" s="836" t="s">
        <v>2863</v>
      </c>
      <c r="L17" s="1292" t="s">
        <v>3981</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3982</v>
      </c>
      <c r="G22" s="1308"/>
      <c r="H22" s="1308"/>
      <c r="I22" s="1308"/>
      <c r="J22" s="1308"/>
      <c r="K22" s="1308"/>
      <c r="L22" s="1309"/>
      <c r="M22" s="827" t="s">
        <v>3086</v>
      </c>
      <c r="O22" s="1292" t="s">
        <v>3983</v>
      </c>
      <c r="P22" s="1294"/>
    </row>
    <row r="23" spans="1:16" s="449" customFormat="1" ht="13.15" customHeight="1">
      <c r="A23" s="462"/>
      <c r="B23" s="452"/>
      <c r="C23" s="449" t="s">
        <v>875</v>
      </c>
      <c r="D23" s="463"/>
      <c r="F23" s="1292" t="s">
        <v>3984</v>
      </c>
      <c r="G23" s="1293"/>
      <c r="H23" s="1293"/>
      <c r="I23" s="1293"/>
      <c r="J23" s="1293"/>
      <c r="K23" s="1293"/>
      <c r="L23" s="1294"/>
      <c r="M23" s="827" t="s">
        <v>2938</v>
      </c>
      <c r="O23" s="1292" t="s">
        <v>3976</v>
      </c>
      <c r="P23" s="1294"/>
    </row>
    <row r="24" spans="1:16" s="449" customFormat="1" ht="13.15" customHeight="1">
      <c r="A24" s="844"/>
      <c r="B24" s="452"/>
      <c r="C24" s="449" t="s">
        <v>876</v>
      </c>
      <c r="F24" s="1292" t="s">
        <v>1897</v>
      </c>
      <c r="G24" s="1293"/>
      <c r="H24" s="1294"/>
      <c r="I24" s="836" t="s">
        <v>418</v>
      </c>
      <c r="J24" s="1303">
        <v>309011966</v>
      </c>
      <c r="K24" s="1304"/>
      <c r="L24" s="540" t="str">
        <f>IF(AND(NOT(F22=""),NOT(F24="Select from list"),J24=""),"Enter Zip!","")</f>
        <v/>
      </c>
      <c r="M24" s="827" t="s">
        <v>3196</v>
      </c>
      <c r="O24" s="1292">
        <v>9</v>
      </c>
      <c r="P24" s="1294"/>
    </row>
    <row r="25" spans="1:16" s="449" customFormat="1" ht="13.15" customHeight="1">
      <c r="A25" s="844"/>
      <c r="B25" s="452"/>
      <c r="C25" s="887" t="s">
        <v>2937</v>
      </c>
      <c r="D25" s="887"/>
      <c r="F25" s="1310" t="s">
        <v>3975</v>
      </c>
      <c r="I25" s="494" t="s">
        <v>877</v>
      </c>
      <c r="J25" s="1311" t="str">
        <f>IF($F$24="","",VLOOKUP($F$24,$N$181:$O$784,2,FALSE))</f>
        <v>Richmond</v>
      </c>
      <c r="K25" s="1312"/>
      <c r="M25" s="465" t="s">
        <v>3211</v>
      </c>
      <c r="O25" s="1292">
        <v>106</v>
      </c>
      <c r="P25" s="1313"/>
    </row>
    <row r="26" spans="1:16" s="449" customFormat="1" ht="13.15" customHeight="1">
      <c r="A26" s="844"/>
      <c r="B26" s="452"/>
      <c r="C26" s="449" t="s">
        <v>2162</v>
      </c>
      <c r="F26" s="1314" t="s">
        <v>3976</v>
      </c>
      <c r="H26" s="457" t="s">
        <v>3655</v>
      </c>
      <c r="I26" s="682" t="str">
        <f>VLOOKUP($J$25,$C$181:$F$340,4)</f>
        <v>MSA</v>
      </c>
      <c r="J26" s="1315" t="str">
        <f>IF($F$24="","",VLOOKUP($J$25,$C$181:$H$340,3,FALSE))</f>
        <v>Augusta-Richmond Co.</v>
      </c>
      <c r="K26" s="1316"/>
      <c r="L26" s="1317"/>
      <c r="M26" s="827" t="s">
        <v>625</v>
      </c>
      <c r="N26" s="1318" t="s">
        <v>3975</v>
      </c>
      <c r="O26" s="457" t="s">
        <v>626</v>
      </c>
      <c r="P26" s="1318" t="s">
        <v>3976</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12</v>
      </c>
      <c r="G29" s="1320"/>
      <c r="H29" s="1319">
        <v>22</v>
      </c>
      <c r="I29" s="1320"/>
      <c r="J29" s="1319">
        <v>122</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3985</v>
      </c>
      <c r="G32" s="1322"/>
      <c r="H32" s="1322"/>
      <c r="I32" s="1322"/>
      <c r="J32" s="1322"/>
      <c r="K32" s="1323"/>
      <c r="L32" s="466"/>
      <c r="M32" s="466"/>
      <c r="N32" s="466"/>
    </row>
    <row r="33" spans="1:19" s="449" customFormat="1" ht="13.15" customHeight="1">
      <c r="A33" s="844"/>
      <c r="B33" s="844"/>
      <c r="C33" s="449" t="s">
        <v>897</v>
      </c>
      <c r="F33" s="1324" t="s">
        <v>3986</v>
      </c>
      <c r="G33" s="1325"/>
      <c r="H33" s="1325"/>
      <c r="I33" s="1325"/>
      <c r="J33" s="1326"/>
      <c r="K33" s="467" t="s">
        <v>2859</v>
      </c>
      <c r="L33" s="1321" t="s">
        <v>3988</v>
      </c>
      <c r="M33" s="1322"/>
      <c r="N33" s="1323"/>
    </row>
    <row r="34" spans="1:19" s="449" customFormat="1" ht="13.15" customHeight="1">
      <c r="A34" s="844"/>
      <c r="B34" s="844"/>
      <c r="C34" s="449" t="s">
        <v>2860</v>
      </c>
      <c r="F34" s="1324" t="s">
        <v>3987</v>
      </c>
      <c r="G34" s="1325"/>
      <c r="H34" s="1325"/>
      <c r="I34" s="1325"/>
      <c r="J34" s="1327"/>
      <c r="K34" s="468" t="s">
        <v>876</v>
      </c>
      <c r="L34" s="1292" t="s">
        <v>1897</v>
      </c>
      <c r="M34" s="1293"/>
      <c r="N34" s="1294"/>
    </row>
    <row r="35" spans="1:19" s="449" customFormat="1" ht="13.15" customHeight="1">
      <c r="A35" s="844"/>
      <c r="B35" s="844"/>
      <c r="C35" s="827" t="s">
        <v>3137</v>
      </c>
      <c r="F35" s="1328">
        <v>309014480</v>
      </c>
      <c r="G35" s="1329"/>
      <c r="H35" s="828" t="s">
        <v>2861</v>
      </c>
      <c r="I35" s="1330">
        <v>7068211833</v>
      </c>
      <c r="J35" s="1331"/>
      <c r="K35" s="1332"/>
      <c r="L35" s="828" t="s">
        <v>2658</v>
      </c>
      <c r="M35" s="1330">
        <v>7068211835</v>
      </c>
      <c r="N35" s="1332"/>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3661</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2862</v>
      </c>
      <c r="C39" s="452" t="s">
        <v>3213</v>
      </c>
      <c r="F39" s="1306" t="s">
        <v>3976</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2865</v>
      </c>
      <c r="C41" s="452" t="s">
        <v>996</v>
      </c>
      <c r="J41" s="593" t="s">
        <v>1845</v>
      </c>
      <c r="K41" s="594"/>
      <c r="L41" s="906" t="s">
        <v>1840</v>
      </c>
      <c r="M41" s="906"/>
      <c r="N41" s="906"/>
      <c r="O41" s="906"/>
      <c r="P41" s="907"/>
      <c r="Q41" s="836"/>
    </row>
    <row r="42" spans="1:19" ht="13.15" customHeight="1">
      <c r="B42" s="844"/>
      <c r="C42" s="449" t="s">
        <v>3212</v>
      </c>
      <c r="D42" s="449"/>
      <c r="E42" s="449"/>
      <c r="F42" s="473">
        <f>'Part VI-Revenues &amp; Expenses'!$M$74</f>
        <v>106</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3" t="s">
        <v>3989</v>
      </c>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3189</v>
      </c>
      <c r="D48" s="833"/>
      <c r="I48" s="903" t="s">
        <v>1993</v>
      </c>
      <c r="J48" s="462" t="s">
        <v>3004</v>
      </c>
      <c r="K48" s="475" t="s">
        <v>3219</v>
      </c>
      <c r="M48" s="833"/>
      <c r="N48" s="833"/>
      <c r="O48" s="833"/>
      <c r="P48" s="836"/>
      <c r="Q48" s="836"/>
      <c r="R48" s="836"/>
      <c r="S48" s="833"/>
    </row>
    <row r="49" spans="1:16" s="449" customFormat="1" ht="13.15" customHeight="1">
      <c r="A49" s="844"/>
      <c r="B49" s="829"/>
      <c r="C49" s="459" t="s">
        <v>3190</v>
      </c>
      <c r="D49" s="833"/>
      <c r="E49" s="833"/>
      <c r="H49" s="476">
        <f>SUM(H50:H51)</f>
        <v>106</v>
      </c>
      <c r="I49" s="904"/>
      <c r="J49" s="844"/>
      <c r="K49" s="459" t="s">
        <v>3220</v>
      </c>
      <c r="M49" s="833"/>
      <c r="N49" s="833"/>
      <c r="O49" s="833"/>
      <c r="P49" s="476">
        <f>'Part VI-Revenues &amp; Expenses'!$M$96</f>
        <v>116700</v>
      </c>
    </row>
    <row r="50" spans="1:16" s="449" customFormat="1" ht="13.15" customHeight="1">
      <c r="A50" s="844"/>
      <c r="B50" s="472"/>
      <c r="D50" s="477" t="s">
        <v>459</v>
      </c>
      <c r="E50" s="477"/>
      <c r="H50" s="476">
        <f>'Part VI-Revenues &amp; Expenses'!$M$57</f>
        <v>0</v>
      </c>
      <c r="I50" s="476">
        <f>'Part VI-Revenues &amp; Expenses'!$M$65</f>
        <v>0</v>
      </c>
      <c r="K50" s="459" t="s">
        <v>306</v>
      </c>
      <c r="M50" s="833"/>
      <c r="N50" s="833"/>
      <c r="O50" s="833"/>
      <c r="P50" s="476">
        <f>'Part VI-Revenues &amp; Expenses'!$M$97</f>
        <v>0</v>
      </c>
    </row>
    <row r="51" spans="1:16" s="449" customFormat="1" ht="13.15" customHeight="1">
      <c r="A51" s="844"/>
      <c r="D51" s="477" t="s">
        <v>2686</v>
      </c>
      <c r="E51" s="477"/>
      <c r="H51" s="476">
        <f>'Part VI-Revenues &amp; Expenses'!$M$56</f>
        <v>106</v>
      </c>
      <c r="I51" s="476">
        <f>'Part VI-Revenues &amp; Expenses'!$M$64</f>
        <v>0</v>
      </c>
      <c r="K51" s="459" t="s">
        <v>3221</v>
      </c>
      <c r="M51" s="833"/>
      <c r="N51" s="833"/>
      <c r="O51" s="833"/>
      <c r="P51" s="476">
        <f>+P49+P50</f>
        <v>116700</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3388</v>
      </c>
      <c r="D53" s="833"/>
      <c r="E53" s="833"/>
      <c r="H53" s="476">
        <f>+H49+H52</f>
        <v>106</v>
      </c>
      <c r="J53" s="844"/>
      <c r="K53" s="459" t="s">
        <v>1995</v>
      </c>
      <c r="M53" s="833"/>
      <c r="N53" s="833"/>
      <c r="O53" s="833"/>
      <c r="P53" s="476">
        <f>+P51+P52</f>
        <v>116700</v>
      </c>
    </row>
    <row r="54" spans="1:16" s="449" customFormat="1" ht="13.15" customHeight="1">
      <c r="A54" s="844"/>
      <c r="C54" s="459" t="s">
        <v>3389</v>
      </c>
      <c r="D54" s="833"/>
      <c r="E54" s="833"/>
      <c r="H54" s="476">
        <f>'Part VI-Revenues &amp; Expenses'!$M$61</f>
        <v>0</v>
      </c>
      <c r="J54" s="844"/>
    </row>
    <row r="55" spans="1:16" s="449" customFormat="1" ht="13.15" customHeight="1">
      <c r="A55" s="844"/>
      <c r="C55" s="459" t="s">
        <v>2649</v>
      </c>
      <c r="D55" s="833"/>
      <c r="E55" s="833"/>
      <c r="H55" s="476">
        <f>+H53+H54</f>
        <v>106</v>
      </c>
      <c r="J55" s="833"/>
    </row>
    <row r="56" spans="1:16" s="449" customFormat="1" ht="3" customHeight="1">
      <c r="A56" s="844"/>
      <c r="I56" s="836"/>
      <c r="L56" s="836"/>
      <c r="M56" s="836"/>
      <c r="N56" s="833"/>
      <c r="P56" s="460"/>
    </row>
    <row r="57" spans="1:16" s="449" customFormat="1" ht="13.15" customHeight="1">
      <c r="A57" s="844"/>
      <c r="B57" s="844" t="s">
        <v>2588</v>
      </c>
      <c r="C57" s="461" t="s">
        <v>3214</v>
      </c>
      <c r="D57" s="477" t="s">
        <v>2876</v>
      </c>
      <c r="G57" s="833"/>
      <c r="H57" s="1334">
        <v>6</v>
      </c>
      <c r="K57" s="459" t="s">
        <v>1641</v>
      </c>
      <c r="O57" s="833"/>
      <c r="P57" s="1334">
        <v>3500</v>
      </c>
    </row>
    <row r="58" spans="1:16" s="449" customFormat="1" ht="13.15" customHeight="1">
      <c r="A58" s="844"/>
      <c r="B58" s="844"/>
      <c r="D58" s="829" t="s">
        <v>2877</v>
      </c>
      <c r="H58" s="1334">
        <v>0</v>
      </c>
      <c r="I58" s="833"/>
      <c r="K58" s="459" t="s">
        <v>305</v>
      </c>
      <c r="O58" s="833"/>
      <c r="P58" s="476">
        <f>+P53+P57</f>
        <v>120200</v>
      </c>
    </row>
    <row r="59" spans="1:16" s="449" customFormat="1" ht="13.15" customHeight="1">
      <c r="A59" s="844"/>
      <c r="B59" s="844"/>
      <c r="D59" s="829" t="s">
        <v>2878</v>
      </c>
      <c r="H59" s="476">
        <f>+H57+H58</f>
        <v>6</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4">
        <v>159</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2862</v>
      </c>
      <c r="C65" s="394" t="s">
        <v>3964</v>
      </c>
      <c r="D65" s="830"/>
      <c r="E65" s="830"/>
      <c r="F65" s="833"/>
      <c r="G65" s="836"/>
      <c r="H65" s="1335" t="s">
        <v>3990</v>
      </c>
      <c r="I65" s="1336"/>
      <c r="K65" s="887" t="s">
        <v>2627</v>
      </c>
      <c r="L65" s="887"/>
      <c r="N65" s="1292" t="s">
        <v>3989</v>
      </c>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2865</v>
      </c>
      <c r="C67" s="461" t="s">
        <v>1985</v>
      </c>
      <c r="D67" s="833"/>
      <c r="E67" s="477"/>
      <c r="G67" s="479" t="s">
        <v>1282</v>
      </c>
      <c r="H67" s="1334">
        <v>6</v>
      </c>
      <c r="K67" s="887" t="s">
        <v>755</v>
      </c>
      <c r="L67" s="887"/>
      <c r="P67" s="480">
        <f>IF('Part VI-Revenues &amp; Expenses'!$M$62=0,0,$H67/'Part VI-Revenues &amp; Expenses'!$M$62)</f>
        <v>5.6603773584905662E-2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2711</v>
      </c>
      <c r="D69" s="477"/>
      <c r="E69" s="477"/>
      <c r="G69" s="479" t="s">
        <v>1282</v>
      </c>
      <c r="H69" s="1334">
        <v>3</v>
      </c>
      <c r="K69" s="887" t="s">
        <v>755</v>
      </c>
      <c r="L69" s="887"/>
      <c r="P69" s="480">
        <f>IF('Part VI-Revenues &amp; Expenses'!$M$62=0,0,$H69/'Part VI-Revenues &amp; Expenses'!$M$62)</f>
        <v>2.8301886792452831E-2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3004</v>
      </c>
      <c r="C71" s="461" t="s">
        <v>1847</v>
      </c>
      <c r="D71" s="477"/>
      <c r="E71" s="477"/>
      <c r="G71" s="479" t="s">
        <v>1848</v>
      </c>
      <c r="H71" s="1334">
        <v>0</v>
      </c>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3349</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2862</v>
      </c>
      <c r="C75" s="394" t="s">
        <v>3348</v>
      </c>
      <c r="D75" s="829"/>
      <c r="E75" s="829"/>
      <c r="F75" s="829"/>
      <c r="H75" s="1337" t="s">
        <v>1359</v>
      </c>
      <c r="I75" s="1338"/>
      <c r="J75" s="1339"/>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2865</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2926</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3975</v>
      </c>
      <c r="F81" s="477" t="s">
        <v>3638</v>
      </c>
      <c r="H81" s="1306" t="s">
        <v>3976</v>
      </c>
      <c r="I81" s="827" t="s">
        <v>3637</v>
      </c>
      <c r="K81" s="1306" t="s">
        <v>3976</v>
      </c>
      <c r="L81" s="449" t="s">
        <v>339</v>
      </c>
    </row>
    <row r="82" spans="1:16" s="449" customFormat="1" ht="13.15" customHeight="1">
      <c r="A82" s="844"/>
      <c r="B82" s="844"/>
      <c r="D82" s="470"/>
      <c r="E82" s="1306" t="s">
        <v>3975</v>
      </c>
      <c r="F82" s="827" t="s">
        <v>611</v>
      </c>
      <c r="H82" s="1306" t="s">
        <v>3976</v>
      </c>
      <c r="I82" s="829" t="s">
        <v>3024</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40"/>
      <c r="P86" s="1341"/>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2"/>
      <c r="G88" s="1343"/>
      <c r="H88" s="828" t="s">
        <v>2655</v>
      </c>
      <c r="I88" s="1306"/>
      <c r="J88" s="483" t="s">
        <v>3137</v>
      </c>
      <c r="K88" s="1303"/>
      <c r="L88" s="1343"/>
      <c r="M88" s="416"/>
      <c r="N88" s="416"/>
      <c r="O88" s="416"/>
      <c r="P88" s="416"/>
    </row>
    <row r="89" spans="1:16" s="449" customFormat="1" ht="13.15" customHeight="1">
      <c r="C89" s="449" t="s">
        <v>3088</v>
      </c>
      <c r="E89" s="1292"/>
      <c r="F89" s="1342"/>
      <c r="G89" s="1343"/>
      <c r="H89" s="836" t="s">
        <v>2859</v>
      </c>
      <c r="I89" s="1292"/>
      <c r="J89" s="1342"/>
      <c r="K89" s="1343"/>
      <c r="L89" s="846" t="s">
        <v>2863</v>
      </c>
      <c r="M89" s="1292"/>
      <c r="N89" s="1342"/>
      <c r="O89" s="1342"/>
      <c r="P89" s="1343"/>
    </row>
    <row r="90" spans="1:16" s="449" customFormat="1" ht="13.15" customHeight="1">
      <c r="C90" s="455" t="s">
        <v>3087</v>
      </c>
      <c r="E90" s="1300"/>
      <c r="F90" s="1305"/>
      <c r="G90" s="1301"/>
      <c r="H90" s="836" t="s">
        <v>2658</v>
      </c>
      <c r="I90" s="1344"/>
      <c r="J90" s="1343"/>
      <c r="K90" s="483" t="s">
        <v>2659</v>
      </c>
      <c r="L90" s="1344"/>
      <c r="M90" s="1343"/>
      <c r="N90" s="483" t="s">
        <v>2858</v>
      </c>
      <c r="O90" s="1344"/>
      <c r="P90" s="1343"/>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2862</v>
      </c>
      <c r="C96" s="830" t="s">
        <v>1986</v>
      </c>
      <c r="D96" s="829"/>
      <c r="E96" s="829"/>
      <c r="F96" s="836"/>
      <c r="G96" s="836"/>
      <c r="H96" s="1345">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2865</v>
      </c>
      <c r="C98" s="830" t="s">
        <v>493</v>
      </c>
      <c r="D98" s="829"/>
      <c r="E98" s="829"/>
      <c r="F98" s="836"/>
      <c r="G98" s="836"/>
      <c r="H98" s="1346">
        <v>1700000</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1652</v>
      </c>
      <c r="G101" s="836"/>
      <c r="H101" s="836"/>
      <c r="I101" s="836"/>
      <c r="J101" s="829" t="s">
        <v>3025</v>
      </c>
      <c r="K101" s="829"/>
      <c r="M101" s="829" t="s">
        <v>1652</v>
      </c>
      <c r="N101" s="836"/>
      <c r="O101" s="836"/>
      <c r="P101" s="836"/>
    </row>
    <row r="102" spans="1:16" s="449" customFormat="1" ht="13.15" customHeight="1">
      <c r="A102" s="844"/>
      <c r="B102" s="844"/>
      <c r="C102" s="1347" t="s">
        <v>3992</v>
      </c>
      <c r="D102" s="1348"/>
      <c r="E102" s="1348"/>
      <c r="F102" s="1348" t="s">
        <v>3991</v>
      </c>
      <c r="G102" s="1348"/>
      <c r="H102" s="1348"/>
      <c r="I102" s="1349"/>
      <c r="J102" s="1347">
        <v>8</v>
      </c>
      <c r="K102" s="1348"/>
      <c r="L102" s="1348"/>
      <c r="M102" s="1348"/>
      <c r="N102" s="1348"/>
      <c r="O102" s="1348"/>
      <c r="P102" s="1349"/>
    </row>
    <row r="103" spans="1:16" s="449" customFormat="1" ht="13.15" customHeight="1">
      <c r="A103" s="844"/>
      <c r="B103" s="844"/>
      <c r="C103" s="1350" t="s">
        <v>3993</v>
      </c>
      <c r="D103" s="1351"/>
      <c r="E103" s="1351"/>
      <c r="F103" s="1351" t="s">
        <v>3991</v>
      </c>
      <c r="G103" s="1351"/>
      <c r="H103" s="1351"/>
      <c r="I103" s="1352"/>
      <c r="J103" s="1350">
        <v>9</v>
      </c>
      <c r="K103" s="1351"/>
      <c r="L103" s="1351"/>
      <c r="M103" s="1351"/>
      <c r="N103" s="1351"/>
      <c r="O103" s="1351"/>
      <c r="P103" s="1352"/>
    </row>
    <row r="104" spans="1:16" s="449" customFormat="1" ht="13.15" customHeight="1">
      <c r="A104" s="844"/>
      <c r="B104" s="844"/>
      <c r="C104" s="1350" t="s">
        <v>3994</v>
      </c>
      <c r="D104" s="1351"/>
      <c r="E104" s="1351"/>
      <c r="F104" s="1351" t="s">
        <v>3991</v>
      </c>
      <c r="G104" s="1351"/>
      <c r="H104" s="1351"/>
      <c r="I104" s="1352"/>
      <c r="J104" s="1350">
        <v>10</v>
      </c>
      <c r="K104" s="1351"/>
      <c r="L104" s="1351"/>
      <c r="M104" s="1351"/>
      <c r="N104" s="1351"/>
      <c r="O104" s="1351"/>
      <c r="P104" s="1352"/>
    </row>
    <row r="105" spans="1:16" s="449" customFormat="1" ht="13.15" customHeight="1">
      <c r="A105" s="844"/>
      <c r="B105" s="844"/>
      <c r="C105" s="1350" t="s">
        <v>3995</v>
      </c>
      <c r="D105" s="1351"/>
      <c r="E105" s="1351"/>
      <c r="F105" s="1351" t="s">
        <v>3991</v>
      </c>
      <c r="G105" s="1351"/>
      <c r="H105" s="1351"/>
      <c r="I105" s="1352"/>
      <c r="J105" s="1350">
        <v>11</v>
      </c>
      <c r="K105" s="1351"/>
      <c r="L105" s="1351"/>
      <c r="M105" s="1351"/>
      <c r="N105" s="1351"/>
      <c r="O105" s="1351"/>
      <c r="P105" s="1352"/>
    </row>
    <row r="106" spans="1:16" s="449" customFormat="1" ht="13.15" customHeight="1">
      <c r="A106" s="844"/>
      <c r="B106" s="844"/>
      <c r="C106" s="1350" t="s">
        <v>3996</v>
      </c>
      <c r="D106" s="1351"/>
      <c r="E106" s="1351"/>
      <c r="F106" s="1351" t="s">
        <v>3991</v>
      </c>
      <c r="G106" s="1351"/>
      <c r="H106" s="1351"/>
      <c r="I106" s="1352"/>
      <c r="J106" s="1350">
        <v>12</v>
      </c>
      <c r="K106" s="1351"/>
      <c r="L106" s="1351"/>
      <c r="M106" s="1351"/>
      <c r="N106" s="1351"/>
      <c r="O106" s="1351"/>
      <c r="P106" s="1352"/>
    </row>
    <row r="107" spans="1:16" s="449" customFormat="1" ht="13.15" customHeight="1">
      <c r="A107" s="844"/>
      <c r="B107" s="844"/>
      <c r="C107" s="1350" t="s">
        <v>3997</v>
      </c>
      <c r="D107" s="1351"/>
      <c r="E107" s="1351"/>
      <c r="F107" s="1351" t="s">
        <v>3991</v>
      </c>
      <c r="G107" s="1351"/>
      <c r="H107" s="1351"/>
      <c r="I107" s="1352"/>
      <c r="J107" s="1350">
        <v>13</v>
      </c>
      <c r="K107" s="1351"/>
      <c r="L107" s="1351"/>
      <c r="M107" s="1351"/>
      <c r="N107" s="1351"/>
      <c r="O107" s="1351"/>
      <c r="P107" s="1352"/>
    </row>
    <row r="108" spans="1:16" s="449" customFormat="1" ht="13.15" customHeight="1">
      <c r="A108" s="844"/>
      <c r="B108" s="844"/>
      <c r="C108" s="1353">
        <v>7</v>
      </c>
      <c r="D108" s="1354"/>
      <c r="E108" s="1354"/>
      <c r="F108" s="1354"/>
      <c r="G108" s="1354"/>
      <c r="H108" s="1354"/>
      <c r="I108" s="1355"/>
      <c r="J108" s="1353">
        <v>14</v>
      </c>
      <c r="K108" s="1354"/>
      <c r="L108" s="1354"/>
      <c r="M108" s="1354"/>
      <c r="N108" s="1354"/>
      <c r="O108" s="1354"/>
      <c r="P108" s="1355"/>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3004</v>
      </c>
      <c r="C110" s="914" t="s">
        <v>2718</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1652</v>
      </c>
      <c r="G112" s="836"/>
      <c r="H112" s="836"/>
      <c r="I112" s="836"/>
      <c r="J112" s="829" t="s">
        <v>3025</v>
      </c>
      <c r="K112" s="829"/>
      <c r="M112" s="829" t="s">
        <v>1652</v>
      </c>
      <c r="N112" s="836"/>
      <c r="O112" s="836"/>
      <c r="P112" s="836"/>
    </row>
    <row r="113" spans="1:16" s="449" customFormat="1" ht="13.15" customHeight="1">
      <c r="A113" s="844"/>
      <c r="B113" s="844"/>
      <c r="C113" s="1347">
        <v>1</v>
      </c>
      <c r="D113" s="1348"/>
      <c r="E113" s="1348"/>
      <c r="F113" s="1348"/>
      <c r="G113" s="1348"/>
      <c r="H113" s="1348"/>
      <c r="I113" s="1349"/>
      <c r="J113" s="1347">
        <v>8</v>
      </c>
      <c r="K113" s="1348"/>
      <c r="L113" s="1348"/>
      <c r="M113" s="1348"/>
      <c r="N113" s="1348"/>
      <c r="O113" s="1348"/>
      <c r="P113" s="1349"/>
    </row>
    <row r="114" spans="1:16" s="449" customFormat="1" ht="13.15" customHeight="1">
      <c r="A114" s="844"/>
      <c r="B114" s="844"/>
      <c r="C114" s="1350">
        <v>2</v>
      </c>
      <c r="D114" s="1351"/>
      <c r="E114" s="1351"/>
      <c r="F114" s="1351"/>
      <c r="G114" s="1351"/>
      <c r="H114" s="1351"/>
      <c r="I114" s="1352"/>
      <c r="J114" s="1350">
        <v>9</v>
      </c>
      <c r="K114" s="1351"/>
      <c r="L114" s="1351"/>
      <c r="M114" s="1351"/>
      <c r="N114" s="1351"/>
      <c r="O114" s="1351"/>
      <c r="P114" s="1352"/>
    </row>
    <row r="115" spans="1:16" s="449" customFormat="1" ht="13.15" customHeight="1">
      <c r="A115" s="844"/>
      <c r="B115" s="844"/>
      <c r="C115" s="1350">
        <v>3</v>
      </c>
      <c r="D115" s="1351"/>
      <c r="E115" s="1351"/>
      <c r="F115" s="1351"/>
      <c r="G115" s="1351"/>
      <c r="H115" s="1351"/>
      <c r="I115" s="1352"/>
      <c r="J115" s="1350">
        <v>10</v>
      </c>
      <c r="K115" s="1351"/>
      <c r="L115" s="1351"/>
      <c r="M115" s="1351"/>
      <c r="N115" s="1351"/>
      <c r="O115" s="1351"/>
      <c r="P115" s="1352"/>
    </row>
    <row r="116" spans="1:16" s="449" customFormat="1" ht="13.15" customHeight="1">
      <c r="A116" s="844"/>
      <c r="B116" s="844"/>
      <c r="C116" s="1350">
        <v>4</v>
      </c>
      <c r="D116" s="1351"/>
      <c r="E116" s="1351"/>
      <c r="F116" s="1351"/>
      <c r="G116" s="1351"/>
      <c r="H116" s="1351"/>
      <c r="I116" s="1352"/>
      <c r="J116" s="1350">
        <v>11</v>
      </c>
      <c r="K116" s="1351"/>
      <c r="L116" s="1351"/>
      <c r="M116" s="1351"/>
      <c r="N116" s="1351"/>
      <c r="O116" s="1351"/>
      <c r="P116" s="1352"/>
    </row>
    <row r="117" spans="1:16" s="449" customFormat="1" ht="13.15" customHeight="1">
      <c r="A117" s="844"/>
      <c r="B117" s="844"/>
      <c r="C117" s="1350">
        <v>5</v>
      </c>
      <c r="D117" s="1351"/>
      <c r="E117" s="1351"/>
      <c r="F117" s="1351"/>
      <c r="G117" s="1351"/>
      <c r="H117" s="1351"/>
      <c r="I117" s="1352"/>
      <c r="J117" s="1350">
        <v>12</v>
      </c>
      <c r="K117" s="1351"/>
      <c r="L117" s="1351"/>
      <c r="M117" s="1351"/>
      <c r="N117" s="1351"/>
      <c r="O117" s="1351"/>
      <c r="P117" s="1352"/>
    </row>
    <row r="118" spans="1:16" s="449" customFormat="1" ht="13.15" customHeight="1">
      <c r="A118" s="844"/>
      <c r="B118" s="844"/>
      <c r="C118" s="1350">
        <v>6</v>
      </c>
      <c r="D118" s="1351"/>
      <c r="E118" s="1351"/>
      <c r="F118" s="1351"/>
      <c r="G118" s="1351"/>
      <c r="H118" s="1351"/>
      <c r="I118" s="1352"/>
      <c r="J118" s="1350">
        <v>13</v>
      </c>
      <c r="K118" s="1351"/>
      <c r="L118" s="1351"/>
      <c r="M118" s="1351"/>
      <c r="N118" s="1351"/>
      <c r="O118" s="1351"/>
      <c r="P118" s="1352"/>
    </row>
    <row r="119" spans="1:16" s="449" customFormat="1" ht="13.15" customHeight="1">
      <c r="A119" s="844"/>
      <c r="B119" s="844"/>
      <c r="C119" s="1353">
        <v>7</v>
      </c>
      <c r="D119" s="1354"/>
      <c r="E119" s="1354"/>
      <c r="F119" s="1354"/>
      <c r="G119" s="1354"/>
      <c r="H119" s="1354"/>
      <c r="I119" s="1355"/>
      <c r="J119" s="1353">
        <v>14</v>
      </c>
      <c r="K119" s="1354"/>
      <c r="L119" s="1354"/>
      <c r="M119" s="1354"/>
      <c r="N119" s="1354"/>
      <c r="O119" s="1354"/>
      <c r="P119" s="1355"/>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3401</v>
      </c>
      <c r="D121" s="478"/>
      <c r="E121" s="478"/>
      <c r="F121" s="478"/>
      <c r="H121" s="1306" t="s">
        <v>3975</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2862</v>
      </c>
      <c r="C123" s="456" t="s">
        <v>2560</v>
      </c>
      <c r="H123" s="1306" t="s">
        <v>3976</v>
      </c>
      <c r="M123" s="836"/>
      <c r="N123" s="833"/>
      <c r="O123" s="833"/>
      <c r="P123" s="460"/>
    </row>
    <row r="124" spans="1:16" s="449" customFormat="1" ht="13.15" customHeight="1">
      <c r="A124" s="844"/>
      <c r="B124" s="844"/>
      <c r="C124" s="829" t="s">
        <v>3403</v>
      </c>
      <c r="D124" s="829"/>
      <c r="E124" s="829"/>
      <c r="F124" s="836"/>
      <c r="H124" s="1356"/>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3404</v>
      </c>
      <c r="D126" s="829"/>
      <c r="E126" s="829"/>
      <c r="F126" s="836"/>
      <c r="H126" s="1356"/>
      <c r="K126" s="416" t="s">
        <v>3156</v>
      </c>
      <c r="O126" s="1292" t="s">
        <v>671</v>
      </c>
      <c r="P126" s="1294"/>
    </row>
    <row r="127" spans="1:16" s="449" customFormat="1" ht="13.15" customHeight="1">
      <c r="A127" s="844"/>
      <c r="B127" s="844"/>
      <c r="C127" s="829" t="s">
        <v>3402</v>
      </c>
      <c r="F127" s="836"/>
      <c r="H127" s="1345"/>
      <c r="K127" s="416" t="s">
        <v>3157</v>
      </c>
      <c r="O127" s="1292" t="s">
        <v>671</v>
      </c>
      <c r="P127" s="1294"/>
    </row>
    <row r="128" spans="1:16" s="449" customFormat="1" ht="13.15" customHeight="1">
      <c r="A128" s="844"/>
      <c r="B128" s="844"/>
      <c r="C128" s="829" t="s">
        <v>3059</v>
      </c>
      <c r="D128" s="829"/>
      <c r="E128" s="829"/>
      <c r="F128" s="836"/>
      <c r="H128" s="1340"/>
      <c r="I128" s="1341"/>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2865</v>
      </c>
      <c r="C130" s="830" t="s">
        <v>3496</v>
      </c>
      <c r="D130" s="829"/>
      <c r="E130" s="829"/>
      <c r="F130" s="836"/>
      <c r="H130" s="1345" t="s">
        <v>3976</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5" t="s">
        <v>3976</v>
      </c>
      <c r="K133" s="829" t="s">
        <v>2136</v>
      </c>
      <c r="L133" s="829"/>
      <c r="M133" s="836"/>
      <c r="N133" s="836"/>
      <c r="O133" s="1345" t="s">
        <v>3975</v>
      </c>
      <c r="P133" s="460"/>
    </row>
    <row r="134" spans="1:16" s="449" customFormat="1" ht="13.15" customHeight="1">
      <c r="A134" s="844"/>
      <c r="B134" s="844"/>
      <c r="C134" s="829" t="s">
        <v>999</v>
      </c>
      <c r="D134" s="829"/>
      <c r="E134" s="829"/>
      <c r="F134" s="836"/>
      <c r="G134" s="836"/>
      <c r="H134" s="1345" t="s">
        <v>3976</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2862</v>
      </c>
      <c r="C138" s="469" t="s">
        <v>2687</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5" t="s">
        <v>3975</v>
      </c>
      <c r="N139" s="833"/>
      <c r="O139" s="833"/>
      <c r="P139" s="460"/>
    </row>
    <row r="140" spans="1:16" s="449" customFormat="1" ht="12.6" customHeight="1">
      <c r="A140" s="844"/>
      <c r="B140" s="844"/>
      <c r="C140" s="449" t="s">
        <v>872</v>
      </c>
      <c r="K140" s="1334">
        <v>32</v>
      </c>
      <c r="L140" s="455" t="s">
        <v>2651</v>
      </c>
      <c r="P140" s="487">
        <f>IF('Part VI-Revenues &amp; Expenses'!$M$60=0,0,$K140/'Part VI-Revenues &amp; Expenses'!$M$60)</f>
        <v>0.30188679245283018</v>
      </c>
    </row>
    <row r="141" spans="1:16" s="449" customFormat="1" ht="12.6" customHeight="1">
      <c r="A141" s="844"/>
      <c r="B141" s="844"/>
      <c r="C141" s="449" t="s">
        <v>3060</v>
      </c>
      <c r="K141" s="1334"/>
      <c r="L141" s="455" t="s">
        <v>2651</v>
      </c>
      <c r="P141" s="487">
        <f>IF('Part VI-Revenues &amp; Expenses'!$M$60=0,0,$K141/'Part VI-Revenues &amp; Expenses'!$M$60)</f>
        <v>0</v>
      </c>
    </row>
    <row r="142" spans="1:16" s="449" customFormat="1" ht="12.6" customHeight="1">
      <c r="A142" s="844"/>
      <c r="B142" s="844"/>
      <c r="C142" s="449" t="s">
        <v>2652</v>
      </c>
      <c r="E142" s="1292" t="s">
        <v>3998</v>
      </c>
      <c r="F142" s="1293"/>
      <c r="G142" s="1293"/>
      <c r="H142" s="1293"/>
      <c r="I142" s="1293"/>
      <c r="J142" s="1293"/>
      <c r="K142" s="1294"/>
      <c r="L142" s="488" t="s">
        <v>2653</v>
      </c>
      <c r="M142" s="1292" t="s">
        <v>3999</v>
      </c>
      <c r="N142" s="1293"/>
      <c r="O142" s="1293"/>
      <c r="P142" s="1294"/>
    </row>
    <row r="143" spans="1:16" s="449" customFormat="1" ht="12.6" customHeight="1">
      <c r="A143" s="844"/>
      <c r="B143" s="844"/>
      <c r="C143" s="455" t="s">
        <v>2654</v>
      </c>
      <c r="D143" s="463"/>
      <c r="E143" s="1292" t="s">
        <v>4000</v>
      </c>
      <c r="F143" s="1293"/>
      <c r="G143" s="1293"/>
      <c r="H143" s="1293"/>
      <c r="I143" s="1293"/>
      <c r="J143" s="1293"/>
      <c r="K143" s="1357"/>
      <c r="L143" s="827" t="s">
        <v>2656</v>
      </c>
      <c r="M143" s="1307" t="s">
        <v>4001</v>
      </c>
      <c r="N143" s="1308"/>
      <c r="O143" s="1308"/>
      <c r="P143" s="1309"/>
    </row>
    <row r="144" spans="1:16" s="449" customFormat="1" ht="12.6" customHeight="1">
      <c r="A144" s="844"/>
      <c r="B144" s="844"/>
      <c r="C144" s="455" t="s">
        <v>876</v>
      </c>
      <c r="E144" s="1292" t="s">
        <v>1897</v>
      </c>
      <c r="F144" s="1293"/>
      <c r="G144" s="1293"/>
      <c r="H144" s="1294"/>
      <c r="I144" s="483" t="s">
        <v>3137</v>
      </c>
      <c r="J144" s="1303">
        <v>309012644</v>
      </c>
      <c r="K144" s="1304"/>
      <c r="L144" s="488" t="s">
        <v>2659</v>
      </c>
      <c r="M144" s="1300">
        <v>7063123158</v>
      </c>
      <c r="N144" s="1305"/>
      <c r="O144" s="1301"/>
    </row>
    <row r="145" spans="1:16" s="449" customFormat="1" ht="12.6" customHeight="1">
      <c r="A145" s="844"/>
      <c r="B145" s="844"/>
      <c r="C145" s="455" t="s">
        <v>2657</v>
      </c>
      <c r="E145" s="1358">
        <v>7063123158</v>
      </c>
      <c r="F145" s="1359"/>
      <c r="G145" s="1360"/>
      <c r="H145" s="489" t="s">
        <v>2658</v>
      </c>
      <c r="I145" s="1300">
        <v>7067243935</v>
      </c>
      <c r="J145" s="1305"/>
      <c r="K145" s="1301"/>
      <c r="L145" s="490" t="s">
        <v>2858</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2865</v>
      </c>
      <c r="C147" s="830" t="s">
        <v>2219</v>
      </c>
      <c r="D147" s="830"/>
      <c r="E147" s="830"/>
      <c r="F147" s="830"/>
      <c r="G147" s="830"/>
      <c r="I147" s="1345" t="s">
        <v>3976</v>
      </c>
      <c r="J147" s="912" t="s">
        <v>1158</v>
      </c>
      <c r="K147" s="913"/>
      <c r="L147" s="1345"/>
      <c r="M147" s="909" t="s">
        <v>3246</v>
      </c>
      <c r="N147" s="910"/>
      <c r="O147" s="911"/>
      <c r="P147" s="1356"/>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5" t="s">
        <v>3976</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3004</v>
      </c>
      <c r="C151" s="892" t="s">
        <v>2857</v>
      </c>
      <c r="D151" s="892"/>
      <c r="E151" s="892"/>
      <c r="F151" s="892"/>
      <c r="G151" s="830"/>
      <c r="H151" s="1345" t="s">
        <v>3976</v>
      </c>
    </row>
    <row r="152" spans="1:16" s="449" customFormat="1" ht="12.6" customHeight="1">
      <c r="B152" s="844"/>
      <c r="C152" s="891" t="s">
        <v>2067</v>
      </c>
      <c r="D152" s="891"/>
      <c r="E152" s="830"/>
      <c r="F152" s="830"/>
      <c r="G152" s="830"/>
      <c r="H152" s="1361"/>
    </row>
    <row r="153" spans="1:16" s="449" customFormat="1" ht="12.6" customHeight="1">
      <c r="A153" s="844"/>
      <c r="B153" s="844"/>
      <c r="C153" s="887" t="s">
        <v>1283</v>
      </c>
      <c r="D153" s="887"/>
      <c r="E153" s="452"/>
      <c r="F153" s="830"/>
      <c r="G153" s="830"/>
      <c r="H153" s="1361"/>
      <c r="K153" s="459"/>
      <c r="P153" s="460"/>
    </row>
    <row r="154" spans="1:16" s="449" customFormat="1" ht="12.6" customHeight="1">
      <c r="B154" s="844"/>
      <c r="C154" s="887" t="s">
        <v>2647</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3112</v>
      </c>
      <c r="D157" s="461"/>
      <c r="E157" s="833"/>
      <c r="F157" s="833"/>
      <c r="H157" s="1345" t="s">
        <v>3976</v>
      </c>
      <c r="L157" s="833" t="s">
        <v>3906</v>
      </c>
      <c r="P157" s="1345" t="s">
        <v>3976</v>
      </c>
    </row>
    <row r="158" spans="1:16" s="449" customFormat="1" ht="12.6" customHeight="1">
      <c r="A158" s="844"/>
      <c r="B158" s="844"/>
      <c r="C158" s="833" t="s">
        <v>3114</v>
      </c>
      <c r="H158" s="1345" t="s">
        <v>3976</v>
      </c>
      <c r="L158" s="833" t="s">
        <v>2222</v>
      </c>
      <c r="P158" s="1345" t="s">
        <v>3976</v>
      </c>
    </row>
    <row r="159" spans="1:16" s="449" customFormat="1" ht="12.6" customHeight="1">
      <c r="A159" s="844"/>
      <c r="C159" s="833" t="s">
        <v>1849</v>
      </c>
      <c r="D159" s="495"/>
      <c r="H159" s="1345" t="s">
        <v>3976</v>
      </c>
      <c r="L159" s="833" t="s">
        <v>2387</v>
      </c>
      <c r="P159" s="1345" t="s">
        <v>3976</v>
      </c>
    </row>
    <row r="160" spans="1:16" s="449" customFormat="1" ht="12.6" customHeight="1">
      <c r="A160" s="844"/>
      <c r="B160" s="844"/>
      <c r="C160" s="833" t="s">
        <v>2221</v>
      </c>
      <c r="D160" s="461"/>
      <c r="E160" s="833"/>
      <c r="F160" s="833"/>
      <c r="H160" s="1345" t="s">
        <v>3975</v>
      </c>
      <c r="K160" s="461"/>
      <c r="L160" s="449" t="s">
        <v>3907</v>
      </c>
      <c r="M160" s="833"/>
      <c r="P160" s="1345" t="s">
        <v>3976</v>
      </c>
    </row>
    <row r="161" spans="1:21" s="449" customFormat="1" ht="12.6" customHeight="1">
      <c r="A161" s="844"/>
      <c r="B161" s="452"/>
      <c r="C161" s="833" t="s">
        <v>2139</v>
      </c>
      <c r="D161" s="461"/>
      <c r="H161" s="1345" t="s">
        <v>3976</v>
      </c>
      <c r="L161" s="833" t="s">
        <v>3953</v>
      </c>
      <c r="M161" s="833"/>
      <c r="P161" s="1345" t="s">
        <v>3976</v>
      </c>
    </row>
    <row r="162" spans="1:21" s="449" customFormat="1" ht="12.6" customHeight="1">
      <c r="A162" s="844"/>
      <c r="B162" s="844"/>
      <c r="C162" s="833" t="s">
        <v>2668</v>
      </c>
      <c r="D162" s="461"/>
      <c r="E162" s="833"/>
      <c r="F162" s="833"/>
      <c r="H162" s="1345" t="s">
        <v>3976</v>
      </c>
      <c r="I162" s="494" t="s">
        <v>3700</v>
      </c>
      <c r="O162" s="1362"/>
      <c r="P162" s="1363"/>
    </row>
    <row r="163" spans="1:21" s="449" customFormat="1" ht="12.6" customHeight="1">
      <c r="A163" s="844"/>
      <c r="B163" s="844"/>
      <c r="C163" s="833" t="s">
        <v>3955</v>
      </c>
      <c r="E163" s="1335" t="s">
        <v>4002</v>
      </c>
      <c r="F163" s="1364"/>
      <c r="G163" s="1336"/>
      <c r="H163" s="1345" t="s">
        <v>3975</v>
      </c>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40"/>
      <c r="I166" s="1341"/>
      <c r="N166" s="833"/>
      <c r="O166" s="833"/>
      <c r="P166" s="460"/>
    </row>
    <row r="167" spans="1:21" s="449" customFormat="1" ht="12.6" customHeight="1">
      <c r="A167" s="844"/>
      <c r="B167" s="844"/>
      <c r="C167" s="455" t="s">
        <v>341</v>
      </c>
      <c r="D167" s="829"/>
      <c r="E167" s="829"/>
      <c r="F167" s="836"/>
      <c r="G167" s="836"/>
      <c r="H167" s="1340"/>
      <c r="I167" s="1341"/>
      <c r="N167" s="833"/>
      <c r="O167" s="833"/>
      <c r="P167" s="460"/>
    </row>
    <row r="168" spans="1:21" s="449" customFormat="1" ht="12.6" customHeight="1">
      <c r="A168" s="844"/>
      <c r="B168" s="844"/>
      <c r="C168" s="455" t="s">
        <v>3212</v>
      </c>
      <c r="D168" s="829"/>
      <c r="E168" s="829"/>
      <c r="F168" s="836"/>
      <c r="G168" s="836"/>
      <c r="H168" s="1340">
        <v>41912</v>
      </c>
      <c r="I168" s="1341"/>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51" customHeight="1">
      <c r="A171" s="1365" t="s">
        <v>4093</v>
      </c>
      <c r="B171" s="1366"/>
      <c r="C171" s="1366"/>
      <c r="D171" s="1366"/>
      <c r="E171" s="1366"/>
      <c r="F171" s="1366"/>
      <c r="G171" s="1366"/>
      <c r="H171" s="1366"/>
      <c r="I171" s="1366"/>
      <c r="J171" s="1367"/>
      <c r="K171" s="1368"/>
      <c r="L171" s="1369"/>
      <c r="M171" s="1369"/>
      <c r="N171" s="1369"/>
      <c r="O171" s="1369"/>
      <c r="P171" s="1370"/>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2968</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2976</v>
      </c>
      <c r="K188" s="614"/>
      <c r="L188" s="609"/>
      <c r="M188" s="610"/>
      <c r="N188" s="615" t="s">
        <v>2975</v>
      </c>
      <c r="O188" s="615" t="s">
        <v>1884</v>
      </c>
      <c r="P188" s="497" t="s">
        <v>2231</v>
      </c>
      <c r="Q188" s="1371"/>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2841</v>
      </c>
      <c r="K189" s="616"/>
      <c r="L189" s="609"/>
      <c r="M189" s="610"/>
      <c r="N189" s="615" t="s">
        <v>2637</v>
      </c>
      <c r="O189" s="615" t="s">
        <v>1450</v>
      </c>
      <c r="P189" s="497" t="s">
        <v>2232</v>
      </c>
      <c r="Q189" s="1371"/>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2842</v>
      </c>
      <c r="O190" s="615" t="s">
        <v>595</v>
      </c>
      <c r="P190" s="497" t="s">
        <v>2233</v>
      </c>
      <c r="Q190" s="1371"/>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71"/>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71"/>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71"/>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71"/>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71"/>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71"/>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71"/>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2719</v>
      </c>
      <c r="O198" s="615" t="s">
        <v>3071</v>
      </c>
      <c r="P198" s="497" t="s">
        <v>2241</v>
      </c>
      <c r="Q198" s="1371"/>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71"/>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71"/>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71"/>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71"/>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71"/>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71"/>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71"/>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2794</v>
      </c>
      <c r="P206" s="497" t="s">
        <v>2249</v>
      </c>
      <c r="Q206" s="1371"/>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72"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71"/>
      <c r="S208" s="596"/>
      <c r="T208" s="596"/>
      <c r="U208" s="596"/>
      <c r="V208" s="596"/>
      <c r="W208" s="596"/>
      <c r="X208" s="596"/>
      <c r="Y208" s="596"/>
      <c r="Z208" s="596"/>
      <c r="AA208" s="596"/>
    </row>
    <row r="209" spans="2:27" ht="12" customHeight="1">
      <c r="B209" s="761" t="s">
        <v>1912</v>
      </c>
      <c r="C209" s="761" t="s">
        <v>202</v>
      </c>
      <c r="D209" s="761" t="s">
        <v>1902</v>
      </c>
      <c r="E209" s="762" t="s">
        <v>2928</v>
      </c>
      <c r="F209" s="762" t="s">
        <v>3657</v>
      </c>
      <c r="G209" s="763" t="s">
        <v>879</v>
      </c>
      <c r="H209" s="764" t="s">
        <v>501</v>
      </c>
      <c r="I209" s="680"/>
      <c r="J209" s="613" t="s">
        <v>495</v>
      </c>
      <c r="K209" s="614"/>
      <c r="L209" s="497"/>
      <c r="M209" s="610"/>
      <c r="N209" s="615" t="s">
        <v>1262</v>
      </c>
      <c r="O209" s="615" t="s">
        <v>235</v>
      </c>
      <c r="P209" s="497" t="s">
        <v>2251</v>
      </c>
      <c r="Q209" s="1371"/>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2959</v>
      </c>
      <c r="O210" s="615" t="s">
        <v>1880</v>
      </c>
      <c r="P210" s="497" t="s">
        <v>2252</v>
      </c>
      <c r="Q210" s="1371"/>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72"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2960</v>
      </c>
      <c r="K212" s="616"/>
      <c r="L212" s="609"/>
      <c r="M212" s="610"/>
      <c r="N212" s="615" t="s">
        <v>2962</v>
      </c>
      <c r="O212" s="615" t="s">
        <v>3490</v>
      </c>
      <c r="P212" s="497" t="s">
        <v>2253</v>
      </c>
      <c r="Q212" s="1371"/>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2961</v>
      </c>
      <c r="K213" s="616"/>
      <c r="L213" s="609"/>
      <c r="M213" s="610"/>
      <c r="N213" s="615" t="s">
        <v>2879</v>
      </c>
      <c r="O213" s="615" t="s">
        <v>3067</v>
      </c>
      <c r="P213" s="497" t="s">
        <v>2254</v>
      </c>
      <c r="Q213" s="1371"/>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2963</v>
      </c>
      <c r="K214" s="616"/>
      <c r="L214" s="609"/>
      <c r="M214" s="610"/>
      <c r="N214" s="615" t="s">
        <v>2964</v>
      </c>
      <c r="O214" s="615" t="s">
        <v>397</v>
      </c>
      <c r="P214" s="497" t="s">
        <v>2255</v>
      </c>
      <c r="Q214" s="1371"/>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2995</v>
      </c>
      <c r="K215" s="616"/>
      <c r="L215" s="609"/>
      <c r="M215" s="610"/>
      <c r="N215" s="615" t="s">
        <v>2996</v>
      </c>
      <c r="O215" s="615" t="s">
        <v>887</v>
      </c>
      <c r="P215" s="497" t="s">
        <v>2256</v>
      </c>
      <c r="Q215" s="1371"/>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2997</v>
      </c>
      <c r="K216" s="616"/>
      <c r="L216" s="609"/>
      <c r="M216" s="610"/>
      <c r="N216" s="615" t="s">
        <v>2998</v>
      </c>
      <c r="O216" s="615" t="s">
        <v>2384</v>
      </c>
      <c r="P216" s="497" t="s">
        <v>2257</v>
      </c>
      <c r="Q216" s="1371"/>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2999</v>
      </c>
      <c r="K217" s="616"/>
      <c r="L217" s="609"/>
      <c r="M217" s="610"/>
      <c r="N217" s="615" t="s">
        <v>3000</v>
      </c>
      <c r="O217" s="615" t="s">
        <v>235</v>
      </c>
      <c r="P217" s="497" t="s">
        <v>2258</v>
      </c>
      <c r="Q217" s="1371"/>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3001</v>
      </c>
      <c r="K218" s="616"/>
      <c r="L218" s="609"/>
      <c r="M218" s="610"/>
      <c r="N218" s="615" t="s">
        <v>2638</v>
      </c>
      <c r="O218" s="615" t="s">
        <v>131</v>
      </c>
      <c r="P218" s="497" t="s">
        <v>2259</v>
      </c>
      <c r="Q218" s="1371"/>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71"/>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71"/>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2883</v>
      </c>
      <c r="K221" s="616"/>
      <c r="L221" s="609"/>
      <c r="M221" s="610"/>
      <c r="N221" s="615" t="s">
        <v>1881</v>
      </c>
      <c r="O221" s="615" t="s">
        <v>397</v>
      </c>
      <c r="P221" s="497" t="s">
        <v>2262</v>
      </c>
      <c r="Q221" s="1371"/>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71"/>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71"/>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71"/>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2837</v>
      </c>
      <c r="H225" s="764" t="s">
        <v>500</v>
      </c>
      <c r="I225" s="680"/>
      <c r="J225" s="613" t="s">
        <v>3150</v>
      </c>
      <c r="K225" s="616"/>
      <c r="L225" s="609"/>
      <c r="M225" s="610"/>
      <c r="N225" s="497" t="s">
        <v>3590</v>
      </c>
      <c r="O225" s="497" t="s">
        <v>887</v>
      </c>
      <c r="P225" s="1373" t="s">
        <v>3031</v>
      </c>
      <c r="Q225" s="1371"/>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2838</v>
      </c>
      <c r="H226" s="764" t="s">
        <v>500</v>
      </c>
      <c r="I226" s="680"/>
      <c r="J226" s="613" t="s">
        <v>3182</v>
      </c>
      <c r="K226" s="616"/>
      <c r="L226" s="609"/>
      <c r="M226" s="610"/>
      <c r="N226" s="615" t="s">
        <v>3151</v>
      </c>
      <c r="O226" s="615" t="s">
        <v>130</v>
      </c>
      <c r="P226" s="497" t="s">
        <v>2266</v>
      </c>
      <c r="Q226" s="1371"/>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71"/>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71"/>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2839</v>
      </c>
      <c r="H229" s="764" t="s">
        <v>500</v>
      </c>
      <c r="I229" s="680"/>
      <c r="J229" s="613" t="s">
        <v>3050</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72"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71"/>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71"/>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73" t="s">
        <v>3031</v>
      </c>
      <c r="Q233" s="1371"/>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2797</v>
      </c>
      <c r="P234" s="497" t="s">
        <v>2272</v>
      </c>
      <c r="Q234" s="1371"/>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71"/>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71"/>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71"/>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71"/>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71"/>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71"/>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73" t="s">
        <v>3031</v>
      </c>
      <c r="Q241" s="1371"/>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71"/>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71"/>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71"/>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71"/>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71"/>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71"/>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71"/>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71"/>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71"/>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71"/>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71"/>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71"/>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71"/>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71"/>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71"/>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71"/>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71"/>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71"/>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71"/>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71"/>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71"/>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71"/>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71"/>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71"/>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71"/>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71"/>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71"/>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71"/>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71"/>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71"/>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71"/>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71"/>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71"/>
      <c r="S274" s="596"/>
      <c r="T274" s="596"/>
      <c r="U274" s="596"/>
      <c r="V274" s="596"/>
      <c r="W274" s="596"/>
      <c r="X274" s="596"/>
      <c r="Y274" s="596"/>
      <c r="Z274" s="596"/>
      <c r="AA274" s="596"/>
    </row>
    <row r="275" spans="2:27" ht="12" customHeight="1">
      <c r="B275" s="766"/>
      <c r="C275" s="761" t="s">
        <v>217</v>
      </c>
      <c r="D275" s="761" t="s">
        <v>1902</v>
      </c>
      <c r="E275" s="762" t="s">
        <v>2928</v>
      </c>
      <c r="F275" s="762" t="s">
        <v>3657</v>
      </c>
      <c r="G275" s="763" t="s">
        <v>879</v>
      </c>
      <c r="H275" s="764" t="s">
        <v>501</v>
      </c>
      <c r="I275" s="680"/>
      <c r="J275" s="613" t="s">
        <v>2600</v>
      </c>
      <c r="K275" s="614"/>
      <c r="L275" s="609"/>
      <c r="M275" s="610"/>
      <c r="N275" s="615" t="s">
        <v>1531</v>
      </c>
      <c r="O275" s="615" t="s">
        <v>924</v>
      </c>
      <c r="P275" s="497" t="s">
        <v>2312</v>
      </c>
      <c r="Q275" s="1371"/>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71"/>
      <c r="S276" s="596"/>
      <c r="T276" s="596"/>
      <c r="U276" s="596"/>
      <c r="V276" s="596"/>
      <c r="W276" s="596"/>
      <c r="X276" s="596"/>
      <c r="Y276" s="596"/>
      <c r="Z276" s="596"/>
      <c r="AA276" s="596"/>
    </row>
    <row r="277" spans="2:27" ht="12" customHeight="1">
      <c r="B277" s="766"/>
      <c r="C277" s="761" t="s">
        <v>2752</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71"/>
      <c r="S277" s="596"/>
      <c r="T277" s="596"/>
      <c r="U277" s="596"/>
      <c r="V277" s="596"/>
      <c r="W277" s="596"/>
      <c r="X277" s="596"/>
      <c r="Y277" s="596"/>
      <c r="Z277" s="596"/>
      <c r="AA277" s="596"/>
    </row>
    <row r="278" spans="2:27" ht="12" customHeight="1">
      <c r="B278" s="766"/>
      <c r="C278" s="761" t="s">
        <v>2753</v>
      </c>
      <c r="D278" s="761" t="s">
        <v>1749</v>
      </c>
      <c r="E278" s="762" t="s">
        <v>12</v>
      </c>
      <c r="F278" s="762" t="s">
        <v>3657</v>
      </c>
      <c r="G278" s="763" t="s">
        <v>3616</v>
      </c>
      <c r="H278" s="764" t="s">
        <v>501</v>
      </c>
      <c r="I278" s="680"/>
      <c r="J278" s="613" t="s">
        <v>282</v>
      </c>
      <c r="K278" s="614"/>
      <c r="L278" s="609"/>
      <c r="M278" s="610"/>
      <c r="N278" s="615" t="s">
        <v>2948</v>
      </c>
      <c r="O278" s="615" t="s">
        <v>389</v>
      </c>
      <c r="P278" s="497" t="s">
        <v>2315</v>
      </c>
      <c r="Q278" s="1371"/>
      <c r="S278" s="596"/>
      <c r="T278" s="596"/>
      <c r="U278" s="596"/>
      <c r="V278" s="596"/>
      <c r="W278" s="596"/>
      <c r="X278" s="596"/>
      <c r="Y278" s="596"/>
      <c r="Z278" s="596"/>
      <c r="AA278" s="596"/>
    </row>
    <row r="279" spans="2:27" ht="12" customHeight="1">
      <c r="B279" s="766"/>
      <c r="C279" s="761" t="s">
        <v>2754</v>
      </c>
      <c r="D279" s="761" t="s">
        <v>1902</v>
      </c>
      <c r="E279" s="765" t="s">
        <v>1249</v>
      </c>
      <c r="F279" s="765" t="s">
        <v>3657</v>
      </c>
      <c r="G279" s="763" t="s">
        <v>970</v>
      </c>
      <c r="H279" s="764" t="s">
        <v>501</v>
      </c>
      <c r="I279" s="681"/>
      <c r="J279" s="613" t="s">
        <v>284</v>
      </c>
      <c r="K279" s="614"/>
      <c r="L279" s="609"/>
      <c r="M279" s="610"/>
      <c r="N279" s="615" t="s">
        <v>2950</v>
      </c>
      <c r="O279" s="615" t="s">
        <v>387</v>
      </c>
      <c r="P279" s="497" t="s">
        <v>2316</v>
      </c>
      <c r="Q279" s="1371"/>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2952</v>
      </c>
      <c r="O280" s="615" t="s">
        <v>887</v>
      </c>
      <c r="P280" s="497" t="s">
        <v>2317</v>
      </c>
      <c r="Q280" s="1371"/>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2947</v>
      </c>
      <c r="K281" s="614"/>
      <c r="L281" s="609"/>
      <c r="M281" s="610"/>
      <c r="N281" s="615" t="s">
        <v>2954</v>
      </c>
      <c r="O281" s="615" t="s">
        <v>3623</v>
      </c>
      <c r="P281" s="497" t="s">
        <v>2318</v>
      </c>
      <c r="Q281" s="1371"/>
      <c r="S281" s="596"/>
      <c r="T281" s="596"/>
      <c r="U281" s="596"/>
      <c r="V281" s="596"/>
      <c r="W281" s="596"/>
      <c r="X281" s="596"/>
      <c r="Y281" s="596"/>
      <c r="Z281" s="596"/>
      <c r="AA281" s="596"/>
    </row>
    <row r="282" spans="2:27" ht="12" customHeight="1">
      <c r="B282" s="766"/>
      <c r="C282" s="761" t="s">
        <v>2386</v>
      </c>
      <c r="D282" s="761" t="s">
        <v>1902</v>
      </c>
      <c r="E282" s="765" t="s">
        <v>2927</v>
      </c>
      <c r="F282" s="765" t="s">
        <v>3657</v>
      </c>
      <c r="G282" s="763" t="s">
        <v>973</v>
      </c>
      <c r="H282" s="764" t="s">
        <v>501</v>
      </c>
      <c r="I282" s="681"/>
      <c r="J282" s="613" t="s">
        <v>2949</v>
      </c>
      <c r="K282" s="614"/>
      <c r="L282" s="609"/>
      <c r="M282" s="610"/>
      <c r="N282" s="615" t="s">
        <v>962</v>
      </c>
      <c r="O282" s="615" t="s">
        <v>1744</v>
      </c>
      <c r="P282" s="497" t="s">
        <v>2319</v>
      </c>
      <c r="Q282" s="1371"/>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2951</v>
      </c>
      <c r="K283" s="614"/>
      <c r="L283" s="609"/>
      <c r="M283" s="610"/>
      <c r="N283" s="497" t="s">
        <v>3594</v>
      </c>
      <c r="O283" s="497" t="s">
        <v>2888</v>
      </c>
      <c r="P283" s="1373" t="s">
        <v>3031</v>
      </c>
      <c r="Q283" s="1371"/>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2953</v>
      </c>
      <c r="K284" s="614"/>
      <c r="L284" s="609"/>
      <c r="M284" s="610"/>
      <c r="N284" s="615" t="s">
        <v>2956</v>
      </c>
      <c r="O284" s="615" t="s">
        <v>238</v>
      </c>
      <c r="P284" s="497" t="s">
        <v>2320</v>
      </c>
      <c r="Q284" s="1371"/>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2830</v>
      </c>
      <c r="H285" s="764" t="s">
        <v>501</v>
      </c>
      <c r="I285" s="680"/>
      <c r="J285" s="613" t="s">
        <v>2955</v>
      </c>
      <c r="K285" s="614"/>
      <c r="L285" s="609"/>
      <c r="M285" s="610"/>
      <c r="N285" s="615" t="s">
        <v>2958</v>
      </c>
      <c r="O285" s="615" t="s">
        <v>238</v>
      </c>
      <c r="P285" s="497" t="s">
        <v>2321</v>
      </c>
      <c r="Q285" s="1371"/>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2957</v>
      </c>
      <c r="K286" s="614"/>
      <c r="L286" s="609"/>
      <c r="M286" s="610"/>
      <c r="N286" s="615" t="s">
        <v>942</v>
      </c>
      <c r="O286" s="615" t="s">
        <v>2888</v>
      </c>
      <c r="P286" s="497" t="s">
        <v>2322</v>
      </c>
      <c r="Q286" s="1371"/>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71"/>
      <c r="S287" s="596"/>
      <c r="T287" s="596"/>
      <c r="U287" s="596"/>
      <c r="V287" s="596"/>
      <c r="W287" s="596"/>
      <c r="X287" s="596"/>
      <c r="Y287" s="596"/>
      <c r="Z287" s="596"/>
      <c r="AA287" s="596"/>
    </row>
    <row r="288" spans="2:27" ht="12" customHeight="1">
      <c r="B288" s="766"/>
      <c r="C288" s="761" t="s">
        <v>3627</v>
      </c>
      <c r="D288" s="761" t="s">
        <v>1902</v>
      </c>
      <c r="E288" s="762" t="s">
        <v>2928</v>
      </c>
      <c r="F288" s="762" t="s">
        <v>3657</v>
      </c>
      <c r="G288" s="763" t="s">
        <v>879</v>
      </c>
      <c r="H288" s="764" t="s">
        <v>501</v>
      </c>
      <c r="I288" s="680"/>
      <c r="J288" s="613" t="s">
        <v>3250</v>
      </c>
      <c r="K288" s="614"/>
      <c r="L288" s="609"/>
      <c r="M288" s="610"/>
      <c r="N288" s="615" t="s">
        <v>1799</v>
      </c>
      <c r="O288" s="615" t="s">
        <v>887</v>
      </c>
      <c r="P288" s="497" t="s">
        <v>2324</v>
      </c>
      <c r="Q288" s="1371"/>
      <c r="S288" s="596"/>
      <c r="T288" s="596"/>
      <c r="U288" s="596"/>
      <c r="V288" s="596"/>
      <c r="W288" s="596"/>
      <c r="X288" s="596"/>
      <c r="Y288" s="596"/>
      <c r="Z288" s="596"/>
      <c r="AA288" s="596"/>
    </row>
    <row r="289" spans="2:27" ht="12" customHeight="1">
      <c r="B289" s="766"/>
      <c r="C289" s="761" t="s">
        <v>3628</v>
      </c>
      <c r="D289" s="761" t="s">
        <v>1902</v>
      </c>
      <c r="E289" s="762" t="s">
        <v>2928</v>
      </c>
      <c r="F289" s="762" t="s">
        <v>3657</v>
      </c>
      <c r="G289" s="763" t="s">
        <v>879</v>
      </c>
      <c r="H289" s="764" t="s">
        <v>501</v>
      </c>
      <c r="I289" s="680"/>
      <c r="J289" s="613" t="s">
        <v>3251</v>
      </c>
      <c r="K289" s="614"/>
      <c r="L289" s="609"/>
      <c r="M289" s="610"/>
      <c r="N289" s="615" t="s">
        <v>1801</v>
      </c>
      <c r="O289" s="615" t="s">
        <v>3155</v>
      </c>
      <c r="P289" s="497" t="s">
        <v>2325</v>
      </c>
      <c r="Q289" s="1371"/>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71"/>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2831</v>
      </c>
      <c r="H291" s="764" t="s">
        <v>500</v>
      </c>
      <c r="I291" s="681"/>
      <c r="J291" s="613" t="s">
        <v>1800</v>
      </c>
      <c r="K291" s="614"/>
      <c r="L291" s="609"/>
      <c r="M291" s="610"/>
      <c r="N291" s="615" t="s">
        <v>1804</v>
      </c>
      <c r="O291" s="615" t="s">
        <v>380</v>
      </c>
      <c r="P291" s="497" t="s">
        <v>2327</v>
      </c>
      <c r="Q291" s="1371"/>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71"/>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2832</v>
      </c>
      <c r="H293" s="764" t="s">
        <v>500</v>
      </c>
      <c r="I293" s="680"/>
      <c r="J293" s="613" t="s">
        <v>1803</v>
      </c>
      <c r="K293" s="614"/>
      <c r="L293" s="609"/>
      <c r="M293" s="610"/>
      <c r="N293" s="615" t="s">
        <v>87</v>
      </c>
      <c r="O293" s="615" t="s">
        <v>235</v>
      </c>
      <c r="P293" s="497" t="s">
        <v>2329</v>
      </c>
      <c r="Q293" s="1371"/>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2833</v>
      </c>
      <c r="H295" s="764" t="s">
        <v>500</v>
      </c>
      <c r="I295" s="680"/>
      <c r="J295" s="613" t="s">
        <v>3500</v>
      </c>
      <c r="K295" s="614"/>
      <c r="L295" s="609"/>
      <c r="M295" s="610"/>
      <c r="N295" s="615" t="s">
        <v>93</v>
      </c>
      <c r="O295" s="615" t="s">
        <v>1888</v>
      </c>
      <c r="P295" s="497" t="s">
        <v>2331</v>
      </c>
      <c r="Q295" s="1371"/>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2834</v>
      </c>
      <c r="H296" s="764" t="s">
        <v>500</v>
      </c>
      <c r="I296" s="681"/>
      <c r="J296" s="613" t="s">
        <v>88</v>
      </c>
      <c r="K296" s="614"/>
      <c r="L296" s="609"/>
      <c r="M296" s="610"/>
      <c r="N296" s="615" t="s">
        <v>1766</v>
      </c>
      <c r="O296" s="615" t="s">
        <v>2828</v>
      </c>
      <c r="P296" s="497" t="s">
        <v>2332</v>
      </c>
      <c r="Q296" s="1371"/>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2835</v>
      </c>
      <c r="H297" s="764" t="s">
        <v>500</v>
      </c>
      <c r="I297" s="681"/>
      <c r="J297" s="613" t="s">
        <v>89</v>
      </c>
      <c r="K297" s="614"/>
      <c r="L297" s="609"/>
      <c r="M297" s="610"/>
      <c r="N297" s="615" t="s">
        <v>1768</v>
      </c>
      <c r="O297" s="615" t="s">
        <v>217</v>
      </c>
      <c r="P297" s="497" t="s">
        <v>2333</v>
      </c>
      <c r="Q297" s="1371"/>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2640</v>
      </c>
      <c r="H298" s="764" t="s">
        <v>500</v>
      </c>
      <c r="I298" s="680"/>
      <c r="J298" s="613" t="s">
        <v>90</v>
      </c>
      <c r="K298" s="614"/>
      <c r="L298" s="609"/>
      <c r="M298" s="610"/>
      <c r="N298" s="615" t="s">
        <v>1770</v>
      </c>
      <c r="O298" s="615" t="s">
        <v>1620</v>
      </c>
      <c r="P298" s="1372"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2641</v>
      </c>
      <c r="H299" s="764" t="s">
        <v>500</v>
      </c>
      <c r="I299" s="680"/>
      <c r="J299" s="613" t="s">
        <v>92</v>
      </c>
      <c r="K299" s="614"/>
      <c r="L299" s="609"/>
      <c r="M299" s="610"/>
      <c r="N299" s="615" t="s">
        <v>1772</v>
      </c>
      <c r="O299" s="615" t="s">
        <v>1744</v>
      </c>
      <c r="P299" s="497" t="s">
        <v>2334</v>
      </c>
      <c r="Q299" s="1371"/>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2642</v>
      </c>
      <c r="H300" s="764" t="s">
        <v>500</v>
      </c>
      <c r="I300" s="680"/>
      <c r="J300" s="613" t="s">
        <v>1765</v>
      </c>
      <c r="K300" s="614"/>
      <c r="L300" s="609"/>
      <c r="M300" s="610"/>
      <c r="N300" s="615" t="s">
        <v>1774</v>
      </c>
      <c r="O300" s="615" t="s">
        <v>3077</v>
      </c>
      <c r="P300" s="497" t="s">
        <v>2335</v>
      </c>
      <c r="Q300" s="1371"/>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71"/>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72"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2643</v>
      </c>
      <c r="H303" s="764" t="s">
        <v>500</v>
      </c>
      <c r="I303" s="680"/>
      <c r="J303" s="613" t="s">
        <v>1771</v>
      </c>
      <c r="K303" s="614"/>
      <c r="L303" s="609"/>
      <c r="M303" s="610"/>
      <c r="N303" s="615" t="s">
        <v>1385</v>
      </c>
      <c r="O303" s="615" t="s">
        <v>217</v>
      </c>
      <c r="P303" s="497" t="s">
        <v>2337</v>
      </c>
      <c r="Q303" s="1371"/>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2644</v>
      </c>
      <c r="H304" s="764" t="s">
        <v>500</v>
      </c>
      <c r="I304" s="680"/>
      <c r="J304" s="613" t="s">
        <v>1773</v>
      </c>
      <c r="K304" s="614"/>
      <c r="L304" s="609"/>
      <c r="M304" s="610"/>
      <c r="N304" s="615" t="s">
        <v>1387</v>
      </c>
      <c r="O304" s="615" t="s">
        <v>392</v>
      </c>
      <c r="P304" s="497" t="s">
        <v>2338</v>
      </c>
      <c r="Q304" s="1371"/>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73" t="s">
        <v>3031</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3030</v>
      </c>
      <c r="O307" s="615" t="s">
        <v>1623</v>
      </c>
      <c r="P307" s="497" t="s">
        <v>2340</v>
      </c>
      <c r="Q307" s="1371"/>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2944</v>
      </c>
      <c r="O308" s="615" t="s">
        <v>2500</v>
      </c>
      <c r="P308" s="497" t="s">
        <v>2341</v>
      </c>
      <c r="Q308" s="1371"/>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2946</v>
      </c>
      <c r="O309" s="615" t="s">
        <v>3547</v>
      </c>
      <c r="P309" s="497" t="s">
        <v>2342</v>
      </c>
      <c r="Q309" s="1371"/>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3028</v>
      </c>
      <c r="K310" s="614"/>
      <c r="L310" s="609"/>
      <c r="M310" s="610"/>
      <c r="N310" s="615" t="s">
        <v>1313</v>
      </c>
      <c r="O310" s="615" t="s">
        <v>387</v>
      </c>
      <c r="P310" s="1372"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3029</v>
      </c>
      <c r="K311" s="614"/>
      <c r="L311" s="609"/>
      <c r="M311" s="610"/>
      <c r="N311" s="615" t="s">
        <v>855</v>
      </c>
      <c r="O311" s="615" t="s">
        <v>131</v>
      </c>
      <c r="P311" s="497" t="s">
        <v>2343</v>
      </c>
      <c r="Q311" s="1371"/>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2893</v>
      </c>
      <c r="H312" s="764" t="s">
        <v>500</v>
      </c>
      <c r="I312" s="680"/>
      <c r="J312" s="613" t="s">
        <v>2943</v>
      </c>
      <c r="K312" s="614"/>
      <c r="L312" s="609"/>
      <c r="M312" s="610"/>
      <c r="N312" s="497" t="s">
        <v>3596</v>
      </c>
      <c r="O312" s="497" t="s">
        <v>1894</v>
      </c>
      <c r="P312" s="1373" t="s">
        <v>3031</v>
      </c>
      <c r="Q312" s="1371"/>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2894</v>
      </c>
      <c r="H313" s="764" t="s">
        <v>500</v>
      </c>
      <c r="I313" s="680"/>
      <c r="J313" s="613" t="s">
        <v>2945</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2895</v>
      </c>
      <c r="H314" s="764" t="s">
        <v>500</v>
      </c>
      <c r="I314" s="680"/>
      <c r="J314" s="613" t="s">
        <v>853</v>
      </c>
      <c r="K314" s="614"/>
      <c r="L314" s="609"/>
      <c r="M314" s="610"/>
      <c r="N314" s="615" t="s">
        <v>3546</v>
      </c>
      <c r="O314" s="615" t="s">
        <v>3628</v>
      </c>
      <c r="P314" s="497" t="s">
        <v>2345</v>
      </c>
      <c r="Q314" s="1371"/>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2896</v>
      </c>
      <c r="H315" s="764" t="s">
        <v>500</v>
      </c>
      <c r="I315" s="681"/>
      <c r="J315" s="613" t="s">
        <v>854</v>
      </c>
      <c r="K315" s="614"/>
      <c r="L315" s="609"/>
      <c r="M315" s="610"/>
      <c r="N315" s="615" t="s">
        <v>861</v>
      </c>
      <c r="O315" s="615" t="s">
        <v>3075</v>
      </c>
      <c r="P315" s="497" t="s">
        <v>2346</v>
      </c>
      <c r="Q315" s="1371"/>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71"/>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3656</v>
      </c>
      <c r="G318" s="763" t="s">
        <v>1688</v>
      </c>
      <c r="H318" s="764" t="s">
        <v>500</v>
      </c>
      <c r="I318" s="681"/>
      <c r="J318" s="613" t="s">
        <v>859</v>
      </c>
      <c r="K318" s="614"/>
      <c r="L318" s="609"/>
      <c r="M318" s="610"/>
      <c r="N318" s="615" t="s">
        <v>784</v>
      </c>
      <c r="O318" s="615" t="s">
        <v>197</v>
      </c>
      <c r="P318" s="1372" t="s">
        <v>1311</v>
      </c>
      <c r="Q318" s="1371"/>
      <c r="S318" s="596"/>
      <c r="T318" s="596"/>
      <c r="U318" s="596"/>
      <c r="V318" s="596"/>
      <c r="W318" s="596"/>
      <c r="X318" s="596"/>
      <c r="Y318" s="596"/>
      <c r="Z318" s="596"/>
      <c r="AA318" s="596"/>
    </row>
    <row r="319" spans="2:27" ht="12" customHeight="1">
      <c r="B319" s="766"/>
      <c r="C319" s="761" t="s">
        <v>2786</v>
      </c>
      <c r="D319" s="761" t="s">
        <v>1749</v>
      </c>
      <c r="E319" s="765" t="s">
        <v>2787</v>
      </c>
      <c r="F319" s="765" t="s">
        <v>3656</v>
      </c>
      <c r="G319" s="763" t="s">
        <v>1689</v>
      </c>
      <c r="H319" s="764" t="s">
        <v>500</v>
      </c>
      <c r="I319" s="681"/>
      <c r="J319" s="613" t="s">
        <v>860</v>
      </c>
      <c r="K319" s="614"/>
      <c r="L319" s="609"/>
      <c r="M319" s="610"/>
      <c r="N319" s="615" t="s">
        <v>1142</v>
      </c>
      <c r="O319" s="615" t="s">
        <v>1620</v>
      </c>
      <c r="P319" s="497" t="s">
        <v>2349</v>
      </c>
      <c r="Q319" s="1371"/>
      <c r="S319" s="596"/>
      <c r="T319" s="596"/>
      <c r="U319" s="596"/>
      <c r="V319" s="596"/>
      <c r="W319" s="596"/>
      <c r="X319" s="596"/>
      <c r="Y319" s="596"/>
      <c r="Z319" s="596"/>
      <c r="AA319" s="596"/>
    </row>
    <row r="320" spans="2:27" ht="12" customHeight="1">
      <c r="B320" s="766"/>
      <c r="C320" s="761" t="s">
        <v>2788</v>
      </c>
      <c r="D320" s="761" t="s">
        <v>1878</v>
      </c>
      <c r="E320" s="765" t="s">
        <v>2789</v>
      </c>
      <c r="F320" s="765" t="s">
        <v>3656</v>
      </c>
      <c r="G320" s="763" t="s">
        <v>1690</v>
      </c>
      <c r="H320" s="764" t="s">
        <v>500</v>
      </c>
      <c r="I320" s="681"/>
      <c r="J320" s="613" t="s">
        <v>862</v>
      </c>
      <c r="K320" s="614"/>
      <c r="L320" s="609"/>
      <c r="M320" s="610"/>
      <c r="N320" s="615" t="s">
        <v>1144</v>
      </c>
      <c r="O320" s="615" t="s">
        <v>130</v>
      </c>
      <c r="P320" s="497" t="s">
        <v>2350</v>
      </c>
      <c r="Q320" s="1371"/>
      <c r="S320" s="596"/>
      <c r="T320" s="596"/>
      <c r="U320" s="596"/>
      <c r="V320" s="596"/>
      <c r="W320" s="596"/>
      <c r="X320" s="596"/>
      <c r="Y320" s="596"/>
      <c r="Z320" s="596"/>
      <c r="AA320" s="596"/>
    </row>
    <row r="321" spans="2:27" ht="12" customHeight="1">
      <c r="B321" s="766"/>
      <c r="C321" s="761" t="s">
        <v>2790</v>
      </c>
      <c r="D321" s="761" t="s">
        <v>1749</v>
      </c>
      <c r="E321" s="765" t="s">
        <v>2791</v>
      </c>
      <c r="F321" s="765" t="s">
        <v>3656</v>
      </c>
      <c r="G321" s="763" t="s">
        <v>1691</v>
      </c>
      <c r="H321" s="764" t="s">
        <v>500</v>
      </c>
      <c r="I321" s="680"/>
      <c r="J321" s="613" t="s">
        <v>864</v>
      </c>
      <c r="K321" s="614"/>
      <c r="L321" s="609"/>
      <c r="M321" s="610"/>
      <c r="N321" s="615" t="s">
        <v>42</v>
      </c>
      <c r="O321" s="615" t="s">
        <v>214</v>
      </c>
      <c r="P321" s="497" t="s">
        <v>2351</v>
      </c>
      <c r="Q321" s="1371"/>
      <c r="S321" s="596"/>
      <c r="T321" s="596"/>
      <c r="U321" s="596"/>
      <c r="V321" s="596"/>
      <c r="W321" s="596"/>
      <c r="X321" s="596"/>
      <c r="Y321" s="596"/>
      <c r="Z321" s="596"/>
      <c r="AA321" s="596"/>
    </row>
    <row r="322" spans="2:27" ht="12" customHeight="1">
      <c r="B322" s="766"/>
      <c r="C322" s="761" t="s">
        <v>2792</v>
      </c>
      <c r="D322" s="761" t="s">
        <v>1902</v>
      </c>
      <c r="E322" s="762" t="s">
        <v>2793</v>
      </c>
      <c r="F322" s="765" t="s">
        <v>3656</v>
      </c>
      <c r="G322" s="763" t="s">
        <v>1692</v>
      </c>
      <c r="H322" s="764" t="s">
        <v>500</v>
      </c>
      <c r="I322" s="681"/>
      <c r="J322" s="613" t="s">
        <v>783</v>
      </c>
      <c r="K322" s="614"/>
      <c r="L322" s="609"/>
      <c r="M322" s="610"/>
      <c r="N322" s="615" t="s">
        <v>2844</v>
      </c>
      <c r="O322" s="615" t="s">
        <v>3155</v>
      </c>
      <c r="P322" s="497" t="s">
        <v>2352</v>
      </c>
      <c r="Q322" s="1371"/>
      <c r="S322" s="596"/>
      <c r="T322" s="596"/>
      <c r="U322" s="596"/>
      <c r="V322" s="596"/>
      <c r="W322" s="596"/>
      <c r="X322" s="596"/>
      <c r="Y322" s="596"/>
      <c r="Z322" s="596"/>
      <c r="AA322" s="596"/>
    </row>
    <row r="323" spans="2:27" ht="12" customHeight="1">
      <c r="B323" s="766"/>
      <c r="C323" s="761" t="s">
        <v>2794</v>
      </c>
      <c r="D323" s="761" t="s">
        <v>1749</v>
      </c>
      <c r="E323" s="765" t="s">
        <v>2795</v>
      </c>
      <c r="F323" s="762" t="s">
        <v>3656</v>
      </c>
      <c r="G323" s="763" t="s">
        <v>1693</v>
      </c>
      <c r="H323" s="764" t="s">
        <v>500</v>
      </c>
      <c r="I323" s="681"/>
      <c r="J323" s="613" t="s">
        <v>1678</v>
      </c>
      <c r="K323" s="614"/>
      <c r="L323" s="609"/>
      <c r="M323" s="610"/>
      <c r="N323" s="615" t="s">
        <v>2846</v>
      </c>
      <c r="O323" s="615" t="s">
        <v>3629</v>
      </c>
      <c r="P323" s="497" t="s">
        <v>2353</v>
      </c>
      <c r="Q323" s="1371"/>
      <c r="S323" s="596"/>
      <c r="T323" s="596"/>
      <c r="U323" s="596"/>
      <c r="V323" s="596"/>
      <c r="W323" s="596"/>
      <c r="X323" s="596"/>
      <c r="Y323" s="596"/>
      <c r="Z323" s="596"/>
      <c r="AA323" s="596"/>
    </row>
    <row r="324" spans="2:27" ht="12" customHeight="1">
      <c r="B324" s="766"/>
      <c r="C324" s="761" t="s">
        <v>2796</v>
      </c>
      <c r="D324" s="761" t="s">
        <v>1902</v>
      </c>
      <c r="E324" s="765" t="s">
        <v>1887</v>
      </c>
      <c r="F324" s="765" t="s">
        <v>3657</v>
      </c>
      <c r="G324" s="763" t="s">
        <v>3614</v>
      </c>
      <c r="H324" s="764" t="s">
        <v>501</v>
      </c>
      <c r="I324" s="681"/>
      <c r="J324" s="613" t="s">
        <v>1143</v>
      </c>
      <c r="K324" s="614"/>
      <c r="L324" s="609"/>
      <c r="M324" s="610"/>
      <c r="N324" s="615" t="s">
        <v>404</v>
      </c>
      <c r="O324" s="615" t="s">
        <v>2828</v>
      </c>
      <c r="P324" s="497" t="s">
        <v>2354</v>
      </c>
      <c r="Q324" s="1371"/>
      <c r="S324" s="596"/>
      <c r="T324" s="596"/>
      <c r="U324" s="596"/>
      <c r="V324" s="596"/>
      <c r="W324" s="596"/>
      <c r="X324" s="596"/>
      <c r="Y324" s="596"/>
      <c r="Z324" s="596"/>
      <c r="AA324" s="596"/>
    </row>
    <row r="325" spans="2:27" ht="12" customHeight="1">
      <c r="B325" s="766"/>
      <c r="C325" s="761" t="s">
        <v>2797</v>
      </c>
      <c r="D325" s="761" t="s">
        <v>1878</v>
      </c>
      <c r="E325" s="765" t="s">
        <v>2798</v>
      </c>
      <c r="F325" s="765" t="s">
        <v>3656</v>
      </c>
      <c r="G325" s="763" t="s">
        <v>1694</v>
      </c>
      <c r="H325" s="764" t="s">
        <v>500</v>
      </c>
      <c r="I325" s="680"/>
      <c r="J325" s="613" t="s">
        <v>41</v>
      </c>
      <c r="K325" s="614"/>
      <c r="L325" s="609"/>
      <c r="M325" s="610"/>
      <c r="N325" s="615" t="s">
        <v>406</v>
      </c>
      <c r="O325" s="615" t="s">
        <v>1364</v>
      </c>
      <c r="P325" s="497" t="s">
        <v>2355</v>
      </c>
      <c r="Q325" s="1371"/>
      <c r="S325" s="596"/>
      <c r="T325" s="596"/>
      <c r="U325" s="596"/>
      <c r="V325" s="596"/>
      <c r="W325" s="596"/>
      <c r="X325" s="596"/>
      <c r="Y325" s="596"/>
      <c r="Z325" s="596"/>
      <c r="AA325" s="596"/>
    </row>
    <row r="326" spans="2:27" ht="12" customHeight="1">
      <c r="B326" s="766"/>
      <c r="C326" s="761" t="s">
        <v>2886</v>
      </c>
      <c r="D326" s="761" t="s">
        <v>1902</v>
      </c>
      <c r="E326" s="762" t="s">
        <v>2887</v>
      </c>
      <c r="F326" s="765" t="s">
        <v>3656</v>
      </c>
      <c r="G326" s="763" t="s">
        <v>1695</v>
      </c>
      <c r="H326" s="764" t="s">
        <v>500</v>
      </c>
      <c r="I326" s="681"/>
      <c r="J326" s="613" t="s">
        <v>2843</v>
      </c>
      <c r="K326" s="614"/>
      <c r="L326" s="609"/>
      <c r="M326" s="610"/>
      <c r="N326" s="615" t="s">
        <v>408</v>
      </c>
      <c r="O326" s="615" t="s">
        <v>217</v>
      </c>
      <c r="P326" s="497" t="s">
        <v>2356</v>
      </c>
      <c r="Q326" s="1371"/>
      <c r="S326" s="596"/>
      <c r="T326" s="596"/>
      <c r="U326" s="596"/>
      <c r="V326" s="596"/>
      <c r="W326" s="596"/>
      <c r="X326" s="596"/>
      <c r="Y326" s="596"/>
      <c r="Z326" s="596"/>
      <c r="AA326" s="596"/>
    </row>
    <row r="327" spans="2:27" ht="12" customHeight="1">
      <c r="B327" s="766"/>
      <c r="C327" s="761" t="s">
        <v>2888</v>
      </c>
      <c r="D327" s="761" t="s">
        <v>1878</v>
      </c>
      <c r="E327" s="765" t="s">
        <v>2122</v>
      </c>
      <c r="F327" s="762" t="s">
        <v>3657</v>
      </c>
      <c r="G327" s="763" t="s">
        <v>2527</v>
      </c>
      <c r="H327" s="764" t="s">
        <v>501</v>
      </c>
      <c r="I327" s="681"/>
      <c r="J327" s="613" t="s">
        <v>2845</v>
      </c>
      <c r="K327" s="614"/>
      <c r="L327" s="609"/>
      <c r="M327" s="610"/>
      <c r="N327" s="615" t="s">
        <v>410</v>
      </c>
      <c r="O327" s="615" t="s">
        <v>3375</v>
      </c>
      <c r="P327" s="497" t="s">
        <v>2357</v>
      </c>
      <c r="Q327" s="1371"/>
      <c r="S327" s="596"/>
      <c r="T327" s="596"/>
      <c r="U327" s="596"/>
      <c r="V327" s="596"/>
      <c r="W327" s="596"/>
      <c r="X327" s="596"/>
      <c r="Y327" s="596"/>
      <c r="Z327" s="596"/>
      <c r="AA327" s="596"/>
    </row>
    <row r="328" spans="2:27" ht="12" customHeight="1">
      <c r="B328" s="766"/>
      <c r="C328" s="761" t="s">
        <v>2889</v>
      </c>
      <c r="D328" s="761" t="s">
        <v>1902</v>
      </c>
      <c r="E328" s="765" t="s">
        <v>1244</v>
      </c>
      <c r="F328" s="765" t="s">
        <v>3657</v>
      </c>
      <c r="G328" s="763" t="s">
        <v>3611</v>
      </c>
      <c r="H328" s="764" t="s">
        <v>501</v>
      </c>
      <c r="I328" s="681"/>
      <c r="J328" s="613" t="s">
        <v>403</v>
      </c>
      <c r="K328" s="614"/>
      <c r="L328" s="609"/>
      <c r="M328" s="610"/>
      <c r="N328" s="615" t="s">
        <v>412</v>
      </c>
      <c r="O328" s="615" t="s">
        <v>2753</v>
      </c>
      <c r="P328" s="497" t="s">
        <v>2358</v>
      </c>
      <c r="Q328" s="1371"/>
      <c r="S328" s="596"/>
      <c r="T328" s="596"/>
      <c r="U328" s="596"/>
      <c r="V328" s="596"/>
      <c r="W328" s="596"/>
      <c r="X328" s="596"/>
      <c r="Y328" s="596"/>
      <c r="Z328" s="596"/>
      <c r="AA328" s="596"/>
    </row>
    <row r="329" spans="2:27" ht="12" customHeight="1">
      <c r="B329" s="766"/>
      <c r="C329" s="761" t="s">
        <v>2890</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71"/>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2819</v>
      </c>
      <c r="O330" s="615" t="s">
        <v>115</v>
      </c>
      <c r="P330" s="497" t="s">
        <v>1161</v>
      </c>
      <c r="Q330" s="1371"/>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71"/>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3046</v>
      </c>
      <c r="O332" s="615" t="s">
        <v>234</v>
      </c>
      <c r="P332" s="497" t="s">
        <v>1163</v>
      </c>
      <c r="Q332" s="1371"/>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71"/>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2818</v>
      </c>
      <c r="K334" s="614"/>
      <c r="L334" s="609"/>
      <c r="M334" s="610"/>
      <c r="N334" s="615" t="s">
        <v>192</v>
      </c>
      <c r="O334" s="615" t="s">
        <v>2752</v>
      </c>
      <c r="P334" s="497" t="s">
        <v>1165</v>
      </c>
      <c r="Q334" s="1371"/>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2820</v>
      </c>
      <c r="K335" s="614"/>
      <c r="L335" s="609"/>
      <c r="M335" s="610"/>
      <c r="N335" s="615" t="s">
        <v>235</v>
      </c>
      <c r="O335" s="615" t="s">
        <v>887</v>
      </c>
      <c r="P335" s="497" t="s">
        <v>1166</v>
      </c>
      <c r="Q335" s="1371"/>
      <c r="S335" s="596"/>
      <c r="T335" s="596"/>
      <c r="U335" s="596"/>
      <c r="V335" s="596"/>
      <c r="W335" s="596"/>
      <c r="X335" s="596"/>
      <c r="Y335" s="596"/>
      <c r="Z335" s="596"/>
      <c r="AA335" s="596"/>
    </row>
    <row r="336" spans="2:27" ht="12" customHeight="1">
      <c r="B336" s="766"/>
      <c r="C336" s="761" t="s">
        <v>2828</v>
      </c>
      <c r="D336" s="761" t="s">
        <v>1878</v>
      </c>
      <c r="E336" s="762" t="s">
        <v>404</v>
      </c>
      <c r="F336" s="765" t="s">
        <v>3657</v>
      </c>
      <c r="G336" s="763" t="s">
        <v>3324</v>
      </c>
      <c r="H336" s="764" t="s">
        <v>501</v>
      </c>
      <c r="I336" s="681"/>
      <c r="J336" s="613" t="s">
        <v>3045</v>
      </c>
      <c r="K336" s="614"/>
      <c r="L336" s="609"/>
      <c r="M336" s="610"/>
      <c r="N336" s="497" t="s">
        <v>3597</v>
      </c>
      <c r="O336" s="497" t="s">
        <v>2890</v>
      </c>
      <c r="P336" s="1373" t="s">
        <v>3031</v>
      </c>
      <c r="Q336" s="1371"/>
      <c r="S336" s="596"/>
      <c r="T336" s="596"/>
      <c r="U336" s="596"/>
      <c r="V336" s="596"/>
      <c r="W336" s="596"/>
      <c r="X336" s="596"/>
      <c r="Y336" s="596"/>
      <c r="Z336" s="596"/>
      <c r="AA336" s="596"/>
    </row>
    <row r="337" spans="1:27" ht="12" customHeight="1">
      <c r="B337" s="766"/>
      <c r="C337" s="761" t="s">
        <v>2829</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71"/>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71"/>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71"/>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71"/>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73"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73"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73"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73"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3155</v>
      </c>
      <c r="O373" s="497" t="s">
        <v>3542</v>
      </c>
      <c r="P373" s="1373"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3602</v>
      </c>
      <c r="O374" s="497" t="s">
        <v>3066</v>
      </c>
      <c r="P374" s="1373"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3603</v>
      </c>
      <c r="O375" s="497" t="s">
        <v>3490</v>
      </c>
      <c r="P375" s="1373"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2888</v>
      </c>
      <c r="P378" s="1373"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73"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72"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73"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73"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73"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73"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73"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73"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2853</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73"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73"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73"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73"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2886</v>
      </c>
      <c r="P491" s="1373"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72"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72"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73"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73"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72"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73"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73"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3198</v>
      </c>
      <c r="O556" s="497" t="s">
        <v>1744</v>
      </c>
      <c r="P556" s="1373"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72"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73"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73"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73"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2696</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3069</v>
      </c>
      <c r="P584" s="1372"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73"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3590</v>
      </c>
      <c r="S599" s="497" t="s">
        <v>887</v>
      </c>
      <c r="T599" s="1373"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73" t="s">
        <v>3031</v>
      </c>
      <c r="Q600" s="596"/>
      <c r="R600" s="497" t="s">
        <v>3591</v>
      </c>
      <c r="S600" s="497" t="s">
        <v>388</v>
      </c>
      <c r="T600" s="1373"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73"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73"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3594</v>
      </c>
      <c r="S603" s="497" t="s">
        <v>2888</v>
      </c>
      <c r="T603" s="1373"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3595</v>
      </c>
      <c r="S604" s="497" t="s">
        <v>3487</v>
      </c>
      <c r="T604" s="1373"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3596</v>
      </c>
      <c r="S605" s="497" t="s">
        <v>1894</v>
      </c>
      <c r="T605" s="1373"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2890</v>
      </c>
      <c r="T606" s="1373"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73"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73"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73"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73"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73"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73"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73"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72" t="s">
        <v>1311</v>
      </c>
      <c r="Q614" s="596"/>
      <c r="R614" s="497" t="s">
        <v>3604</v>
      </c>
      <c r="S614" s="497" t="s">
        <v>2888</v>
      </c>
      <c r="T614" s="1373"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73"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73" t="s">
        <v>3031</v>
      </c>
      <c r="Q616" s="596"/>
      <c r="R616" s="497" t="s">
        <v>1397</v>
      </c>
      <c r="S616" s="497" t="s">
        <v>1616</v>
      </c>
      <c r="T616" s="1373"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73"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73"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73" t="s">
        <v>3031</v>
      </c>
      <c r="Q619" s="596"/>
      <c r="R619" s="497" t="s">
        <v>1561</v>
      </c>
      <c r="S619" s="497" t="s">
        <v>2886</v>
      </c>
      <c r="T619" s="1373"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73"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74"/>
      <c r="R621" s="497" t="s">
        <v>1563</v>
      </c>
      <c r="S621" s="497" t="s">
        <v>2121</v>
      </c>
      <c r="T621" s="1373"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3487</v>
      </c>
      <c r="T622" s="1373"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73" t="s">
        <v>3031</v>
      </c>
      <c r="Q623" s="596"/>
      <c r="R623" s="497" t="s">
        <v>1565</v>
      </c>
      <c r="S623" s="497" t="s">
        <v>196</v>
      </c>
      <c r="T623" s="1373"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73" t="s">
        <v>3031</v>
      </c>
      <c r="Q624" s="596"/>
      <c r="R624" s="497" t="s">
        <v>1566</v>
      </c>
      <c r="S624" s="497" t="s">
        <v>1901</v>
      </c>
      <c r="T624" s="1373"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73"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1096</v>
      </c>
      <c r="Q626" s="596"/>
      <c r="R626" s="497" t="s">
        <v>1568</v>
      </c>
      <c r="S626" s="497" t="s">
        <v>1623</v>
      </c>
      <c r="T626" s="1373"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2886</v>
      </c>
      <c r="T627" s="1373"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73"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3490</v>
      </c>
      <c r="T629" s="1373"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3542</v>
      </c>
      <c r="T630" s="1373"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73"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73"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73"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73"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73"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73"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73"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73"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73"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73"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73"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73" t="s">
        <v>3031</v>
      </c>
      <c r="Q642" s="596"/>
      <c r="R642" s="497" t="s">
        <v>1580</v>
      </c>
      <c r="S642" s="497" t="s">
        <v>887</v>
      </c>
      <c r="T642" s="1373"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73"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73"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73"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73"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73"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2888</v>
      </c>
      <c r="P648" s="610" t="s">
        <v>1117</v>
      </c>
      <c r="Q648" s="596"/>
      <c r="R648" s="497" t="s">
        <v>1585</v>
      </c>
      <c r="S648" s="497" t="s">
        <v>887</v>
      </c>
      <c r="T648" s="1373"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73"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73"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72" t="s">
        <v>1311</v>
      </c>
      <c r="Q651" s="596"/>
      <c r="R651" s="497" t="s">
        <v>1588</v>
      </c>
      <c r="S651" s="497" t="s">
        <v>2788</v>
      </c>
      <c r="T651" s="1373"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73" t="s">
        <v>3031</v>
      </c>
      <c r="Q652" s="596"/>
      <c r="R652" s="497" t="s">
        <v>1589</v>
      </c>
      <c r="S652" s="497" t="s">
        <v>2886</v>
      </c>
      <c r="T652" s="1373"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73"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73"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73" t="s">
        <v>3031</v>
      </c>
      <c r="Q655" s="596"/>
      <c r="R655" s="497" t="s">
        <v>1592</v>
      </c>
      <c r="S655" s="497" t="s">
        <v>3490</v>
      </c>
      <c r="T655" s="1373"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73"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73"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73"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73"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73"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3550</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73"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2788</v>
      </c>
      <c r="P697" s="1373"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2886</v>
      </c>
      <c r="P698" s="1373"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2850</v>
      </c>
      <c r="O709" s="615" t="s">
        <v>392</v>
      </c>
      <c r="P709" s="610" t="s">
        <v>524</v>
      </c>
      <c r="Q709" s="1374"/>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72"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73"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73"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72"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73"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72"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73"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73"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6"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55000000000000004" bottom="0.38" header="0.25" footer="0.19"/>
  <pageSetup fitToHeight="0" orientation="landscape" r:id="rId3"/>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2012-019 Walton Oaks Family 2, Augusta, Richmond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4003</v>
      </c>
      <c r="I5" s="1342"/>
      <c r="J5" s="1342"/>
      <c r="K5" s="1342"/>
      <c r="L5" s="1342"/>
      <c r="M5" s="1342"/>
      <c r="N5" s="1343"/>
      <c r="O5" s="827" t="s">
        <v>2869</v>
      </c>
      <c r="P5" s="827"/>
      <c r="Q5" s="1292" t="s">
        <v>3999</v>
      </c>
      <c r="R5" s="1342"/>
      <c r="S5" s="1343"/>
    </row>
    <row r="6" spans="1:19" s="449" customFormat="1" ht="12.6" customHeight="1">
      <c r="D6" s="498"/>
      <c r="E6" s="455" t="s">
        <v>1527</v>
      </c>
      <c r="F6" s="463"/>
      <c r="H6" s="1292" t="s">
        <v>3980</v>
      </c>
      <c r="I6" s="1342"/>
      <c r="J6" s="1342"/>
      <c r="K6" s="1342"/>
      <c r="L6" s="1342"/>
      <c r="M6" s="1342"/>
      <c r="N6" s="1343"/>
      <c r="O6" s="827" t="s">
        <v>2601</v>
      </c>
      <c r="Q6" s="1292" t="s">
        <v>4064</v>
      </c>
      <c r="R6" s="1342"/>
      <c r="S6" s="1343"/>
    </row>
    <row r="7" spans="1:19" s="449" customFormat="1" ht="12.6" customHeight="1">
      <c r="D7" s="498"/>
      <c r="E7" s="455" t="s">
        <v>876</v>
      </c>
      <c r="H7" s="1292" t="s">
        <v>451</v>
      </c>
      <c r="I7" s="1342"/>
      <c r="J7" s="1343"/>
      <c r="K7" s="1375" t="s">
        <v>1159</v>
      </c>
      <c r="L7" s="1292"/>
      <c r="M7" s="1342"/>
      <c r="N7" s="1343"/>
      <c r="O7" s="827" t="s">
        <v>2659</v>
      </c>
      <c r="Q7" s="1300">
        <v>7063123158</v>
      </c>
      <c r="R7" s="1305"/>
      <c r="S7" s="1301"/>
    </row>
    <row r="8" spans="1:19" s="449" customFormat="1" ht="12.6" customHeight="1">
      <c r="D8" s="498"/>
      <c r="E8" s="455" t="s">
        <v>2655</v>
      </c>
      <c r="H8" s="1306" t="s">
        <v>1337</v>
      </c>
      <c r="I8" s="836" t="s">
        <v>1843</v>
      </c>
      <c r="J8" s="1303">
        <v>300678770</v>
      </c>
      <c r="K8" s="1343"/>
      <c r="L8" s="397" t="s">
        <v>1846</v>
      </c>
      <c r="N8" s="1345">
        <v>6</v>
      </c>
      <c r="O8" s="827" t="s">
        <v>2858</v>
      </c>
      <c r="Q8" s="1300"/>
      <c r="R8" s="1305"/>
      <c r="S8" s="1301"/>
    </row>
    <row r="9" spans="1:19" s="449" customFormat="1" ht="12.6" customHeight="1">
      <c r="D9" s="498"/>
      <c r="E9" s="455" t="s">
        <v>2864</v>
      </c>
      <c r="H9" s="1300">
        <v>6783034100</v>
      </c>
      <c r="I9" s="1301"/>
      <c r="J9" s="1376"/>
      <c r="K9" s="836" t="s">
        <v>2658</v>
      </c>
      <c r="L9" s="1344">
        <v>6783034111</v>
      </c>
      <c r="M9" s="1343"/>
      <c r="N9" s="457" t="s">
        <v>2863</v>
      </c>
      <c r="O9" s="1307" t="s">
        <v>4001</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7" t="s">
        <v>1842</v>
      </c>
      <c r="P12" s="1377"/>
      <c r="Q12" s="1377"/>
      <c r="R12" s="1377"/>
      <c r="S12" s="1377"/>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8" t="s">
        <v>1840</v>
      </c>
      <c r="P14" s="1378"/>
      <c r="Q14" s="1378"/>
      <c r="R14" s="1378"/>
      <c r="S14" s="1378"/>
    </row>
    <row r="15" spans="1:19" s="449" customFormat="1" ht="4.1500000000000004" customHeight="1">
      <c r="D15" s="500"/>
      <c r="E15" s="501"/>
      <c r="H15" s="1379"/>
      <c r="I15" s="1379"/>
      <c r="J15" s="1379"/>
      <c r="K15" s="826"/>
      <c r="L15" s="1379"/>
      <c r="M15" s="1379"/>
      <c r="N15" s="826"/>
      <c r="O15" s="863"/>
      <c r="P15" s="863"/>
      <c r="Q15" s="836"/>
      <c r="R15" s="863"/>
      <c r="S15" s="863"/>
    </row>
    <row r="16" spans="1:19" s="449" customFormat="1" ht="12.6" customHeight="1">
      <c r="D16" s="452" t="s">
        <v>3005</v>
      </c>
      <c r="E16" s="449" t="s">
        <v>2727</v>
      </c>
      <c r="H16" s="1380" t="s">
        <v>4004</v>
      </c>
      <c r="I16" s="1381"/>
      <c r="J16" s="1381"/>
      <c r="K16" s="1381"/>
      <c r="L16" s="1381"/>
      <c r="M16" s="1381"/>
      <c r="N16" s="1382"/>
      <c r="O16" s="827" t="s">
        <v>2869</v>
      </c>
      <c r="P16" s="827"/>
      <c r="Q16" s="1292" t="s">
        <v>3999</v>
      </c>
      <c r="R16" s="1342"/>
      <c r="S16" s="1343"/>
    </row>
    <row r="17" spans="4:19" s="449" customFormat="1" ht="12.6" customHeight="1">
      <c r="D17" s="498"/>
      <c r="E17" s="455" t="s">
        <v>1527</v>
      </c>
      <c r="F17" s="463"/>
      <c r="H17" s="1292" t="s">
        <v>4000</v>
      </c>
      <c r="I17" s="1342"/>
      <c r="J17" s="1342"/>
      <c r="K17" s="1342"/>
      <c r="L17" s="1342"/>
      <c r="M17" s="1342"/>
      <c r="N17" s="1343"/>
      <c r="O17" s="827" t="s">
        <v>2601</v>
      </c>
      <c r="Q17" s="1292" t="s">
        <v>4064</v>
      </c>
      <c r="R17" s="1342"/>
      <c r="S17" s="1343"/>
    </row>
    <row r="18" spans="4:19" s="449" customFormat="1" ht="12.6" customHeight="1">
      <c r="D18" s="498"/>
      <c r="E18" s="455" t="s">
        <v>876</v>
      </c>
      <c r="H18" s="1292" t="s">
        <v>1897</v>
      </c>
      <c r="I18" s="1342"/>
      <c r="J18" s="1343"/>
      <c r="O18" s="827" t="s">
        <v>2659</v>
      </c>
      <c r="Q18" s="1300">
        <v>7063123158</v>
      </c>
      <c r="R18" s="1305"/>
      <c r="S18" s="1301"/>
    </row>
    <row r="19" spans="4:19" s="449" customFormat="1" ht="12.6" customHeight="1">
      <c r="D19" s="452"/>
      <c r="E19" s="455" t="s">
        <v>2655</v>
      </c>
      <c r="H19" s="1306" t="s">
        <v>1337</v>
      </c>
      <c r="I19" s="836" t="s">
        <v>1843</v>
      </c>
      <c r="J19" s="1303">
        <v>309012644</v>
      </c>
      <c r="K19" s="1343"/>
      <c r="L19" s="397" t="s">
        <v>1846</v>
      </c>
      <c r="N19" s="1345">
        <v>10</v>
      </c>
      <c r="O19" s="827" t="s">
        <v>2858</v>
      </c>
      <c r="Q19" s="1300"/>
      <c r="R19" s="1305"/>
      <c r="S19" s="1301"/>
    </row>
    <row r="20" spans="4:19" s="449" customFormat="1" ht="12.6" customHeight="1">
      <c r="D20" s="498"/>
      <c r="E20" s="455" t="s">
        <v>2864</v>
      </c>
      <c r="H20" s="1300"/>
      <c r="I20" s="1301"/>
      <c r="J20" s="1376"/>
      <c r="K20" s="836" t="s">
        <v>2658</v>
      </c>
      <c r="L20" s="1344">
        <v>7067243935</v>
      </c>
      <c r="M20" s="1343"/>
      <c r="N20" s="457" t="s">
        <v>2863</v>
      </c>
      <c r="O20" s="1307" t="s">
        <v>4001</v>
      </c>
      <c r="P20" s="1308"/>
      <c r="Q20" s="1308"/>
      <c r="R20" s="1308"/>
      <c r="S20" s="1309"/>
    </row>
    <row r="21" spans="4:19" ht="4.1500000000000004" customHeight="1">
      <c r="D21" s="481"/>
      <c r="H21" s="1383"/>
      <c r="I21" s="1383"/>
      <c r="J21" s="1383"/>
      <c r="K21" s="836"/>
      <c r="L21" s="1383"/>
      <c r="M21" s="1383"/>
      <c r="N21" s="826"/>
      <c r="O21" s="863"/>
      <c r="P21" s="863"/>
      <c r="Q21" s="836"/>
      <c r="R21" s="863"/>
      <c r="S21" s="863"/>
    </row>
    <row r="22" spans="4:19" s="449" customFormat="1" ht="12.6" customHeight="1">
      <c r="D22" s="452" t="s">
        <v>3006</v>
      </c>
      <c r="E22" s="449" t="s">
        <v>2728</v>
      </c>
      <c r="F22" s="833"/>
      <c r="H22" s="1292"/>
      <c r="I22" s="1342"/>
      <c r="J22" s="1342"/>
      <c r="K22" s="1342"/>
      <c r="L22" s="1342"/>
      <c r="M22" s="1342"/>
      <c r="N22" s="1343"/>
      <c r="O22" s="827" t="s">
        <v>2869</v>
      </c>
      <c r="P22" s="827"/>
      <c r="Q22" s="1292"/>
      <c r="R22" s="1342"/>
      <c r="S22" s="1343"/>
    </row>
    <row r="23" spans="4:19" s="449" customFormat="1" ht="12.6" customHeight="1">
      <c r="D23" s="498"/>
      <c r="E23" s="455" t="s">
        <v>1527</v>
      </c>
      <c r="F23" s="463"/>
      <c r="H23" s="1292"/>
      <c r="I23" s="1342"/>
      <c r="J23" s="1342"/>
      <c r="K23" s="1342"/>
      <c r="L23" s="1342"/>
      <c r="M23" s="1342"/>
      <c r="N23" s="1343"/>
      <c r="O23" s="827" t="s">
        <v>2601</v>
      </c>
      <c r="Q23" s="1292"/>
      <c r="R23" s="1342"/>
      <c r="S23" s="1343"/>
    </row>
    <row r="24" spans="4:19" s="449" customFormat="1" ht="12.6" customHeight="1">
      <c r="D24" s="498"/>
      <c r="E24" s="455" t="s">
        <v>876</v>
      </c>
      <c r="H24" s="1292"/>
      <c r="I24" s="1342"/>
      <c r="J24" s="1343"/>
      <c r="O24" s="827" t="s">
        <v>2659</v>
      </c>
      <c r="Q24" s="1300"/>
      <c r="R24" s="1305"/>
      <c r="S24" s="1301"/>
    </row>
    <row r="25" spans="4:19" s="449" customFormat="1" ht="12.6" customHeight="1">
      <c r="E25" s="455" t="s">
        <v>2655</v>
      </c>
      <c r="H25" s="1306"/>
      <c r="I25" s="483" t="s">
        <v>3137</v>
      </c>
      <c r="J25" s="1303"/>
      <c r="K25" s="1343"/>
      <c r="O25" s="827" t="s">
        <v>2858</v>
      </c>
      <c r="Q25" s="1300"/>
      <c r="R25" s="1305"/>
      <c r="S25" s="1301"/>
    </row>
    <row r="26" spans="4:19" s="449" customFormat="1" ht="12.6" customHeight="1">
      <c r="D26" s="498"/>
      <c r="E26" s="455" t="s">
        <v>2864</v>
      </c>
      <c r="H26" s="1300"/>
      <c r="I26" s="1301"/>
      <c r="J26" s="1376"/>
      <c r="K26" s="836" t="s">
        <v>2658</v>
      </c>
      <c r="L26" s="1344"/>
      <c r="M26" s="1343"/>
      <c r="N26" s="457" t="s">
        <v>2863</v>
      </c>
      <c r="O26" s="1307"/>
      <c r="P26" s="1308"/>
      <c r="Q26" s="1308"/>
      <c r="R26" s="1308"/>
      <c r="S26" s="1309"/>
    </row>
    <row r="27" spans="4:19" s="449" customFormat="1" ht="4.1500000000000004" customHeight="1">
      <c r="D27" s="498"/>
      <c r="E27" s="833"/>
      <c r="F27" s="833"/>
      <c r="G27" s="827"/>
      <c r="H27" s="1383"/>
      <c r="I27" s="1383"/>
      <c r="J27" s="1383"/>
      <c r="K27" s="836"/>
      <c r="L27" s="1383"/>
      <c r="M27" s="1383"/>
      <c r="N27" s="826"/>
      <c r="O27" s="863"/>
      <c r="P27" s="863"/>
      <c r="Q27" s="836"/>
      <c r="R27" s="863"/>
      <c r="S27" s="863"/>
    </row>
    <row r="28" spans="4:19" s="449" customFormat="1" ht="12.6" customHeight="1">
      <c r="D28" s="452" t="s">
        <v>2587</v>
      </c>
      <c r="E28" s="449" t="s">
        <v>2728</v>
      </c>
      <c r="F28" s="833"/>
      <c r="H28" s="1292"/>
      <c r="I28" s="1342"/>
      <c r="J28" s="1342"/>
      <c r="K28" s="1342"/>
      <c r="L28" s="1342"/>
      <c r="M28" s="1342"/>
      <c r="N28" s="1343"/>
      <c r="O28" s="827" t="s">
        <v>2869</v>
      </c>
      <c r="P28" s="827"/>
      <c r="Q28" s="1292"/>
      <c r="R28" s="1342"/>
      <c r="S28" s="1343"/>
    </row>
    <row r="29" spans="4:19" s="449" customFormat="1" ht="12.6" customHeight="1">
      <c r="D29" s="498"/>
      <c r="E29" s="455" t="s">
        <v>1527</v>
      </c>
      <c r="F29" s="463"/>
      <c r="H29" s="1292"/>
      <c r="I29" s="1342"/>
      <c r="J29" s="1342"/>
      <c r="K29" s="1342"/>
      <c r="L29" s="1342"/>
      <c r="M29" s="1342"/>
      <c r="N29" s="1343"/>
      <c r="O29" s="827" t="s">
        <v>2601</v>
      </c>
      <c r="Q29" s="1292"/>
      <c r="R29" s="1342"/>
      <c r="S29" s="1343"/>
    </row>
    <row r="30" spans="4:19" s="449" customFormat="1" ht="12.6" customHeight="1">
      <c r="D30" s="498"/>
      <c r="E30" s="455" t="s">
        <v>876</v>
      </c>
      <c r="H30" s="1292"/>
      <c r="I30" s="1342"/>
      <c r="J30" s="1343"/>
      <c r="O30" s="827" t="s">
        <v>2659</v>
      </c>
      <c r="Q30" s="1300"/>
      <c r="R30" s="1305"/>
      <c r="S30" s="1301"/>
    </row>
    <row r="31" spans="4:19" s="449" customFormat="1" ht="12.6" customHeight="1">
      <c r="E31" s="455" t="s">
        <v>2655</v>
      </c>
      <c r="H31" s="1306"/>
      <c r="I31" s="483" t="s">
        <v>3137</v>
      </c>
      <c r="J31" s="1303"/>
      <c r="K31" s="1343"/>
      <c r="O31" s="827" t="s">
        <v>2858</v>
      </c>
      <c r="Q31" s="1300"/>
      <c r="R31" s="1305"/>
      <c r="S31" s="1301"/>
    </row>
    <row r="32" spans="4:19" s="449" customFormat="1" ht="12.6" customHeight="1">
      <c r="D32" s="498"/>
      <c r="E32" s="455" t="s">
        <v>2864</v>
      </c>
      <c r="H32" s="1300"/>
      <c r="I32" s="1301"/>
      <c r="J32" s="1376"/>
      <c r="K32" s="836" t="s">
        <v>2658</v>
      </c>
      <c r="L32" s="1344"/>
      <c r="M32" s="1343"/>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9"/>
      <c r="I35" s="1379"/>
      <c r="J35" s="1379"/>
      <c r="K35" s="826"/>
      <c r="L35" s="1379"/>
      <c r="M35" s="1379"/>
      <c r="N35" s="826"/>
      <c r="O35" s="863"/>
      <c r="P35" s="863"/>
      <c r="Q35" s="836"/>
      <c r="R35" s="863"/>
      <c r="S35" s="863"/>
    </row>
    <row r="36" spans="3:19" s="449" customFormat="1" ht="12.6" customHeight="1">
      <c r="D36" s="452" t="s">
        <v>3005</v>
      </c>
      <c r="E36" s="449" t="s">
        <v>1146</v>
      </c>
      <c r="H36" s="1380" t="s">
        <v>4006</v>
      </c>
      <c r="I36" s="1381"/>
      <c r="J36" s="1381"/>
      <c r="K36" s="1381"/>
      <c r="L36" s="1381"/>
      <c r="M36" s="1381"/>
      <c r="N36" s="1382"/>
      <c r="O36" s="827" t="s">
        <v>2869</v>
      </c>
      <c r="P36" s="827"/>
      <c r="Q36" s="1380" t="s">
        <v>3999</v>
      </c>
      <c r="R36" s="1381"/>
      <c r="S36" s="1382"/>
    </row>
    <row r="37" spans="3:19" s="449" customFormat="1" ht="12.6" customHeight="1">
      <c r="D37" s="498"/>
      <c r="E37" s="455" t="s">
        <v>1527</v>
      </c>
      <c r="F37" s="463"/>
      <c r="H37" s="1292" t="s">
        <v>4000</v>
      </c>
      <c r="I37" s="1342"/>
      <c r="J37" s="1342"/>
      <c r="K37" s="1342"/>
      <c r="L37" s="1342"/>
      <c r="M37" s="1342"/>
      <c r="N37" s="1343"/>
      <c r="O37" s="827" t="s">
        <v>2601</v>
      </c>
      <c r="Q37" s="1380" t="s">
        <v>4005</v>
      </c>
      <c r="R37" s="1381"/>
      <c r="S37" s="1382"/>
    </row>
    <row r="38" spans="3:19" s="449" customFormat="1" ht="12.6" customHeight="1">
      <c r="D38" s="498"/>
      <c r="E38" s="455" t="s">
        <v>876</v>
      </c>
      <c r="H38" s="1292" t="s">
        <v>1897</v>
      </c>
      <c r="I38" s="1342"/>
      <c r="J38" s="1343"/>
      <c r="O38" s="827" t="s">
        <v>2659</v>
      </c>
      <c r="Q38" s="1358">
        <v>7063123158</v>
      </c>
      <c r="R38" s="1359"/>
      <c r="S38" s="1360"/>
    </row>
    <row r="39" spans="3:19" s="449" customFormat="1" ht="12.6" customHeight="1">
      <c r="E39" s="455" t="s">
        <v>2655</v>
      </c>
      <c r="H39" s="1306" t="s">
        <v>1337</v>
      </c>
      <c r="I39" s="483" t="s">
        <v>3137</v>
      </c>
      <c r="J39" s="1303">
        <v>309012644</v>
      </c>
      <c r="K39" s="1343"/>
      <c r="O39" s="827" t="s">
        <v>2858</v>
      </c>
      <c r="Q39" s="1300"/>
      <c r="R39" s="1305"/>
      <c r="S39" s="1301"/>
    </row>
    <row r="40" spans="3:19" s="449" customFormat="1" ht="12.6" customHeight="1">
      <c r="D40" s="498"/>
      <c r="E40" s="455" t="s">
        <v>2864</v>
      </c>
      <c r="H40" s="1300"/>
      <c r="I40" s="1301"/>
      <c r="J40" s="1376"/>
      <c r="K40" s="836" t="s">
        <v>2658</v>
      </c>
      <c r="L40" s="1344">
        <v>7067243935</v>
      </c>
      <c r="M40" s="1343"/>
      <c r="N40" s="457" t="s">
        <v>2863</v>
      </c>
      <c r="O40" s="1307" t="s">
        <v>4001</v>
      </c>
      <c r="P40" s="1308"/>
      <c r="Q40" s="1308"/>
      <c r="R40" s="1308"/>
      <c r="S40" s="1309"/>
    </row>
    <row r="41" spans="3:19" ht="4.1500000000000004" customHeight="1">
      <c r="H41" s="1383"/>
      <c r="I41" s="1383"/>
      <c r="J41" s="1383"/>
      <c r="K41" s="836"/>
      <c r="L41" s="1383"/>
      <c r="M41" s="1383"/>
      <c r="N41" s="826"/>
      <c r="O41" s="863"/>
      <c r="P41" s="863"/>
      <c r="Q41" s="836"/>
      <c r="R41" s="863"/>
      <c r="S41" s="863"/>
    </row>
    <row r="42" spans="3:19" s="449" customFormat="1" ht="12.6" customHeight="1">
      <c r="D42" s="452" t="s">
        <v>3006</v>
      </c>
      <c r="E42" s="449" t="s">
        <v>1147</v>
      </c>
      <c r="F42" s="452"/>
      <c r="H42" s="1292" t="s">
        <v>4007</v>
      </c>
      <c r="I42" s="1342"/>
      <c r="J42" s="1342"/>
      <c r="K42" s="1342"/>
      <c r="L42" s="1342"/>
      <c r="M42" s="1342"/>
      <c r="N42" s="1343"/>
      <c r="O42" s="827" t="s">
        <v>2869</v>
      </c>
      <c r="P42" s="827"/>
      <c r="Q42" s="1292" t="s">
        <v>4008</v>
      </c>
      <c r="R42" s="1342"/>
      <c r="S42" s="1343"/>
    </row>
    <row r="43" spans="3:19" s="449" customFormat="1" ht="12.6" customHeight="1">
      <c r="D43" s="498"/>
      <c r="E43" s="455" t="s">
        <v>1527</v>
      </c>
      <c r="F43" s="463"/>
      <c r="H43" s="1292" t="s">
        <v>3980</v>
      </c>
      <c r="I43" s="1342"/>
      <c r="J43" s="1342"/>
      <c r="K43" s="1342"/>
      <c r="L43" s="1342"/>
      <c r="M43" s="1342"/>
      <c r="N43" s="1343"/>
      <c r="O43" s="827" t="s">
        <v>2601</v>
      </c>
      <c r="Q43" s="1292" t="s">
        <v>4009</v>
      </c>
      <c r="R43" s="1342"/>
      <c r="S43" s="1343"/>
    </row>
    <row r="44" spans="3:19" s="449" customFormat="1" ht="12.6" customHeight="1">
      <c r="D44" s="498"/>
      <c r="E44" s="455" t="s">
        <v>876</v>
      </c>
      <c r="H44" s="1292" t="s">
        <v>451</v>
      </c>
      <c r="I44" s="1342"/>
      <c r="J44" s="1343"/>
      <c r="O44" s="827" t="s">
        <v>2659</v>
      </c>
      <c r="Q44" s="1300">
        <v>6783034135</v>
      </c>
      <c r="R44" s="1305"/>
      <c r="S44" s="1301"/>
    </row>
    <row r="45" spans="3:19" s="449" customFormat="1" ht="12.6" customHeight="1">
      <c r="D45" s="452"/>
      <c r="E45" s="455" t="s">
        <v>2655</v>
      </c>
      <c r="H45" s="1306" t="s">
        <v>1337</v>
      </c>
      <c r="I45" s="483" t="s">
        <v>3137</v>
      </c>
      <c r="J45" s="1303">
        <v>300678770</v>
      </c>
      <c r="K45" s="1343"/>
      <c r="O45" s="827" t="s">
        <v>2858</v>
      </c>
      <c r="Q45" s="1300"/>
      <c r="R45" s="1305"/>
      <c r="S45" s="1301"/>
    </row>
    <row r="46" spans="3:19" s="449" customFormat="1" ht="12.6" customHeight="1">
      <c r="D46" s="498"/>
      <c r="E46" s="455" t="s">
        <v>2864</v>
      </c>
      <c r="H46" s="1300">
        <v>6783034100</v>
      </c>
      <c r="I46" s="1301"/>
      <c r="J46" s="1376">
        <v>4735</v>
      </c>
      <c r="K46" s="836" t="s">
        <v>2658</v>
      </c>
      <c r="L46" s="1344">
        <v>6783034111</v>
      </c>
      <c r="M46" s="1343"/>
      <c r="N46" s="457" t="s">
        <v>2863</v>
      </c>
      <c r="O46" s="1307" t="s">
        <v>4010</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79"/>
      <c r="I49" s="1379"/>
      <c r="J49" s="1379"/>
      <c r="K49" s="826"/>
      <c r="L49" s="1379"/>
      <c r="M49" s="1379"/>
      <c r="N49" s="826"/>
      <c r="O49" s="863"/>
      <c r="P49" s="863"/>
      <c r="Q49" s="836"/>
      <c r="R49" s="863"/>
      <c r="S49" s="863"/>
    </row>
    <row r="50" spans="1:19" s="449" customFormat="1" ht="12.6" customHeight="1">
      <c r="E50" s="449" t="s">
        <v>98</v>
      </c>
      <c r="H50" s="1380" t="s">
        <v>4011</v>
      </c>
      <c r="I50" s="1381"/>
      <c r="J50" s="1381"/>
      <c r="K50" s="1381"/>
      <c r="L50" s="1381"/>
      <c r="M50" s="1381"/>
      <c r="N50" s="1382"/>
      <c r="O50" s="827" t="s">
        <v>2869</v>
      </c>
      <c r="P50" s="827"/>
      <c r="Q50" s="1380" t="s">
        <v>3999</v>
      </c>
      <c r="R50" s="1381"/>
      <c r="S50" s="1382"/>
    </row>
    <row r="51" spans="1:19" s="449" customFormat="1" ht="12.6" customHeight="1">
      <c r="D51" s="498"/>
      <c r="E51" s="455" t="s">
        <v>1527</v>
      </c>
      <c r="F51" s="463"/>
      <c r="H51" s="1292" t="s">
        <v>4000</v>
      </c>
      <c r="I51" s="1342"/>
      <c r="J51" s="1342"/>
      <c r="K51" s="1342"/>
      <c r="L51" s="1342"/>
      <c r="M51" s="1342"/>
      <c r="N51" s="1343"/>
      <c r="O51" s="827" t="s">
        <v>2601</v>
      </c>
      <c r="Q51" s="1380" t="s">
        <v>4005</v>
      </c>
      <c r="R51" s="1381"/>
      <c r="S51" s="1382"/>
    </row>
    <row r="52" spans="1:19" s="449" customFormat="1" ht="12.6" customHeight="1">
      <c r="D52" s="498"/>
      <c r="E52" s="455" t="s">
        <v>876</v>
      </c>
      <c r="H52" s="1292" t="s">
        <v>1897</v>
      </c>
      <c r="I52" s="1342"/>
      <c r="J52" s="1343"/>
      <c r="O52" s="827" t="s">
        <v>2659</v>
      </c>
      <c r="Q52" s="1358">
        <v>7063123158</v>
      </c>
      <c r="R52" s="1359"/>
      <c r="S52" s="1360"/>
    </row>
    <row r="53" spans="1:19" s="449" customFormat="1" ht="12.6" customHeight="1">
      <c r="E53" s="455" t="s">
        <v>2655</v>
      </c>
      <c r="H53" s="1306" t="s">
        <v>1337</v>
      </c>
      <c r="I53" s="483" t="s">
        <v>3137</v>
      </c>
      <c r="J53" s="1303">
        <v>309012644</v>
      </c>
      <c r="K53" s="1343"/>
      <c r="O53" s="827" t="s">
        <v>2858</v>
      </c>
      <c r="Q53" s="1300"/>
      <c r="R53" s="1305"/>
      <c r="S53" s="1301"/>
    </row>
    <row r="54" spans="1:19" s="449" customFormat="1" ht="12.6" customHeight="1">
      <c r="D54" s="498"/>
      <c r="E54" s="455" t="s">
        <v>2864</v>
      </c>
      <c r="H54" s="1300"/>
      <c r="I54" s="1301"/>
      <c r="J54" s="1376"/>
      <c r="K54" s="836" t="s">
        <v>2658</v>
      </c>
      <c r="L54" s="1344">
        <v>7067243935</v>
      </c>
      <c r="M54" s="1343"/>
      <c r="N54" s="457" t="s">
        <v>2863</v>
      </c>
      <c r="O54" s="1307" t="s">
        <v>4001</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9"/>
      <c r="I57" s="1379"/>
      <c r="J57" s="1379"/>
      <c r="K57" s="826"/>
      <c r="L57" s="1379"/>
      <c r="M57" s="1379"/>
      <c r="N57" s="826"/>
      <c r="O57" s="863"/>
      <c r="P57" s="863"/>
      <c r="Q57" s="836"/>
      <c r="R57" s="863"/>
      <c r="S57" s="863"/>
    </row>
    <row r="58" spans="1:19" s="449" customFormat="1" ht="13.15" customHeight="1">
      <c r="B58" s="452" t="s">
        <v>2862</v>
      </c>
      <c r="C58" s="452" t="s">
        <v>349</v>
      </c>
      <c r="H58" s="1292" t="s">
        <v>4011</v>
      </c>
      <c r="I58" s="1342"/>
      <c r="J58" s="1342"/>
      <c r="K58" s="1342"/>
      <c r="L58" s="1342"/>
      <c r="M58" s="1342"/>
      <c r="N58" s="1343"/>
      <c r="O58" s="827" t="s">
        <v>2869</v>
      </c>
      <c r="P58" s="827"/>
      <c r="Q58" s="1380" t="s">
        <v>3999</v>
      </c>
      <c r="R58" s="1381"/>
      <c r="S58" s="1382"/>
    </row>
    <row r="59" spans="1:19" s="449" customFormat="1" ht="13.15" customHeight="1">
      <c r="D59" s="498"/>
      <c r="E59" s="455" t="s">
        <v>1527</v>
      </c>
      <c r="F59" s="463"/>
      <c r="H59" s="1292" t="s">
        <v>4000</v>
      </c>
      <c r="I59" s="1342"/>
      <c r="J59" s="1342"/>
      <c r="K59" s="1342"/>
      <c r="L59" s="1342"/>
      <c r="M59" s="1342"/>
      <c r="N59" s="1343"/>
      <c r="O59" s="827" t="s">
        <v>2601</v>
      </c>
      <c r="Q59" s="1380" t="s">
        <v>4005</v>
      </c>
      <c r="R59" s="1381"/>
      <c r="S59" s="1382"/>
    </row>
    <row r="60" spans="1:19" s="449" customFormat="1" ht="13.15" customHeight="1">
      <c r="D60" s="498"/>
      <c r="E60" s="455" t="s">
        <v>876</v>
      </c>
      <c r="H60" s="1292" t="s">
        <v>1897</v>
      </c>
      <c r="I60" s="1342"/>
      <c r="J60" s="1343"/>
      <c r="O60" s="827" t="s">
        <v>2659</v>
      </c>
      <c r="Q60" s="1358">
        <v>7063123158</v>
      </c>
      <c r="R60" s="1359"/>
      <c r="S60" s="1360"/>
    </row>
    <row r="61" spans="1:19" s="449" customFormat="1" ht="13.15" customHeight="1">
      <c r="E61" s="455" t="s">
        <v>2655</v>
      </c>
      <c r="H61" s="1306" t="s">
        <v>1337</v>
      </c>
      <c r="I61" s="483" t="s">
        <v>3137</v>
      </c>
      <c r="J61" s="1303">
        <v>309012644</v>
      </c>
      <c r="K61" s="1343"/>
      <c r="O61" s="827" t="s">
        <v>2858</v>
      </c>
      <c r="Q61" s="1300"/>
      <c r="R61" s="1305"/>
      <c r="S61" s="1301"/>
    </row>
    <row r="62" spans="1:19" s="449" customFormat="1" ht="13.15" customHeight="1">
      <c r="D62" s="498"/>
      <c r="E62" s="455" t="s">
        <v>2864</v>
      </c>
      <c r="H62" s="1300"/>
      <c r="I62" s="1301"/>
      <c r="J62" s="1376"/>
      <c r="K62" s="836" t="s">
        <v>2658</v>
      </c>
      <c r="L62" s="1344">
        <v>7067243935</v>
      </c>
      <c r="M62" s="1343"/>
      <c r="N62" s="457" t="s">
        <v>2863</v>
      </c>
      <c r="O62" s="1307" t="s">
        <v>4001</v>
      </c>
      <c r="P62" s="1308"/>
      <c r="Q62" s="1308"/>
      <c r="R62" s="1308"/>
      <c r="S62" s="1309"/>
    </row>
    <row r="63" spans="1:19" s="449" customFormat="1" ht="6.6" customHeight="1">
      <c r="D63" s="498"/>
      <c r="E63" s="833"/>
      <c r="F63" s="833"/>
      <c r="G63" s="827"/>
      <c r="H63" s="1383"/>
      <c r="I63" s="1383"/>
      <c r="J63" s="1383"/>
      <c r="K63" s="836"/>
      <c r="L63" s="1383"/>
      <c r="M63" s="1383"/>
      <c r="N63" s="826"/>
      <c r="O63" s="863"/>
      <c r="P63" s="863"/>
      <c r="Q63" s="836"/>
      <c r="R63" s="863"/>
      <c r="S63" s="863"/>
    </row>
    <row r="64" spans="1:19" s="449" customFormat="1" ht="13.15" customHeight="1">
      <c r="B64" s="452" t="s">
        <v>2865</v>
      </c>
      <c r="C64" s="452" t="s">
        <v>350</v>
      </c>
      <c r="H64" s="1292" t="s">
        <v>4012</v>
      </c>
      <c r="I64" s="1342"/>
      <c r="J64" s="1342"/>
      <c r="K64" s="1342"/>
      <c r="L64" s="1342"/>
      <c r="M64" s="1342"/>
      <c r="N64" s="1343"/>
      <c r="O64" s="827" t="s">
        <v>2869</v>
      </c>
      <c r="P64" s="827"/>
      <c r="Q64" s="1292" t="s">
        <v>4008</v>
      </c>
      <c r="R64" s="1342"/>
      <c r="S64" s="1343"/>
    </row>
    <row r="65" spans="2:19" s="449" customFormat="1" ht="13.15" customHeight="1">
      <c r="D65" s="498"/>
      <c r="E65" s="455" t="s">
        <v>1527</v>
      </c>
      <c r="F65" s="463"/>
      <c r="H65" s="1292" t="s">
        <v>3980</v>
      </c>
      <c r="I65" s="1342"/>
      <c r="J65" s="1342"/>
      <c r="K65" s="1342"/>
      <c r="L65" s="1342"/>
      <c r="M65" s="1342"/>
      <c r="N65" s="1343"/>
      <c r="O65" s="827" t="s">
        <v>2601</v>
      </c>
      <c r="Q65" s="1292" t="s">
        <v>4009</v>
      </c>
      <c r="R65" s="1342"/>
      <c r="S65" s="1343"/>
    </row>
    <row r="66" spans="2:19" s="449" customFormat="1" ht="13.15" customHeight="1">
      <c r="D66" s="498"/>
      <c r="E66" s="455" t="s">
        <v>876</v>
      </c>
      <c r="H66" s="1292" t="s">
        <v>451</v>
      </c>
      <c r="I66" s="1342"/>
      <c r="J66" s="1343"/>
      <c r="O66" s="827" t="s">
        <v>2659</v>
      </c>
      <c r="Q66" s="1300">
        <v>6783034135</v>
      </c>
      <c r="R66" s="1305"/>
      <c r="S66" s="1301"/>
    </row>
    <row r="67" spans="2:19" s="449" customFormat="1" ht="13.15" customHeight="1">
      <c r="E67" s="455" t="s">
        <v>2655</v>
      </c>
      <c r="H67" s="1306" t="s">
        <v>1337</v>
      </c>
      <c r="I67" s="483" t="s">
        <v>3137</v>
      </c>
      <c r="J67" s="1303">
        <v>300678770</v>
      </c>
      <c r="K67" s="1343"/>
      <c r="O67" s="827" t="s">
        <v>2858</v>
      </c>
      <c r="Q67" s="1300"/>
      <c r="R67" s="1305"/>
      <c r="S67" s="1301"/>
    </row>
    <row r="68" spans="2:19" s="449" customFormat="1" ht="13.15" customHeight="1">
      <c r="D68" s="498"/>
      <c r="E68" s="455" t="s">
        <v>2864</v>
      </c>
      <c r="H68" s="1300">
        <v>6783034100</v>
      </c>
      <c r="I68" s="1301"/>
      <c r="J68" s="1376">
        <v>4735</v>
      </c>
      <c r="K68" s="836" t="s">
        <v>2658</v>
      </c>
      <c r="L68" s="1344">
        <v>6783034111</v>
      </c>
      <c r="M68" s="1343"/>
      <c r="N68" s="457" t="s">
        <v>2863</v>
      </c>
      <c r="O68" s="1307" t="s">
        <v>4010</v>
      </c>
      <c r="P68" s="1308"/>
      <c r="Q68" s="1308"/>
      <c r="R68" s="1308"/>
      <c r="S68" s="1309"/>
    </row>
    <row r="69" spans="2:19" s="449" customFormat="1" ht="6.6" customHeight="1">
      <c r="D69" s="498"/>
      <c r="E69" s="833"/>
      <c r="F69" s="833"/>
      <c r="G69" s="827"/>
      <c r="H69" s="1383"/>
      <c r="I69" s="1383"/>
      <c r="J69" s="1383"/>
      <c r="K69" s="836"/>
      <c r="L69" s="1383"/>
      <c r="M69" s="1383"/>
      <c r="N69" s="826"/>
      <c r="O69" s="863"/>
      <c r="P69" s="863"/>
      <c r="Q69" s="836"/>
      <c r="R69" s="863"/>
      <c r="S69" s="863"/>
    </row>
    <row r="70" spans="2:19" s="449" customFormat="1" ht="13.15" customHeight="1">
      <c r="B70" s="452" t="s">
        <v>1145</v>
      </c>
      <c r="C70" s="452" t="s">
        <v>2129</v>
      </c>
      <c r="H70" s="1292"/>
      <c r="I70" s="1342"/>
      <c r="J70" s="1342"/>
      <c r="K70" s="1342"/>
      <c r="L70" s="1342"/>
      <c r="M70" s="1342"/>
      <c r="N70" s="1343"/>
      <c r="O70" s="827" t="s">
        <v>2869</v>
      </c>
      <c r="P70" s="827"/>
      <c r="Q70" s="1292"/>
      <c r="R70" s="1342"/>
      <c r="S70" s="1343"/>
    </row>
    <row r="71" spans="2:19" s="449" customFormat="1" ht="13.15" customHeight="1">
      <c r="D71" s="498"/>
      <c r="E71" s="455" t="s">
        <v>1527</v>
      </c>
      <c r="F71" s="463"/>
      <c r="H71" s="1292"/>
      <c r="I71" s="1342"/>
      <c r="J71" s="1342"/>
      <c r="K71" s="1342"/>
      <c r="L71" s="1342"/>
      <c r="M71" s="1342"/>
      <c r="N71" s="1343"/>
      <c r="O71" s="827" t="s">
        <v>2601</v>
      </c>
      <c r="Q71" s="1292"/>
      <c r="R71" s="1342"/>
      <c r="S71" s="1343"/>
    </row>
    <row r="72" spans="2:19" s="449" customFormat="1" ht="13.15" customHeight="1">
      <c r="D72" s="498"/>
      <c r="E72" s="455" t="s">
        <v>876</v>
      </c>
      <c r="H72" s="1292"/>
      <c r="I72" s="1342"/>
      <c r="J72" s="1343"/>
      <c r="O72" s="827" t="s">
        <v>2659</v>
      </c>
      <c r="Q72" s="1300"/>
      <c r="R72" s="1305"/>
      <c r="S72" s="1301"/>
    </row>
    <row r="73" spans="2:19" s="449" customFormat="1" ht="13.15" customHeight="1">
      <c r="E73" s="455" t="s">
        <v>2655</v>
      </c>
      <c r="H73" s="1306"/>
      <c r="I73" s="483" t="s">
        <v>3137</v>
      </c>
      <c r="J73" s="1303"/>
      <c r="K73" s="1343"/>
      <c r="O73" s="827" t="s">
        <v>2858</v>
      </c>
      <c r="Q73" s="1300"/>
      <c r="R73" s="1305"/>
      <c r="S73" s="1301"/>
    </row>
    <row r="74" spans="2:19" s="449" customFormat="1" ht="13.15" customHeight="1">
      <c r="D74" s="498"/>
      <c r="E74" s="455" t="s">
        <v>2864</v>
      </c>
      <c r="H74" s="1300"/>
      <c r="I74" s="1301"/>
      <c r="J74" s="1376"/>
      <c r="K74" s="836" t="s">
        <v>2658</v>
      </c>
      <c r="L74" s="1344"/>
      <c r="M74" s="1343"/>
      <c r="N74" s="457" t="s">
        <v>2863</v>
      </c>
      <c r="O74" s="1307"/>
      <c r="P74" s="1308"/>
      <c r="Q74" s="1308"/>
      <c r="R74" s="1308"/>
      <c r="S74" s="1309"/>
    </row>
    <row r="75" spans="2:19" ht="6.6" customHeight="1">
      <c r="H75" s="1383"/>
      <c r="I75" s="1383"/>
      <c r="J75" s="1383"/>
      <c r="K75" s="836"/>
      <c r="L75" s="1383"/>
      <c r="M75" s="1383"/>
      <c r="N75" s="826"/>
      <c r="O75" s="863"/>
      <c r="P75" s="863"/>
      <c r="Q75" s="836"/>
      <c r="R75" s="863"/>
      <c r="S75" s="863"/>
    </row>
    <row r="76" spans="2:19" s="449" customFormat="1" ht="13.15" customHeight="1">
      <c r="B76" s="452" t="s">
        <v>3004</v>
      </c>
      <c r="C76" s="452" t="s">
        <v>351</v>
      </c>
      <c r="H76" s="1292"/>
      <c r="I76" s="1342"/>
      <c r="J76" s="1342"/>
      <c r="K76" s="1342"/>
      <c r="L76" s="1342"/>
      <c r="M76" s="1342"/>
      <c r="N76" s="1343"/>
      <c r="O76" s="827" t="s">
        <v>2869</v>
      </c>
      <c r="P76" s="827"/>
      <c r="Q76" s="1292"/>
      <c r="R76" s="1342"/>
      <c r="S76" s="1343"/>
    </row>
    <row r="77" spans="2:19" s="449" customFormat="1" ht="13.15" customHeight="1">
      <c r="D77" s="498"/>
      <c r="E77" s="455" t="s">
        <v>1527</v>
      </c>
      <c r="F77" s="463"/>
      <c r="H77" s="1292"/>
      <c r="I77" s="1342"/>
      <c r="J77" s="1342"/>
      <c r="K77" s="1342"/>
      <c r="L77" s="1342"/>
      <c r="M77" s="1342"/>
      <c r="N77" s="1343"/>
      <c r="O77" s="827" t="s">
        <v>2601</v>
      </c>
      <c r="Q77" s="1292"/>
      <c r="R77" s="1342"/>
      <c r="S77" s="1343"/>
    </row>
    <row r="78" spans="2:19" s="449" customFormat="1" ht="13.15" customHeight="1">
      <c r="D78" s="498"/>
      <c r="E78" s="455" t="s">
        <v>876</v>
      </c>
      <c r="H78" s="1292"/>
      <c r="I78" s="1342"/>
      <c r="J78" s="1343"/>
      <c r="O78" s="827" t="s">
        <v>2659</v>
      </c>
      <c r="Q78" s="1300"/>
      <c r="R78" s="1305"/>
      <c r="S78" s="1301"/>
    </row>
    <row r="79" spans="2:19" s="449" customFormat="1" ht="13.15" customHeight="1">
      <c r="E79" s="455" t="s">
        <v>2655</v>
      </c>
      <c r="H79" s="1306"/>
      <c r="I79" s="483" t="s">
        <v>3137</v>
      </c>
      <c r="J79" s="1303"/>
      <c r="K79" s="1343"/>
      <c r="O79" s="827" t="s">
        <v>2858</v>
      </c>
      <c r="Q79" s="1300"/>
      <c r="R79" s="1305"/>
      <c r="S79" s="1301"/>
    </row>
    <row r="80" spans="2:19" s="449" customFormat="1" ht="13.15" customHeight="1">
      <c r="D80" s="498"/>
      <c r="E80" s="455" t="s">
        <v>2864</v>
      </c>
      <c r="H80" s="1300"/>
      <c r="I80" s="1301"/>
      <c r="J80" s="1376"/>
      <c r="K80" s="836" t="s">
        <v>2658</v>
      </c>
      <c r="L80" s="1344"/>
      <c r="M80" s="1343"/>
      <c r="N80" s="457" t="s">
        <v>2863</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9"/>
      <c r="I83" s="1379"/>
      <c r="J83" s="1379"/>
      <c r="K83" s="826"/>
      <c r="L83" s="1379"/>
      <c r="M83" s="1379"/>
      <c r="N83" s="826"/>
      <c r="O83" s="863"/>
      <c r="P83" s="863"/>
      <c r="Q83" s="836"/>
      <c r="R83" s="863"/>
      <c r="S83" s="863"/>
    </row>
    <row r="84" spans="1:19" s="449" customFormat="1" ht="13.15" customHeight="1">
      <c r="B84" s="452" t="s">
        <v>2862</v>
      </c>
      <c r="C84" s="452" t="s">
        <v>353</v>
      </c>
      <c r="H84" s="1292"/>
      <c r="I84" s="1342"/>
      <c r="J84" s="1342"/>
      <c r="K84" s="1342"/>
      <c r="L84" s="1342"/>
      <c r="M84" s="1342"/>
      <c r="N84" s="1343"/>
      <c r="O84" s="827" t="s">
        <v>2869</v>
      </c>
      <c r="P84" s="827"/>
      <c r="Q84" s="1292"/>
      <c r="R84" s="1342"/>
      <c r="S84" s="1343"/>
    </row>
    <row r="85" spans="1:19" s="449" customFormat="1" ht="13.15" customHeight="1">
      <c r="D85" s="498"/>
      <c r="E85" s="455" t="s">
        <v>1527</v>
      </c>
      <c r="F85" s="463"/>
      <c r="H85" s="1292"/>
      <c r="I85" s="1342"/>
      <c r="J85" s="1342"/>
      <c r="K85" s="1342"/>
      <c r="L85" s="1342"/>
      <c r="M85" s="1342"/>
      <c r="N85" s="1343"/>
      <c r="O85" s="827" t="s">
        <v>2601</v>
      </c>
      <c r="Q85" s="1292"/>
      <c r="R85" s="1342"/>
      <c r="S85" s="1343"/>
    </row>
    <row r="86" spans="1:19" s="449" customFormat="1" ht="13.15" customHeight="1">
      <c r="D86" s="498"/>
      <c r="E86" s="455" t="s">
        <v>876</v>
      </c>
      <c r="H86" s="1292"/>
      <c r="I86" s="1342"/>
      <c r="J86" s="1343"/>
      <c r="O86" s="827" t="s">
        <v>2659</v>
      </c>
      <c r="Q86" s="1300"/>
      <c r="R86" s="1305"/>
      <c r="S86" s="1301"/>
    </row>
    <row r="87" spans="1:19" s="449" customFormat="1" ht="13.15" customHeight="1">
      <c r="E87" s="455" t="s">
        <v>2655</v>
      </c>
      <c r="H87" s="1306"/>
      <c r="I87" s="483" t="s">
        <v>3137</v>
      </c>
      <c r="J87" s="1303"/>
      <c r="K87" s="1343"/>
      <c r="O87" s="827" t="s">
        <v>2858</v>
      </c>
      <c r="Q87" s="1300"/>
      <c r="R87" s="1305"/>
      <c r="S87" s="1301"/>
    </row>
    <row r="88" spans="1:19" s="449" customFormat="1" ht="13.15" customHeight="1">
      <c r="D88" s="498"/>
      <c r="E88" s="455" t="s">
        <v>2864</v>
      </c>
      <c r="H88" s="1300"/>
      <c r="I88" s="1301"/>
      <c r="J88" s="1376"/>
      <c r="K88" s="836" t="s">
        <v>2658</v>
      </c>
      <c r="L88" s="1344"/>
      <c r="M88" s="1343"/>
      <c r="N88" s="457" t="s">
        <v>2863</v>
      </c>
      <c r="O88" s="1307"/>
      <c r="P88" s="1308"/>
      <c r="Q88" s="1308"/>
      <c r="R88" s="1308"/>
      <c r="S88" s="1309"/>
    </row>
    <row r="89" spans="1:19" ht="6.6" customHeight="1">
      <c r="H89" s="1383"/>
      <c r="I89" s="1383"/>
      <c r="J89" s="1383"/>
      <c r="K89" s="836"/>
      <c r="L89" s="1383"/>
      <c r="M89" s="1383"/>
      <c r="N89" s="826"/>
      <c r="O89" s="863"/>
      <c r="P89" s="863"/>
      <c r="Q89" s="836"/>
      <c r="R89" s="863"/>
      <c r="S89" s="863"/>
    </row>
    <row r="90" spans="1:19" s="449" customFormat="1" ht="13.15" customHeight="1">
      <c r="B90" s="452" t="s">
        <v>2865</v>
      </c>
      <c r="C90" s="452" t="s">
        <v>354</v>
      </c>
      <c r="H90" s="1292" t="s">
        <v>4015</v>
      </c>
      <c r="I90" s="1342"/>
      <c r="J90" s="1342"/>
      <c r="K90" s="1342"/>
      <c r="L90" s="1342"/>
      <c r="M90" s="1342"/>
      <c r="N90" s="1343"/>
      <c r="O90" s="827" t="s">
        <v>2869</v>
      </c>
      <c r="P90" s="827"/>
      <c r="Q90" s="1380" t="s">
        <v>4017</v>
      </c>
      <c r="R90" s="1381"/>
      <c r="S90" s="1382"/>
    </row>
    <row r="91" spans="1:19" s="449" customFormat="1" ht="13.15" customHeight="1">
      <c r="D91" s="498"/>
      <c r="E91" s="455" t="s">
        <v>1527</v>
      </c>
      <c r="F91" s="463"/>
      <c r="H91" s="1292" t="s">
        <v>4016</v>
      </c>
      <c r="I91" s="1342"/>
      <c r="J91" s="1342"/>
      <c r="K91" s="1342"/>
      <c r="L91" s="1342"/>
      <c r="M91" s="1342"/>
      <c r="N91" s="1343"/>
      <c r="O91" s="827" t="s">
        <v>2601</v>
      </c>
      <c r="Q91" s="1380" t="s">
        <v>4018</v>
      </c>
      <c r="R91" s="1381"/>
      <c r="S91" s="1382"/>
    </row>
    <row r="92" spans="1:19" s="449" customFormat="1" ht="13.15" customHeight="1">
      <c r="D92" s="498"/>
      <c r="E92" s="455" t="s">
        <v>876</v>
      </c>
      <c r="H92" s="1292" t="s">
        <v>1743</v>
      </c>
      <c r="I92" s="1342"/>
      <c r="J92" s="1343"/>
      <c r="O92" s="827" t="s">
        <v>2659</v>
      </c>
      <c r="Q92" s="1358">
        <v>7702729256</v>
      </c>
      <c r="R92" s="1359"/>
      <c r="S92" s="1360"/>
    </row>
    <row r="93" spans="1:19" s="449" customFormat="1" ht="13.15" customHeight="1">
      <c r="E93" s="455" t="s">
        <v>2655</v>
      </c>
      <c r="H93" s="1306" t="s">
        <v>1337</v>
      </c>
      <c r="I93" s="483" t="s">
        <v>3137</v>
      </c>
      <c r="J93" s="1303">
        <v>303392715</v>
      </c>
      <c r="K93" s="1343"/>
      <c r="O93" s="827" t="s">
        <v>2858</v>
      </c>
      <c r="Q93" s="1300"/>
      <c r="R93" s="1305"/>
      <c r="S93" s="1301"/>
    </row>
    <row r="94" spans="1:19" s="449" customFormat="1" ht="13.15" customHeight="1">
      <c r="D94" s="498"/>
      <c r="E94" s="455" t="s">
        <v>2864</v>
      </c>
      <c r="H94" s="1300">
        <v>7702729256</v>
      </c>
      <c r="I94" s="1301"/>
      <c r="J94" s="1376"/>
      <c r="K94" s="836" t="s">
        <v>2658</v>
      </c>
      <c r="L94" s="1344"/>
      <c r="M94" s="1343"/>
      <c r="N94" s="457" t="s">
        <v>2863</v>
      </c>
      <c r="O94" s="1384" t="s">
        <v>4076</v>
      </c>
      <c r="P94" s="1385"/>
      <c r="Q94" s="1385"/>
      <c r="R94" s="1385"/>
      <c r="S94" s="1386"/>
    </row>
    <row r="95" spans="1:19" ht="6.6" customHeight="1">
      <c r="H95" s="1383"/>
      <c r="I95" s="1383"/>
      <c r="J95" s="1383"/>
      <c r="K95" s="836"/>
      <c r="L95" s="1383"/>
      <c r="M95" s="1383"/>
      <c r="N95" s="826"/>
      <c r="O95" s="863"/>
      <c r="P95" s="863"/>
      <c r="Q95" s="836"/>
      <c r="R95" s="863"/>
      <c r="S95" s="863"/>
    </row>
    <row r="96" spans="1:19" s="449" customFormat="1" ht="13.15" customHeight="1">
      <c r="B96" s="452" t="s">
        <v>1145</v>
      </c>
      <c r="C96" s="452" t="s">
        <v>355</v>
      </c>
      <c r="F96" s="472"/>
      <c r="H96" s="1292" t="s">
        <v>4019</v>
      </c>
      <c r="I96" s="1342"/>
      <c r="J96" s="1342"/>
      <c r="K96" s="1342"/>
      <c r="L96" s="1342"/>
      <c r="M96" s="1342"/>
      <c r="N96" s="1343"/>
      <c r="O96" s="827" t="s">
        <v>2869</v>
      </c>
      <c r="P96" s="827"/>
      <c r="Q96" s="1380" t="s">
        <v>4020</v>
      </c>
      <c r="R96" s="1381"/>
      <c r="S96" s="1382"/>
    </row>
    <row r="97" spans="2:19" s="449" customFormat="1" ht="13.15" customHeight="1">
      <c r="D97" s="498"/>
      <c r="E97" s="455" t="s">
        <v>1527</v>
      </c>
      <c r="F97" s="463"/>
      <c r="H97" s="1292" t="s">
        <v>3980</v>
      </c>
      <c r="I97" s="1342"/>
      <c r="J97" s="1342"/>
      <c r="K97" s="1342"/>
      <c r="L97" s="1342"/>
      <c r="M97" s="1342"/>
      <c r="N97" s="1343"/>
      <c r="O97" s="827" t="s">
        <v>2601</v>
      </c>
      <c r="Q97" s="1380" t="s">
        <v>4009</v>
      </c>
      <c r="R97" s="1381"/>
      <c r="S97" s="1382"/>
    </row>
    <row r="98" spans="2:19" s="449" customFormat="1" ht="13.15" customHeight="1">
      <c r="D98" s="498"/>
      <c r="E98" s="455" t="s">
        <v>876</v>
      </c>
      <c r="H98" s="1292" t="s">
        <v>451</v>
      </c>
      <c r="I98" s="1342"/>
      <c r="J98" s="1343"/>
      <c r="O98" s="827" t="s">
        <v>2659</v>
      </c>
      <c r="Q98" s="1358">
        <v>6783034135</v>
      </c>
      <c r="R98" s="1359"/>
      <c r="S98" s="1360"/>
    </row>
    <row r="99" spans="2:19" s="449" customFormat="1" ht="13.15" customHeight="1">
      <c r="D99" s="498"/>
      <c r="E99" s="455" t="s">
        <v>2655</v>
      </c>
      <c r="H99" s="1306" t="s">
        <v>1337</v>
      </c>
      <c r="I99" s="483" t="s">
        <v>3137</v>
      </c>
      <c r="J99" s="1303">
        <v>300678770</v>
      </c>
      <c r="K99" s="1343"/>
      <c r="O99" s="827" t="s">
        <v>2858</v>
      </c>
      <c r="Q99" s="1300"/>
      <c r="R99" s="1305"/>
      <c r="S99" s="1301"/>
    </row>
    <row r="100" spans="2:19" s="449" customFormat="1" ht="13.15" customHeight="1">
      <c r="D100" s="498"/>
      <c r="E100" s="455" t="s">
        <v>2864</v>
      </c>
      <c r="H100" s="1300">
        <v>6783034100</v>
      </c>
      <c r="I100" s="1301"/>
      <c r="J100" s="1376">
        <v>4735</v>
      </c>
      <c r="K100" s="836" t="s">
        <v>2658</v>
      </c>
      <c r="L100" s="1344">
        <v>6783034111</v>
      </c>
      <c r="M100" s="1343"/>
      <c r="N100" s="457" t="s">
        <v>2863</v>
      </c>
      <c r="O100" s="1384" t="s">
        <v>4010</v>
      </c>
      <c r="P100" s="1385"/>
      <c r="Q100" s="1385"/>
      <c r="R100" s="1385"/>
      <c r="S100" s="1386"/>
    </row>
    <row r="101" spans="2:19" ht="6.6" customHeight="1">
      <c r="H101" s="1383"/>
      <c r="I101" s="1383"/>
      <c r="J101" s="1383"/>
      <c r="K101" s="836"/>
      <c r="L101" s="1383"/>
      <c r="M101" s="1383"/>
      <c r="N101" s="826"/>
      <c r="O101" s="863"/>
      <c r="P101" s="863"/>
      <c r="Q101" s="836"/>
      <c r="R101" s="863"/>
      <c r="S101" s="863"/>
    </row>
    <row r="102" spans="2:19" s="449" customFormat="1" ht="13.15" customHeight="1">
      <c r="B102" s="452" t="s">
        <v>3004</v>
      </c>
      <c r="C102" s="452" t="s">
        <v>356</v>
      </c>
      <c r="H102" s="1292" t="s">
        <v>4021</v>
      </c>
      <c r="I102" s="1342"/>
      <c r="J102" s="1342"/>
      <c r="K102" s="1342"/>
      <c r="L102" s="1342"/>
      <c r="M102" s="1342"/>
      <c r="N102" s="1343"/>
      <c r="O102" s="827" t="s">
        <v>2869</v>
      </c>
      <c r="P102" s="827"/>
      <c r="Q102" s="1380" t="s">
        <v>4023</v>
      </c>
      <c r="R102" s="1381"/>
      <c r="S102" s="1382"/>
    </row>
    <row r="103" spans="2:19" s="449" customFormat="1" ht="13.15" customHeight="1">
      <c r="D103" s="498"/>
      <c r="E103" s="455" t="s">
        <v>1527</v>
      </c>
      <c r="F103" s="463"/>
      <c r="H103" s="1292" t="s">
        <v>4022</v>
      </c>
      <c r="I103" s="1342"/>
      <c r="J103" s="1342"/>
      <c r="K103" s="1342"/>
      <c r="L103" s="1342"/>
      <c r="M103" s="1342"/>
      <c r="N103" s="1343"/>
      <c r="O103" s="827" t="s">
        <v>2601</v>
      </c>
      <c r="Q103" s="1380" t="s">
        <v>4024</v>
      </c>
      <c r="R103" s="1381"/>
      <c r="S103" s="1382"/>
    </row>
    <row r="104" spans="2:19" s="449" customFormat="1" ht="13.15" customHeight="1">
      <c r="D104" s="498"/>
      <c r="E104" s="455" t="s">
        <v>876</v>
      </c>
      <c r="H104" s="1292" t="s">
        <v>1743</v>
      </c>
      <c r="I104" s="1342"/>
      <c r="J104" s="1343"/>
      <c r="O104" s="827" t="s">
        <v>2659</v>
      </c>
      <c r="Q104" s="1358">
        <v>4048737014</v>
      </c>
      <c r="R104" s="1359"/>
      <c r="S104" s="1360"/>
    </row>
    <row r="105" spans="2:19" s="449" customFormat="1" ht="13.15" customHeight="1">
      <c r="D105" s="498"/>
      <c r="E105" s="455" t="s">
        <v>2655</v>
      </c>
      <c r="H105" s="1306" t="s">
        <v>1337</v>
      </c>
      <c r="I105" s="483" t="s">
        <v>3137</v>
      </c>
      <c r="J105" s="1303">
        <v>303631031</v>
      </c>
      <c r="K105" s="1343"/>
      <c r="O105" s="827" t="s">
        <v>2858</v>
      </c>
      <c r="Q105" s="1300"/>
      <c r="R105" s="1305"/>
      <c r="S105" s="1301"/>
    </row>
    <row r="106" spans="2:19" ht="13.15" customHeight="1">
      <c r="E106" s="455" t="s">
        <v>2864</v>
      </c>
      <c r="F106" s="449"/>
      <c r="G106" s="449"/>
      <c r="H106" s="1300"/>
      <c r="I106" s="1301"/>
      <c r="J106" s="1376"/>
      <c r="K106" s="836" t="s">
        <v>2658</v>
      </c>
      <c r="L106" s="1344"/>
      <c r="M106" s="1343"/>
      <c r="N106" s="457" t="s">
        <v>2863</v>
      </c>
      <c r="O106" s="1384" t="s">
        <v>4077</v>
      </c>
      <c r="P106" s="1385"/>
      <c r="Q106" s="1385"/>
      <c r="R106" s="1385"/>
      <c r="S106" s="1386"/>
    </row>
    <row r="107" spans="2:19" ht="6" customHeight="1">
      <c r="E107" s="455"/>
      <c r="F107" s="449"/>
      <c r="G107" s="449"/>
      <c r="H107" s="449"/>
      <c r="I107" s="449"/>
      <c r="J107" s="449"/>
      <c r="K107" s="449"/>
      <c r="L107" s="449"/>
      <c r="M107" s="449"/>
      <c r="N107" s="449"/>
      <c r="O107" s="449"/>
      <c r="P107" s="449"/>
      <c r="Q107" s="836"/>
      <c r="R107" s="836"/>
      <c r="S107" s="1387"/>
    </row>
    <row r="108" spans="2:19" ht="0.6" customHeight="1">
      <c r="E108" s="455"/>
      <c r="F108" s="449"/>
      <c r="G108" s="833"/>
      <c r="H108" s="1379"/>
      <c r="I108" s="1379"/>
      <c r="J108" s="1379"/>
      <c r="K108" s="826"/>
      <c r="L108" s="1379"/>
      <c r="M108" s="1379"/>
      <c r="N108" s="826"/>
      <c r="O108" s="863"/>
      <c r="P108" s="863"/>
      <c r="Q108" s="836"/>
      <c r="R108" s="863"/>
      <c r="S108" s="863"/>
    </row>
    <row r="109" spans="2:19" s="449" customFormat="1" ht="13.15" customHeight="1">
      <c r="B109" s="452" t="s">
        <v>2588</v>
      </c>
      <c r="C109" s="452" t="s">
        <v>357</v>
      </c>
      <c r="H109" s="1380" t="s">
        <v>4025</v>
      </c>
      <c r="I109" s="1388"/>
      <c r="J109" s="1388"/>
      <c r="K109" s="1388"/>
      <c r="L109" s="1388"/>
      <c r="M109" s="1388"/>
      <c r="N109" s="1389"/>
      <c r="O109" s="827" t="s">
        <v>2869</v>
      </c>
      <c r="P109" s="827"/>
      <c r="Q109" s="1380" t="s">
        <v>4047</v>
      </c>
      <c r="R109" s="1381"/>
      <c r="S109" s="1382"/>
    </row>
    <row r="110" spans="2:19" s="449" customFormat="1" ht="13.15" customHeight="1">
      <c r="D110" s="498"/>
      <c r="E110" s="455" t="s">
        <v>1527</v>
      </c>
      <c r="F110" s="463"/>
      <c r="H110" s="1390" t="s">
        <v>4046</v>
      </c>
      <c r="I110" s="1388"/>
      <c r="J110" s="1388"/>
      <c r="K110" s="1388"/>
      <c r="L110" s="1388"/>
      <c r="M110" s="1388"/>
      <c r="N110" s="1389"/>
      <c r="O110" s="827" t="s">
        <v>2601</v>
      </c>
      <c r="Q110" s="1380" t="s">
        <v>4048</v>
      </c>
      <c r="R110" s="1381"/>
      <c r="S110" s="1382"/>
    </row>
    <row r="111" spans="2:19" s="449" customFormat="1" ht="13.15" customHeight="1">
      <c r="D111" s="498"/>
      <c r="E111" s="455" t="s">
        <v>876</v>
      </c>
      <c r="H111" s="1292" t="s">
        <v>1743</v>
      </c>
      <c r="I111" s="1342"/>
      <c r="J111" s="1343"/>
      <c r="O111" s="827" t="s">
        <v>2659</v>
      </c>
      <c r="Q111" s="1358">
        <v>4048477774</v>
      </c>
      <c r="R111" s="1359"/>
      <c r="S111" s="1360"/>
    </row>
    <row r="112" spans="2:19" s="449" customFormat="1" ht="13.15" customHeight="1">
      <c r="D112" s="498"/>
      <c r="E112" s="455" t="s">
        <v>2655</v>
      </c>
      <c r="H112" s="1306" t="s">
        <v>1337</v>
      </c>
      <c r="I112" s="483" t="s">
        <v>3137</v>
      </c>
      <c r="J112" s="1303">
        <v>303264276</v>
      </c>
      <c r="K112" s="1343"/>
      <c r="O112" s="827" t="s">
        <v>2858</v>
      </c>
      <c r="Q112" s="1300"/>
      <c r="R112" s="1305"/>
      <c r="S112" s="1301"/>
    </row>
    <row r="113" spans="1:19" ht="13.15" customHeight="1">
      <c r="E113" s="455" t="s">
        <v>2864</v>
      </c>
      <c r="F113" s="449"/>
      <c r="G113" s="449"/>
      <c r="H113" s="1300">
        <v>4048479447</v>
      </c>
      <c r="I113" s="1301"/>
      <c r="J113" s="1376"/>
      <c r="K113" s="836" t="s">
        <v>2658</v>
      </c>
      <c r="L113" s="1344">
        <v>4048477775</v>
      </c>
      <c r="M113" s="1343"/>
      <c r="N113" s="457" t="s">
        <v>2863</v>
      </c>
      <c r="O113" s="1384" t="s">
        <v>4049</v>
      </c>
      <c r="P113" s="1385"/>
      <c r="Q113" s="1385"/>
      <c r="R113" s="1385"/>
      <c r="S113" s="1386"/>
    </row>
    <row r="114" spans="1:19" ht="6.6" customHeight="1">
      <c r="E114" s="455"/>
      <c r="F114" s="449"/>
      <c r="G114" s="833"/>
      <c r="H114" s="1383"/>
      <c r="I114" s="1383"/>
      <c r="J114" s="1383"/>
      <c r="K114" s="836"/>
      <c r="L114" s="1383"/>
      <c r="M114" s="1383"/>
      <c r="N114" s="826"/>
      <c r="O114" s="863"/>
      <c r="P114" s="863"/>
      <c r="Q114" s="836"/>
      <c r="R114" s="863"/>
      <c r="S114" s="863"/>
    </row>
    <row r="115" spans="1:19" s="449" customFormat="1" ht="13.15" customHeight="1">
      <c r="B115" s="452" t="s">
        <v>2589</v>
      </c>
      <c r="C115" s="452" t="s">
        <v>358</v>
      </c>
      <c r="H115" s="1292" t="s">
        <v>4026</v>
      </c>
      <c r="I115" s="1342"/>
      <c r="J115" s="1342"/>
      <c r="K115" s="1342"/>
      <c r="L115" s="1342"/>
      <c r="M115" s="1342"/>
      <c r="N115" s="1343"/>
      <c r="O115" s="827" t="s">
        <v>2869</v>
      </c>
      <c r="P115" s="827"/>
      <c r="Q115" s="1380" t="s">
        <v>4028</v>
      </c>
      <c r="R115" s="1381"/>
      <c r="S115" s="1382"/>
    </row>
    <row r="116" spans="1:19" s="449" customFormat="1" ht="13.15" customHeight="1">
      <c r="D116" s="498"/>
      <c r="E116" s="455" t="s">
        <v>1527</v>
      </c>
      <c r="F116" s="463"/>
      <c r="H116" s="1292" t="s">
        <v>4027</v>
      </c>
      <c r="I116" s="1342"/>
      <c r="J116" s="1342"/>
      <c r="K116" s="1342"/>
      <c r="L116" s="1342"/>
      <c r="M116" s="1342"/>
      <c r="N116" s="1343"/>
      <c r="O116" s="827" t="s">
        <v>2601</v>
      </c>
      <c r="Q116" s="1380" t="s">
        <v>4018</v>
      </c>
      <c r="R116" s="1381"/>
      <c r="S116" s="1382"/>
    </row>
    <row r="117" spans="1:19" s="449" customFormat="1" ht="13.15" customHeight="1">
      <c r="D117" s="498"/>
      <c r="E117" s="455" t="s">
        <v>876</v>
      </c>
      <c r="H117" s="1292" t="s">
        <v>1743</v>
      </c>
      <c r="I117" s="1342"/>
      <c r="J117" s="1343"/>
      <c r="O117" s="827" t="s">
        <v>2659</v>
      </c>
      <c r="Q117" s="1358">
        <v>7704570623</v>
      </c>
      <c r="R117" s="1359"/>
      <c r="S117" s="1360"/>
    </row>
    <row r="118" spans="1:19" s="449" customFormat="1" ht="13.15" customHeight="1">
      <c r="D118" s="503"/>
      <c r="E118" s="455" t="s">
        <v>2655</v>
      </c>
      <c r="H118" s="1306" t="s">
        <v>1337</v>
      </c>
      <c r="I118" s="483" t="s">
        <v>3137</v>
      </c>
      <c r="J118" s="1303">
        <v>303414139</v>
      </c>
      <c r="K118" s="1343"/>
      <c r="O118" s="827" t="s">
        <v>2858</v>
      </c>
      <c r="Q118" s="1300"/>
      <c r="R118" s="1305"/>
      <c r="S118" s="1301"/>
    </row>
    <row r="119" spans="1:19" s="449" customFormat="1" ht="13.15" customHeight="1">
      <c r="D119" s="503"/>
      <c r="E119" s="455" t="s">
        <v>2864</v>
      </c>
      <c r="H119" s="1300">
        <v>7704570623</v>
      </c>
      <c r="I119" s="1301"/>
      <c r="J119" s="1376"/>
      <c r="K119" s="836" t="s">
        <v>2658</v>
      </c>
      <c r="L119" s="1344">
        <v>7704510092</v>
      </c>
      <c r="M119" s="1343"/>
      <c r="N119" s="457" t="s">
        <v>2863</v>
      </c>
      <c r="O119" s="1384" t="s">
        <v>4029</v>
      </c>
      <c r="P119" s="1385"/>
      <c r="Q119" s="1385"/>
      <c r="R119" s="1385"/>
      <c r="S119" s="1386"/>
    </row>
    <row r="120" spans="1:19" ht="13.15" customHeight="1"/>
    <row r="121" spans="1:19" s="449" customFormat="1" ht="13.15" customHeight="1">
      <c r="A121" s="452" t="s">
        <v>2648</v>
      </c>
      <c r="B121" s="452" t="s">
        <v>3642</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91"/>
      <c r="C123" s="1391"/>
      <c r="D123" s="1392"/>
      <c r="E123" s="919" t="s">
        <v>3307</v>
      </c>
      <c r="F123" s="922" t="s">
        <v>3300</v>
      </c>
      <c r="G123" s="926" t="s">
        <v>3301</v>
      </c>
      <c r="H123" s="927"/>
      <c r="I123" s="928"/>
      <c r="J123" s="926" t="s">
        <v>3302</v>
      </c>
      <c r="K123" s="935"/>
      <c r="L123" s="926" t="s">
        <v>3303</v>
      </c>
      <c r="M123" s="940"/>
      <c r="N123" s="926" t="s">
        <v>3304</v>
      </c>
      <c r="O123" s="928"/>
      <c r="P123" s="926" t="s">
        <v>3305</v>
      </c>
      <c r="Q123" s="928"/>
      <c r="R123" s="926" t="s">
        <v>3306</v>
      </c>
      <c r="S123" s="945"/>
    </row>
    <row r="124" spans="1:19" s="449" customFormat="1" ht="21.6" customHeight="1">
      <c r="A124" s="1393"/>
      <c r="B124" s="1394"/>
      <c r="C124" s="1394"/>
      <c r="D124" s="1395"/>
      <c r="E124" s="920"/>
      <c r="F124" s="923"/>
      <c r="G124" s="929"/>
      <c r="H124" s="930"/>
      <c r="I124" s="931"/>
      <c r="J124" s="936"/>
      <c r="K124" s="937"/>
      <c r="L124" s="929"/>
      <c r="M124" s="941"/>
      <c r="N124" s="929"/>
      <c r="O124" s="931"/>
      <c r="P124" s="929"/>
      <c r="Q124" s="931"/>
      <c r="R124" s="929"/>
      <c r="S124" s="946"/>
    </row>
    <row r="125" spans="1:19" s="449" customFormat="1" ht="21.6" customHeight="1">
      <c r="A125" s="1393"/>
      <c r="B125" s="1394"/>
      <c r="C125" s="1394"/>
      <c r="D125" s="1395"/>
      <c r="E125" s="920"/>
      <c r="F125" s="924"/>
      <c r="G125" s="929"/>
      <c r="H125" s="930"/>
      <c r="I125" s="931"/>
      <c r="J125" s="936"/>
      <c r="K125" s="937"/>
      <c r="L125" s="942"/>
      <c r="M125" s="941"/>
      <c r="N125" s="929"/>
      <c r="O125" s="931"/>
      <c r="P125" s="929"/>
      <c r="Q125" s="931"/>
      <c r="R125" s="947"/>
      <c r="S125" s="946"/>
    </row>
    <row r="126" spans="1:19" s="449" customFormat="1" ht="21.6" customHeight="1">
      <c r="A126" s="1393"/>
      <c r="B126" s="1394"/>
      <c r="C126" s="1394"/>
      <c r="D126" s="1395"/>
      <c r="E126" s="920"/>
      <c r="F126" s="924"/>
      <c r="G126" s="929"/>
      <c r="H126" s="930"/>
      <c r="I126" s="931"/>
      <c r="J126" s="936"/>
      <c r="K126" s="937"/>
      <c r="L126" s="942"/>
      <c r="M126" s="941"/>
      <c r="N126" s="929"/>
      <c r="O126" s="931"/>
      <c r="P126" s="929"/>
      <c r="Q126" s="931"/>
      <c r="R126" s="947"/>
      <c r="S126" s="946"/>
    </row>
    <row r="127" spans="1:19" s="449" customFormat="1" ht="21.6" customHeight="1">
      <c r="A127" s="1396"/>
      <c r="B127" s="1397"/>
      <c r="C127" s="1397"/>
      <c r="D127" s="1398"/>
      <c r="E127" s="921"/>
      <c r="F127" s="925"/>
      <c r="G127" s="932"/>
      <c r="H127" s="933"/>
      <c r="I127" s="934"/>
      <c r="J127" s="938"/>
      <c r="K127" s="939"/>
      <c r="L127" s="943"/>
      <c r="M127" s="944"/>
      <c r="N127" s="932"/>
      <c r="O127" s="934"/>
      <c r="P127" s="932"/>
      <c r="Q127" s="934"/>
      <c r="R127" s="948"/>
      <c r="S127" s="949"/>
    </row>
    <row r="128" spans="1:19" s="449" customFormat="1" ht="13.9" customHeight="1">
      <c r="A128" s="834" t="s">
        <v>3299</v>
      </c>
      <c r="B128" s="835"/>
      <c r="C128" s="835"/>
      <c r="D128" s="841"/>
      <c r="E128" s="1399" t="s">
        <v>3976</v>
      </c>
      <c r="F128" s="1400" t="s">
        <v>3976</v>
      </c>
      <c r="G128" s="1401" t="s">
        <v>3976</v>
      </c>
      <c r="H128" s="1402"/>
      <c r="I128" s="1403"/>
      <c r="J128" s="1401" t="s">
        <v>3975</v>
      </c>
      <c r="K128" s="1403"/>
      <c r="L128" s="1401" t="s">
        <v>3976</v>
      </c>
      <c r="M128" s="1403"/>
      <c r="N128" s="1401" t="s">
        <v>3976</v>
      </c>
      <c r="O128" s="1403"/>
      <c r="P128" s="1404" t="s">
        <v>4013</v>
      </c>
      <c r="Q128" s="1405"/>
      <c r="R128" s="1406">
        <v>1E-4</v>
      </c>
      <c r="S128" s="1407"/>
    </row>
    <row r="129" spans="1:19" s="449" customFormat="1" ht="13.9" customHeight="1">
      <c r="A129" s="832" t="s">
        <v>3289</v>
      </c>
      <c r="B129" s="833"/>
      <c r="C129" s="833"/>
      <c r="D129" s="839"/>
      <c r="E129" s="1408"/>
      <c r="F129" s="1409"/>
      <c r="G129" s="1410"/>
      <c r="H129" s="1411"/>
      <c r="I129" s="1412"/>
      <c r="J129" s="1410"/>
      <c r="K129" s="1412"/>
      <c r="L129" s="1410"/>
      <c r="M129" s="1412"/>
      <c r="N129" s="1410"/>
      <c r="O129" s="1412"/>
      <c r="P129" s="1413"/>
      <c r="Q129" s="1414"/>
      <c r="R129" s="1415"/>
      <c r="S129" s="1416"/>
    </row>
    <row r="130" spans="1:19" s="449" customFormat="1" ht="13.9" customHeight="1">
      <c r="A130" s="832" t="s">
        <v>3290</v>
      </c>
      <c r="B130" s="833"/>
      <c r="C130" s="833"/>
      <c r="D130" s="839"/>
      <c r="E130" s="1408"/>
      <c r="F130" s="1409"/>
      <c r="G130" s="1410"/>
      <c r="H130" s="1411"/>
      <c r="I130" s="1412"/>
      <c r="J130" s="1410"/>
      <c r="K130" s="1412"/>
      <c r="L130" s="1410"/>
      <c r="M130" s="1412"/>
      <c r="N130" s="1410"/>
      <c r="O130" s="1412"/>
      <c r="P130" s="1413"/>
      <c r="Q130" s="1414"/>
      <c r="R130" s="1415"/>
      <c r="S130" s="1416"/>
    </row>
    <row r="131" spans="1:19" s="449" customFormat="1" ht="13.9" customHeight="1">
      <c r="A131" s="832" t="s">
        <v>3291</v>
      </c>
      <c r="B131" s="833"/>
      <c r="C131" s="833"/>
      <c r="D131" s="839"/>
      <c r="E131" s="1408" t="s">
        <v>3976</v>
      </c>
      <c r="F131" s="1409" t="s">
        <v>3976</v>
      </c>
      <c r="G131" s="1410" t="s">
        <v>3976</v>
      </c>
      <c r="H131" s="1411"/>
      <c r="I131" s="1412"/>
      <c r="J131" s="1410" t="s">
        <v>3976</v>
      </c>
      <c r="K131" s="1412"/>
      <c r="L131" s="1410" t="s">
        <v>3976</v>
      </c>
      <c r="M131" s="1412"/>
      <c r="N131" s="1410" t="s">
        <v>3976</v>
      </c>
      <c r="O131" s="1412"/>
      <c r="P131" s="1413" t="s">
        <v>4013</v>
      </c>
      <c r="Q131" s="1414"/>
      <c r="R131" s="1415">
        <v>0.9899</v>
      </c>
      <c r="S131" s="1416"/>
    </row>
    <row r="132" spans="1:19" s="449" customFormat="1" ht="13.9" customHeight="1">
      <c r="A132" s="832" t="s">
        <v>3292</v>
      </c>
      <c r="B132" s="833"/>
      <c r="C132" s="833"/>
      <c r="D132" s="839"/>
      <c r="E132" s="1408" t="s">
        <v>3976</v>
      </c>
      <c r="F132" s="1409" t="s">
        <v>3976</v>
      </c>
      <c r="G132" s="1410" t="s">
        <v>3976</v>
      </c>
      <c r="H132" s="1411"/>
      <c r="I132" s="1412"/>
      <c r="J132" s="1410" t="s">
        <v>3976</v>
      </c>
      <c r="K132" s="1412"/>
      <c r="L132" s="1410" t="s">
        <v>3976</v>
      </c>
      <c r="M132" s="1412"/>
      <c r="N132" s="1410" t="s">
        <v>3976</v>
      </c>
      <c r="O132" s="1412"/>
      <c r="P132" s="1413" t="s">
        <v>4013</v>
      </c>
      <c r="Q132" s="1414"/>
      <c r="R132" s="1415">
        <v>0.01</v>
      </c>
      <c r="S132" s="1416"/>
    </row>
    <row r="133" spans="1:19" s="449" customFormat="1" ht="13.9" customHeight="1">
      <c r="A133" s="832" t="s">
        <v>3293</v>
      </c>
      <c r="B133" s="833"/>
      <c r="C133" s="833"/>
      <c r="D133" s="839"/>
      <c r="E133" s="1408"/>
      <c r="F133" s="1409"/>
      <c r="G133" s="1410"/>
      <c r="H133" s="1411"/>
      <c r="I133" s="1412"/>
      <c r="J133" s="1410"/>
      <c r="K133" s="1412"/>
      <c r="L133" s="1410"/>
      <c r="M133" s="1412"/>
      <c r="N133" s="1410"/>
      <c r="O133" s="1412"/>
      <c r="P133" s="1413"/>
      <c r="Q133" s="1414"/>
      <c r="R133" s="1415"/>
      <c r="S133" s="1416"/>
    </row>
    <row r="134" spans="1:19" s="449" customFormat="1" ht="13.9" customHeight="1">
      <c r="A134" s="832" t="s">
        <v>918</v>
      </c>
      <c r="B134" s="833"/>
      <c r="C134" s="833"/>
      <c r="D134" s="839"/>
      <c r="E134" s="1408" t="s">
        <v>3976</v>
      </c>
      <c r="F134" s="1409" t="s">
        <v>3976</v>
      </c>
      <c r="G134" s="1410" t="s">
        <v>3976</v>
      </c>
      <c r="H134" s="1411"/>
      <c r="I134" s="1412"/>
      <c r="J134" s="1410" t="s">
        <v>3975</v>
      </c>
      <c r="K134" s="1412"/>
      <c r="L134" s="1410" t="s">
        <v>3976</v>
      </c>
      <c r="M134" s="1412"/>
      <c r="N134" s="1410" t="s">
        <v>3976</v>
      </c>
      <c r="O134" s="1412"/>
      <c r="P134" s="1413" t="s">
        <v>4013</v>
      </c>
      <c r="Q134" s="1414"/>
      <c r="R134" s="1415">
        <v>0</v>
      </c>
      <c r="S134" s="1416"/>
    </row>
    <row r="135" spans="1:19" s="449" customFormat="1" ht="13.9" customHeight="1">
      <c r="A135" s="832" t="s">
        <v>3294</v>
      </c>
      <c r="B135" s="833"/>
      <c r="C135" s="833"/>
      <c r="D135" s="839"/>
      <c r="E135" s="1408" t="s">
        <v>3976</v>
      </c>
      <c r="F135" s="1409" t="s">
        <v>3976</v>
      </c>
      <c r="G135" s="1410" t="s">
        <v>3976</v>
      </c>
      <c r="H135" s="1411"/>
      <c r="I135" s="1412"/>
      <c r="J135" s="1410" t="s">
        <v>3976</v>
      </c>
      <c r="K135" s="1412"/>
      <c r="L135" s="1410" t="s">
        <v>3976</v>
      </c>
      <c r="M135" s="1412"/>
      <c r="N135" s="1410" t="s">
        <v>3976</v>
      </c>
      <c r="O135" s="1412"/>
      <c r="P135" s="1413" t="s">
        <v>3638</v>
      </c>
      <c r="Q135" s="1414"/>
      <c r="R135" s="1415">
        <v>0</v>
      </c>
      <c r="S135" s="1416"/>
    </row>
    <row r="136" spans="1:19" s="449" customFormat="1" ht="13.9" customHeight="1">
      <c r="A136" s="832" t="s">
        <v>3295</v>
      </c>
      <c r="B136" s="833"/>
      <c r="C136" s="833"/>
      <c r="D136" s="839"/>
      <c r="E136" s="1408"/>
      <c r="F136" s="1409"/>
      <c r="G136" s="1410"/>
      <c r="H136" s="1411"/>
      <c r="I136" s="1412"/>
      <c r="J136" s="1410"/>
      <c r="K136" s="1412"/>
      <c r="L136" s="1410"/>
      <c r="M136" s="1412"/>
      <c r="N136" s="1410"/>
      <c r="O136" s="1412"/>
      <c r="P136" s="1413"/>
      <c r="Q136" s="1414"/>
      <c r="R136" s="1415"/>
      <c r="S136" s="1416"/>
    </row>
    <row r="137" spans="1:19" s="449" customFormat="1" ht="13.9" customHeight="1">
      <c r="A137" s="832" t="s">
        <v>3296</v>
      </c>
      <c r="B137" s="833"/>
      <c r="C137" s="833"/>
      <c r="D137" s="839"/>
      <c r="E137" s="1408"/>
      <c r="F137" s="1409"/>
      <c r="G137" s="1410"/>
      <c r="H137" s="1411"/>
      <c r="I137" s="1412"/>
      <c r="J137" s="1410"/>
      <c r="K137" s="1412"/>
      <c r="L137" s="1410"/>
      <c r="M137" s="1412"/>
      <c r="N137" s="1410"/>
      <c r="O137" s="1412"/>
      <c r="P137" s="1413"/>
      <c r="Q137" s="1414"/>
      <c r="R137" s="1415"/>
      <c r="S137" s="1416"/>
    </row>
    <row r="138" spans="1:19" s="449" customFormat="1" ht="13.9" customHeight="1">
      <c r="A138" s="832" t="s">
        <v>3297</v>
      </c>
      <c r="B138" s="833"/>
      <c r="C138" s="833"/>
      <c r="D138" s="839"/>
      <c r="E138" s="1408"/>
      <c r="F138" s="1409"/>
      <c r="G138" s="1410"/>
      <c r="H138" s="1411"/>
      <c r="I138" s="1412"/>
      <c r="J138" s="1410"/>
      <c r="K138" s="1412"/>
      <c r="L138" s="1410"/>
      <c r="M138" s="1412"/>
      <c r="N138" s="1410"/>
      <c r="O138" s="1412"/>
      <c r="P138" s="1413"/>
      <c r="Q138" s="1414"/>
      <c r="R138" s="1415"/>
      <c r="S138" s="1416"/>
    </row>
    <row r="139" spans="1:19" s="449" customFormat="1" ht="13.9" customHeight="1">
      <c r="A139" s="832" t="s">
        <v>2130</v>
      </c>
      <c r="B139" s="833"/>
      <c r="C139" s="833"/>
      <c r="D139" s="839"/>
      <c r="E139" s="1408" t="s">
        <v>3976</v>
      </c>
      <c r="F139" s="1409" t="s">
        <v>3976</v>
      </c>
      <c r="G139" s="1410" t="s">
        <v>3976</v>
      </c>
      <c r="H139" s="1411"/>
      <c r="I139" s="1412"/>
      <c r="J139" s="1410" t="s">
        <v>3975</v>
      </c>
      <c r="K139" s="1412"/>
      <c r="L139" s="1410" t="s">
        <v>3976</v>
      </c>
      <c r="M139" s="1412"/>
      <c r="N139" s="1410" t="s">
        <v>3976</v>
      </c>
      <c r="O139" s="1412"/>
      <c r="P139" s="1413" t="s">
        <v>4013</v>
      </c>
      <c r="Q139" s="1414"/>
      <c r="R139" s="1415">
        <v>0</v>
      </c>
      <c r="S139" s="1416"/>
    </row>
    <row r="140" spans="1:19" s="449" customFormat="1" ht="13.9" customHeight="1">
      <c r="A140" s="837" t="s">
        <v>3298</v>
      </c>
      <c r="B140" s="838"/>
      <c r="C140" s="838"/>
      <c r="D140" s="504"/>
      <c r="E140" s="1417" t="s">
        <v>3976</v>
      </c>
      <c r="F140" s="1418" t="s">
        <v>3976</v>
      </c>
      <c r="G140" s="1419" t="s">
        <v>3976</v>
      </c>
      <c r="H140" s="1420"/>
      <c r="I140" s="1421"/>
      <c r="J140" s="1419" t="s">
        <v>3975</v>
      </c>
      <c r="K140" s="1421"/>
      <c r="L140" s="1419" t="s">
        <v>3976</v>
      </c>
      <c r="M140" s="1421"/>
      <c r="N140" s="1419" t="s">
        <v>3976</v>
      </c>
      <c r="O140" s="1421"/>
      <c r="P140" s="1422" t="s">
        <v>4013</v>
      </c>
      <c r="Q140" s="1423"/>
      <c r="R140" s="1424">
        <v>0</v>
      </c>
      <c r="S140" s="1425"/>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6" customHeight="1">
      <c r="B144" s="496"/>
    </row>
    <row r="145" spans="1:24" ht="98.45" customHeight="1">
      <c r="A145" s="1426" t="s">
        <v>4014</v>
      </c>
      <c r="B145" s="1427"/>
      <c r="C145" s="1427"/>
      <c r="D145" s="1427"/>
      <c r="E145" s="1427"/>
      <c r="F145" s="1427"/>
      <c r="G145" s="1427"/>
      <c r="H145" s="1427"/>
      <c r="I145" s="1427"/>
      <c r="J145" s="1427"/>
      <c r="K145" s="1427"/>
      <c r="L145" s="1427"/>
      <c r="M145" s="1428"/>
      <c r="N145" s="1368"/>
      <c r="O145" s="1369"/>
      <c r="P145" s="1369"/>
      <c r="Q145" s="1369"/>
      <c r="R145" s="1369"/>
      <c r="S145" s="1370"/>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6"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25" right="0.25" top="0.55000000000000004" bottom="0.38" header="0.25" footer="0.19"/>
  <pageSetup fitToHeight="0" orientation="landscape" r:id="rId3"/>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70" zoomScaleNormal="7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2012-019 Walton Oaks Family 2, Augusta, Richmond County</v>
      </c>
      <c r="B1" s="916"/>
      <c r="C1" s="916"/>
      <c r="D1" s="916"/>
      <c r="E1" s="916"/>
      <c r="F1" s="916"/>
      <c r="G1" s="916"/>
      <c r="H1" s="916"/>
      <c r="I1" s="916"/>
      <c r="J1" s="916"/>
      <c r="K1" s="916"/>
      <c r="L1" s="916"/>
      <c r="M1" s="916"/>
      <c r="N1" s="916"/>
      <c r="O1" s="916"/>
      <c r="P1" s="916"/>
      <c r="Q1" s="917"/>
      <c r="S1" s="988" t="str">
        <f>$A$1</f>
        <v>PART THREE - SOURCES OF FUNDS  -  2012-019 Walton Oaks Family 2, Augusta, Richmond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3864</v>
      </c>
      <c r="T4" s="976"/>
    </row>
    <row r="5" spans="1:20" s="397" customFormat="1" ht="16.899999999999999" customHeight="1">
      <c r="A5" s="844"/>
      <c r="B5" s="1306" t="s">
        <v>3975</v>
      </c>
      <c r="C5" s="827" t="s">
        <v>3391</v>
      </c>
      <c r="D5" s="449"/>
      <c r="E5" s="1306"/>
      <c r="F5" s="829" t="s">
        <v>2494</v>
      </c>
      <c r="G5" s="449"/>
      <c r="J5" s="1430"/>
      <c r="K5" s="1431"/>
      <c r="M5" s="1306"/>
      <c r="N5" s="827" t="s">
        <v>786</v>
      </c>
      <c r="P5" s="1306"/>
      <c r="Q5" s="990" t="s">
        <v>3654</v>
      </c>
      <c r="S5" s="1432"/>
      <c r="T5" s="1433"/>
    </row>
    <row r="6" spans="1:20" s="397" customFormat="1" ht="16.899999999999999" customHeight="1">
      <c r="A6" s="844"/>
      <c r="B6" s="1306"/>
      <c r="C6" s="827" t="s">
        <v>2660</v>
      </c>
      <c r="D6" s="449"/>
      <c r="E6" s="1306"/>
      <c r="F6" s="829" t="s">
        <v>3098</v>
      </c>
      <c r="H6" s="1306"/>
      <c r="I6" s="833" t="s">
        <v>787</v>
      </c>
      <c r="J6" s="1306"/>
      <c r="K6" s="833" t="s">
        <v>2140</v>
      </c>
      <c r="M6" s="1306"/>
      <c r="N6" s="829" t="s">
        <v>785</v>
      </c>
      <c r="Q6" s="990"/>
      <c r="S6" s="1434"/>
      <c r="T6" s="1435"/>
    </row>
    <row r="7" spans="1:20" s="397" customFormat="1" ht="16.899999999999999" customHeight="1">
      <c r="A7" s="449"/>
      <c r="B7" s="1306"/>
      <c r="C7" s="827" t="s">
        <v>2661</v>
      </c>
      <c r="E7" s="1306"/>
      <c r="F7" s="829" t="s">
        <v>3097</v>
      </c>
      <c r="G7" s="449"/>
      <c r="H7" s="1306"/>
      <c r="I7" s="989" t="s">
        <v>3652</v>
      </c>
      <c r="J7" s="1306"/>
      <c r="K7" s="990" t="s">
        <v>3651</v>
      </c>
      <c r="L7" s="991"/>
      <c r="M7" s="1306"/>
      <c r="N7" s="455" t="s">
        <v>3653</v>
      </c>
      <c r="Q7" s="992"/>
      <c r="S7" s="1434"/>
      <c r="T7" s="1435"/>
    </row>
    <row r="8" spans="1:20" s="397" customFormat="1" ht="16.899999999999999" customHeight="1">
      <c r="A8" s="844"/>
      <c r="B8" s="1306"/>
      <c r="C8" s="833" t="s">
        <v>3639</v>
      </c>
      <c r="D8" s="449"/>
      <c r="E8" s="1306"/>
      <c r="F8" s="477" t="s">
        <v>3640</v>
      </c>
      <c r="I8" s="989"/>
      <c r="K8" s="990"/>
      <c r="L8" s="991"/>
      <c r="M8" s="1306" t="s">
        <v>3975</v>
      </c>
      <c r="N8" s="1292" t="s">
        <v>4030</v>
      </c>
      <c r="O8" s="1293"/>
      <c r="P8" s="1293"/>
      <c r="Q8" s="1294"/>
      <c r="S8" s="1436"/>
      <c r="T8" s="143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2743</v>
      </c>
      <c r="C13" s="449"/>
      <c r="D13" s="449"/>
      <c r="E13" s="449"/>
      <c r="F13" s="449"/>
      <c r="G13" s="449"/>
      <c r="H13" s="964" t="s">
        <v>1864</v>
      </c>
      <c r="I13" s="964"/>
      <c r="J13" s="964"/>
      <c r="K13" s="964"/>
      <c r="L13" s="896" t="s">
        <v>2870</v>
      </c>
      <c r="M13" s="896"/>
      <c r="N13" s="896" t="s">
        <v>2108</v>
      </c>
      <c r="O13" s="896"/>
      <c r="P13" s="896" t="s">
        <v>2381</v>
      </c>
      <c r="Q13" s="896"/>
      <c r="S13" s="976" t="s">
        <v>3864</v>
      </c>
      <c r="T13" s="976"/>
    </row>
    <row r="14" spans="1:20" s="397" customFormat="1" ht="16.899999999999999" customHeight="1">
      <c r="A14" s="449"/>
      <c r="B14" s="959" t="s">
        <v>2195</v>
      </c>
      <c r="C14" s="960"/>
      <c r="D14" s="960"/>
      <c r="E14" s="835"/>
      <c r="F14" s="835"/>
      <c r="G14" s="835"/>
      <c r="H14" s="1292" t="s">
        <v>4041</v>
      </c>
      <c r="I14" s="1293"/>
      <c r="J14" s="1293"/>
      <c r="K14" s="1294"/>
      <c r="L14" s="1438">
        <v>1800000</v>
      </c>
      <c r="M14" s="1439"/>
      <c r="N14" s="1440">
        <v>0</v>
      </c>
      <c r="O14" s="1441"/>
      <c r="P14" s="1442">
        <v>24</v>
      </c>
      <c r="Q14" s="1443"/>
      <c r="S14" s="1432"/>
      <c r="T14" s="1433"/>
    </row>
    <row r="15" spans="1:20" s="397" customFormat="1" ht="16.899999999999999" customHeight="1">
      <c r="A15" s="449"/>
      <c r="B15" s="957" t="s">
        <v>2196</v>
      </c>
      <c r="C15" s="958"/>
      <c r="D15" s="958"/>
      <c r="E15" s="833"/>
      <c r="F15" s="833"/>
      <c r="G15" s="833"/>
      <c r="H15" s="1292"/>
      <c r="I15" s="1293"/>
      <c r="J15" s="1293"/>
      <c r="K15" s="1294"/>
      <c r="L15" s="1438"/>
      <c r="M15" s="1439"/>
      <c r="N15" s="1440"/>
      <c r="O15" s="1441"/>
      <c r="P15" s="1444"/>
      <c r="Q15" s="1445"/>
      <c r="S15" s="1434"/>
      <c r="T15" s="1435"/>
    </row>
    <row r="16" spans="1:20" s="397" customFormat="1" ht="16.899999999999999" customHeight="1">
      <c r="A16" s="449"/>
      <c r="B16" s="985" t="s">
        <v>2197</v>
      </c>
      <c r="C16" s="986"/>
      <c r="D16" s="986"/>
      <c r="E16" s="838"/>
      <c r="F16" s="838"/>
      <c r="G16" s="838"/>
      <c r="H16" s="1292"/>
      <c r="I16" s="1293"/>
      <c r="J16" s="1293"/>
      <c r="K16" s="1294"/>
      <c r="L16" s="1438"/>
      <c r="M16" s="1439"/>
      <c r="N16" s="1440"/>
      <c r="O16" s="1441"/>
      <c r="P16" s="1444"/>
      <c r="Q16" s="1445"/>
      <c r="S16" s="1434"/>
      <c r="T16" s="1435"/>
    </row>
    <row r="17" spans="1:20" s="397" customFormat="1" ht="16.899999999999999" customHeight="1">
      <c r="A17" s="449"/>
      <c r="B17" s="959" t="s">
        <v>3117</v>
      </c>
      <c r="C17" s="960"/>
      <c r="D17" s="960"/>
      <c r="E17" s="833"/>
      <c r="F17" s="833"/>
      <c r="G17" s="833"/>
      <c r="H17" s="1292"/>
      <c r="I17" s="1293"/>
      <c r="J17" s="1293"/>
      <c r="K17" s="1294"/>
      <c r="L17" s="1438"/>
      <c r="M17" s="1439"/>
      <c r="N17" s="970"/>
      <c r="O17" s="971"/>
      <c r="P17" s="969"/>
      <c r="Q17" s="969"/>
      <c r="S17" s="1434"/>
      <c r="T17" s="1435"/>
    </row>
    <row r="18" spans="1:20" s="397" customFormat="1" ht="16.899999999999999" customHeight="1">
      <c r="A18" s="449"/>
      <c r="B18" s="957" t="s">
        <v>1287</v>
      </c>
      <c r="C18" s="958"/>
      <c r="D18" s="958"/>
      <c r="E18" s="833"/>
      <c r="H18" s="1292"/>
      <c r="I18" s="1293"/>
      <c r="J18" s="1293"/>
      <c r="K18" s="1294"/>
      <c r="L18" s="1438"/>
      <c r="M18" s="1439"/>
      <c r="N18" s="970"/>
      <c r="O18" s="971"/>
      <c r="P18" s="969"/>
      <c r="Q18" s="969"/>
      <c r="S18" s="1434"/>
      <c r="T18" s="1435"/>
    </row>
    <row r="19" spans="1:20" s="397" customFormat="1" ht="16.899999999999999" customHeight="1">
      <c r="A19" s="449"/>
      <c r="B19" s="957" t="s">
        <v>900</v>
      </c>
      <c r="C19" s="958"/>
      <c r="D19" s="958"/>
      <c r="E19" s="833"/>
      <c r="H19" s="1292"/>
      <c r="I19" s="1293"/>
      <c r="J19" s="1293"/>
      <c r="K19" s="1294"/>
      <c r="L19" s="1438"/>
      <c r="M19" s="1439"/>
      <c r="N19" s="970"/>
      <c r="O19" s="971"/>
      <c r="P19" s="969"/>
      <c r="Q19" s="969"/>
      <c r="S19" s="1434"/>
      <c r="T19" s="1435"/>
    </row>
    <row r="20" spans="1:20" s="397" customFormat="1" ht="16.899999999999999" customHeight="1">
      <c r="A20" s="449"/>
      <c r="B20" s="957" t="s">
        <v>1288</v>
      </c>
      <c r="C20" s="958"/>
      <c r="D20" s="958"/>
      <c r="E20" s="833"/>
      <c r="H20" s="1380" t="s">
        <v>4031</v>
      </c>
      <c r="I20" s="1388"/>
      <c r="J20" s="1388"/>
      <c r="K20" s="1389"/>
      <c r="L20" s="1446">
        <v>5363105</v>
      </c>
      <c r="M20" s="1447"/>
      <c r="N20" s="449"/>
      <c r="O20" s="449"/>
      <c r="P20" s="449"/>
      <c r="Q20" s="449"/>
      <c r="S20" s="1436"/>
      <c r="T20" s="1437"/>
    </row>
    <row r="21" spans="1:20" s="397" customFormat="1" ht="16.899999999999999" customHeight="1">
      <c r="A21" s="449"/>
      <c r="B21" s="957" t="s">
        <v>1289</v>
      </c>
      <c r="C21" s="958"/>
      <c r="D21" s="958"/>
      <c r="E21" s="833"/>
      <c r="H21" s="1380" t="s">
        <v>4007</v>
      </c>
      <c r="I21" s="1388"/>
      <c r="J21" s="1388"/>
      <c r="K21" s="1389"/>
      <c r="L21" s="1446">
        <v>2160000</v>
      </c>
      <c r="M21" s="1447"/>
      <c r="N21" s="449"/>
      <c r="O21" s="449"/>
      <c r="P21" s="449"/>
      <c r="Q21" s="449"/>
      <c r="S21" s="1432"/>
      <c r="T21" s="1433"/>
    </row>
    <row r="22" spans="1:20" s="397" customFormat="1" ht="16.899999999999999" customHeight="1">
      <c r="A22" s="449"/>
      <c r="B22" s="832" t="s">
        <v>289</v>
      </c>
      <c r="C22" s="833"/>
      <c r="D22" s="1448"/>
      <c r="E22" s="1448"/>
      <c r="F22" s="1448"/>
      <c r="G22" s="1448"/>
      <c r="H22" s="1292"/>
      <c r="I22" s="1293"/>
      <c r="J22" s="1293"/>
      <c r="K22" s="1294"/>
      <c r="L22" s="1438"/>
      <c r="M22" s="1439"/>
      <c r="N22" s="449"/>
      <c r="O22" s="449"/>
      <c r="P22" s="449"/>
      <c r="Q22" s="449"/>
      <c r="S22" s="1434"/>
      <c r="T22" s="1435"/>
    </row>
    <row r="23" spans="1:20" s="397" customFormat="1" ht="16.899999999999999" customHeight="1">
      <c r="A23" s="449"/>
      <c r="B23" s="832" t="s">
        <v>289</v>
      </c>
      <c r="C23" s="833"/>
      <c r="D23" s="1448"/>
      <c r="E23" s="1448"/>
      <c r="F23" s="1448"/>
      <c r="G23" s="1448"/>
      <c r="H23" s="1292"/>
      <c r="I23" s="1293"/>
      <c r="J23" s="1293"/>
      <c r="K23" s="1294"/>
      <c r="L23" s="1438"/>
      <c r="M23" s="1439"/>
      <c r="N23" s="449"/>
      <c r="O23" s="449"/>
      <c r="P23" s="449"/>
      <c r="Q23" s="449"/>
      <c r="S23" s="1434"/>
      <c r="T23" s="1435"/>
    </row>
    <row r="24" spans="1:20" s="397" customFormat="1" ht="16.899999999999999" customHeight="1">
      <c r="A24" s="449"/>
      <c r="B24" s="837" t="s">
        <v>289</v>
      </c>
      <c r="C24" s="838"/>
      <c r="D24" s="1448"/>
      <c r="E24" s="1448"/>
      <c r="F24" s="1448"/>
      <c r="G24" s="1448"/>
      <c r="H24" s="1292"/>
      <c r="I24" s="1293"/>
      <c r="J24" s="1293"/>
      <c r="K24" s="1294"/>
      <c r="L24" s="1438"/>
      <c r="M24" s="1439"/>
      <c r="N24" s="449"/>
      <c r="O24" s="449"/>
      <c r="P24" s="449"/>
      <c r="Q24" s="449"/>
      <c r="S24" s="1434"/>
      <c r="T24" s="1435"/>
    </row>
    <row r="25" spans="1:20" s="397" customFormat="1" ht="16.899999999999999" customHeight="1">
      <c r="A25" s="449"/>
      <c r="B25" s="394" t="s">
        <v>1865</v>
      </c>
      <c r="C25" s="449"/>
      <c r="D25" s="449"/>
      <c r="E25" s="449"/>
      <c r="F25" s="449"/>
      <c r="G25" s="449"/>
      <c r="H25" s="449"/>
      <c r="I25" s="449"/>
      <c r="L25" s="972">
        <f>SUM(L14:L24)</f>
        <v>9323105</v>
      </c>
      <c r="M25" s="973"/>
      <c r="N25" s="472"/>
      <c r="O25" s="472"/>
      <c r="P25" s="472"/>
      <c r="Q25" s="472"/>
      <c r="S25" s="1434"/>
      <c r="T25" s="1435"/>
    </row>
    <row r="26" spans="1:20" s="397" customFormat="1" ht="16.899999999999999" customHeight="1">
      <c r="A26" s="449"/>
      <c r="B26" s="827" t="s">
        <v>1866</v>
      </c>
      <c r="C26" s="449"/>
      <c r="D26" s="449"/>
      <c r="E26" s="449"/>
      <c r="F26" s="449"/>
      <c r="G26" s="449"/>
      <c r="H26" s="449"/>
      <c r="I26" s="449"/>
      <c r="L26" s="1449">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9323105</v>
      </c>
      <c r="M26" s="1450"/>
      <c r="N26" s="967"/>
      <c r="O26" s="968"/>
      <c r="P26" s="968"/>
      <c r="Q26" s="968"/>
      <c r="S26" s="1434"/>
      <c r="T26" s="1435"/>
    </row>
    <row r="27" spans="1:20" s="397" customFormat="1" ht="16.899999999999999" customHeight="1">
      <c r="A27" s="449"/>
      <c r="B27" s="455" t="s">
        <v>3048</v>
      </c>
      <c r="C27" s="449"/>
      <c r="D27" s="449"/>
      <c r="E27" s="449"/>
      <c r="F27" s="449"/>
      <c r="G27" s="449"/>
      <c r="H27" s="449"/>
      <c r="I27" s="449"/>
      <c r="L27" s="974">
        <f>L25-L26</f>
        <v>0</v>
      </c>
      <c r="M27" s="975"/>
      <c r="N27" s="967"/>
      <c r="O27" s="968"/>
      <c r="P27" s="968"/>
      <c r="Q27" s="968"/>
      <c r="S27" s="1436"/>
      <c r="T27" s="143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2987</v>
      </c>
      <c r="K30" s="836" t="s">
        <v>1862</v>
      </c>
      <c r="L30" s="836" t="s">
        <v>1867</v>
      </c>
      <c r="M30" s="903" t="s">
        <v>39</v>
      </c>
      <c r="N30" s="903"/>
      <c r="O30" s="828"/>
      <c r="P30" s="836"/>
      <c r="Q30" s="977" t="s">
        <v>3266</v>
      </c>
      <c r="S30" s="507"/>
    </row>
    <row r="31" spans="1:20" s="397" customFormat="1" ht="13.15" customHeight="1">
      <c r="A31" s="449"/>
      <c r="B31" s="840" t="s">
        <v>2743</v>
      </c>
      <c r="C31" s="838"/>
      <c r="D31" s="838"/>
      <c r="E31" s="958" t="s">
        <v>1864</v>
      </c>
      <c r="F31" s="958"/>
      <c r="G31" s="958"/>
      <c r="H31" s="896" t="s">
        <v>676</v>
      </c>
      <c r="I31" s="896"/>
      <c r="J31" s="826" t="s">
        <v>2667</v>
      </c>
      <c r="K31" s="826" t="s">
        <v>3116</v>
      </c>
      <c r="L31" s="826" t="s">
        <v>3116</v>
      </c>
      <c r="M31" s="1451"/>
      <c r="N31" s="1451"/>
      <c r="O31" s="896" t="s">
        <v>80</v>
      </c>
      <c r="P31" s="896"/>
      <c r="Q31" s="978"/>
      <c r="S31" s="976" t="s">
        <v>3864</v>
      </c>
      <c r="T31" s="976"/>
    </row>
    <row r="32" spans="1:20" s="397" customFormat="1" ht="13.15" customHeight="1">
      <c r="A32" s="449"/>
      <c r="B32" s="959" t="s">
        <v>3662</v>
      </c>
      <c r="C32" s="960"/>
      <c r="D32" s="960"/>
      <c r="E32" s="1380" t="s">
        <v>4042</v>
      </c>
      <c r="F32" s="1452"/>
      <c r="G32" s="1453"/>
      <c r="H32" s="1454">
        <v>1800000</v>
      </c>
      <c r="I32" s="1455"/>
      <c r="J32" s="1456">
        <v>0</v>
      </c>
      <c r="K32" s="1306">
        <v>18</v>
      </c>
      <c r="L32" s="1306">
        <v>0</v>
      </c>
      <c r="M32" s="1457" t="str">
        <f>IF(OR(H32&lt;=0,H32=""),"",IF(O32="Amortizing",-PMT(J32/12,L32*12,H32,0,0)*12,""))</f>
        <v/>
      </c>
      <c r="N32" s="1458"/>
      <c r="O32" s="1286" t="s">
        <v>1687</v>
      </c>
      <c r="P32" s="1287"/>
      <c r="Q32" s="1459">
        <v>1.82</v>
      </c>
      <c r="S32" s="1432"/>
      <c r="T32" s="1433"/>
    </row>
    <row r="33" spans="1:20" s="397" customFormat="1" ht="13.15" customHeight="1">
      <c r="A33" s="449"/>
      <c r="B33" s="957" t="s">
        <v>3663</v>
      </c>
      <c r="C33" s="958"/>
      <c r="D33" s="958"/>
      <c r="E33" s="1297"/>
      <c r="F33" s="1460"/>
      <c r="G33" s="1461"/>
      <c r="H33" s="1462"/>
      <c r="I33" s="1455"/>
      <c r="J33" s="1456"/>
      <c r="K33" s="1306"/>
      <c r="L33" s="1306"/>
      <c r="M33" s="1457" t="str">
        <f>IF(OR(H33&lt;=0,H33=""),"",IF(O33="Amortizing",-PMT(J33/12,L33*12,H33,0,0)*12,""))</f>
        <v/>
      </c>
      <c r="N33" s="1458"/>
      <c r="O33" s="1286"/>
      <c r="P33" s="1287"/>
      <c r="Q33" s="1459"/>
      <c r="S33" s="1434"/>
      <c r="T33" s="1435"/>
    </row>
    <row r="34" spans="1:20" s="397" customFormat="1" ht="13.15" customHeight="1">
      <c r="A34" s="449"/>
      <c r="B34" s="957" t="s">
        <v>3664</v>
      </c>
      <c r="C34" s="958"/>
      <c r="D34" s="958"/>
      <c r="E34" s="1292"/>
      <c r="F34" s="1463"/>
      <c r="G34" s="1455"/>
      <c r="H34" s="1462"/>
      <c r="I34" s="1455"/>
      <c r="J34" s="1456"/>
      <c r="K34" s="1306"/>
      <c r="L34" s="1306"/>
      <c r="M34" s="1457" t="str">
        <f t="shared" ref="M34:M37" si="0">IF(OR(H34&lt;=0,H34=""),"",IF(O34="Amortizing",-PMT(J34/12,L34*12,H34,0,0)*12,""))</f>
        <v/>
      </c>
      <c r="N34" s="1458"/>
      <c r="O34" s="1286"/>
      <c r="P34" s="1287"/>
      <c r="Q34" s="1459"/>
      <c r="S34" s="1434"/>
      <c r="T34" s="1435"/>
    </row>
    <row r="35" spans="1:20" s="397" customFormat="1" ht="13.15" customHeight="1">
      <c r="A35" s="449"/>
      <c r="B35" s="832" t="s">
        <v>1137</v>
      </c>
      <c r="C35" s="1286"/>
      <c r="D35" s="1287"/>
      <c r="E35" s="1292"/>
      <c r="F35" s="1463"/>
      <c r="G35" s="1455"/>
      <c r="H35" s="1462"/>
      <c r="I35" s="1455"/>
      <c r="J35" s="1456"/>
      <c r="K35" s="1306"/>
      <c r="L35" s="1306"/>
      <c r="M35" s="1457" t="str">
        <f t="shared" si="0"/>
        <v/>
      </c>
      <c r="N35" s="1458"/>
      <c r="O35" s="1286"/>
      <c r="P35" s="1287"/>
      <c r="Q35" s="1459"/>
      <c r="S35" s="1434"/>
      <c r="T35" s="1435"/>
    </row>
    <row r="36" spans="1:20" s="397" customFormat="1" ht="13.15" customHeight="1">
      <c r="A36" s="449"/>
      <c r="B36" s="832" t="s">
        <v>1949</v>
      </c>
      <c r="C36" s="833"/>
      <c r="D36" s="839"/>
      <c r="E36" s="1292"/>
      <c r="F36" s="1463"/>
      <c r="G36" s="1455"/>
      <c r="H36" s="1462"/>
      <c r="I36" s="1455"/>
      <c r="J36" s="790"/>
      <c r="K36" s="842"/>
      <c r="L36" s="842"/>
      <c r="M36" s="961" t="str">
        <f t="shared" si="0"/>
        <v/>
      </c>
      <c r="N36" s="961"/>
      <c r="O36" s="956"/>
      <c r="P36" s="956"/>
      <c r="Q36" s="791"/>
      <c r="S36" s="1434"/>
      <c r="T36" s="1435"/>
    </row>
    <row r="37" spans="1:20" s="397" customFormat="1" ht="13.15" customHeight="1">
      <c r="A37" s="449"/>
      <c r="B37" s="837" t="s">
        <v>272</v>
      </c>
      <c r="C37" s="838"/>
      <c r="D37" s="543">
        <f>IF(OR(H37="",H37=0,'Part IV-Uses of Funds'!$G$109="",'Part IV-Uses of Funds'!$G$109=0),"",H37/'Part IV-Uses of Funds'!$G$109)</f>
        <v>7.6803333333333335E-2</v>
      </c>
      <c r="E37" s="1292" t="s">
        <v>4012</v>
      </c>
      <c r="F37" s="1463"/>
      <c r="G37" s="1455"/>
      <c r="H37" s="1462">
        <v>115205</v>
      </c>
      <c r="I37" s="1455"/>
      <c r="J37" s="1456">
        <v>0</v>
      </c>
      <c r="K37" s="1306">
        <v>13</v>
      </c>
      <c r="L37" s="1306">
        <v>13</v>
      </c>
      <c r="M37" s="1457">
        <f t="shared" si="0"/>
        <v>8861.9230769230762</v>
      </c>
      <c r="N37" s="1458"/>
      <c r="O37" s="1286" t="s">
        <v>4066</v>
      </c>
      <c r="P37" s="1287"/>
      <c r="Q37" s="1459" t="s">
        <v>2104</v>
      </c>
      <c r="S37" s="1434"/>
      <c r="T37" s="1435"/>
    </row>
    <row r="38" spans="1:20" s="397" customFormat="1" ht="13.15" customHeight="1">
      <c r="A38" s="449"/>
      <c r="B38" s="959" t="s">
        <v>3117</v>
      </c>
      <c r="C38" s="960"/>
      <c r="D38" s="962"/>
      <c r="E38" s="1292"/>
      <c r="F38" s="1463"/>
      <c r="G38" s="1455"/>
      <c r="H38" s="1464"/>
      <c r="I38" s="1465"/>
      <c r="K38" s="544"/>
      <c r="L38" s="544"/>
      <c r="M38" s="544"/>
      <c r="N38" s="544"/>
      <c r="O38" s="544"/>
      <c r="P38" s="544"/>
      <c r="Q38" s="544"/>
      <c r="S38" s="1432"/>
      <c r="T38" s="1433"/>
    </row>
    <row r="39" spans="1:20" s="397" customFormat="1" ht="13.15" customHeight="1">
      <c r="A39" s="449"/>
      <c r="B39" s="957" t="s">
        <v>1287</v>
      </c>
      <c r="C39" s="958"/>
      <c r="D39" s="963"/>
      <c r="E39" s="1292"/>
      <c r="F39" s="1463"/>
      <c r="G39" s="1455"/>
      <c r="H39" s="1464"/>
      <c r="I39" s="1465"/>
      <c r="J39" s="981" t="s">
        <v>752</v>
      </c>
      <c r="K39" s="982"/>
      <c r="L39" s="980" t="s">
        <v>753</v>
      </c>
      <c r="M39" s="980"/>
      <c r="O39" s="625" t="s">
        <v>751</v>
      </c>
      <c r="P39" s="545"/>
      <c r="Q39" s="544"/>
      <c r="S39" s="1434"/>
      <c r="T39" s="1435"/>
    </row>
    <row r="40" spans="1:20" s="397" customFormat="1" ht="13.15" customHeight="1">
      <c r="A40" s="449"/>
      <c r="B40" s="957" t="s">
        <v>1288</v>
      </c>
      <c r="C40" s="958"/>
      <c r="D40" s="963"/>
      <c r="E40" s="1292" t="s">
        <v>4032</v>
      </c>
      <c r="F40" s="1293"/>
      <c r="G40" s="1294"/>
      <c r="H40" s="1462">
        <v>7920000</v>
      </c>
      <c r="I40" s="1466"/>
      <c r="J40" s="983">
        <f>'Part IV-Uses of Funds'!$J$165*10*'Part IV-Uses of Funds'!$N$158</f>
        <v>7920000</v>
      </c>
      <c r="K40" s="984"/>
      <c r="L40" s="979">
        <f>H40-J40</f>
        <v>0</v>
      </c>
      <c r="M40" s="979"/>
      <c r="O40" s="626" t="s">
        <v>3589</v>
      </c>
      <c r="P40" s="545"/>
      <c r="Q40" s="544"/>
      <c r="S40" s="1434"/>
      <c r="T40" s="1435"/>
    </row>
    <row r="41" spans="1:20" s="397" customFormat="1" ht="13.15" customHeight="1">
      <c r="A41" s="449"/>
      <c r="B41" s="957" t="s">
        <v>1289</v>
      </c>
      <c r="C41" s="958"/>
      <c r="D41" s="963"/>
      <c r="E41" s="1292" t="s">
        <v>4007</v>
      </c>
      <c r="F41" s="1293"/>
      <c r="G41" s="1294"/>
      <c r="H41" s="1462">
        <v>2160000</v>
      </c>
      <c r="I41" s="1466"/>
      <c r="J41" s="983">
        <f>'Part IV-Uses of Funds'!$J$165*10*'Part IV-Uses of Funds'!$Q$158</f>
        <v>2160000</v>
      </c>
      <c r="K41" s="984"/>
      <c r="L41" s="979">
        <f>H41-J41</f>
        <v>0</v>
      </c>
      <c r="M41" s="979"/>
      <c r="O41" s="627">
        <f>H40/H50</f>
        <v>0.66026383042223957</v>
      </c>
      <c r="P41" s="545"/>
      <c r="Q41" s="544"/>
      <c r="S41" s="1434"/>
      <c r="T41" s="1435"/>
    </row>
    <row r="42" spans="1:20" s="397" customFormat="1" ht="13.15" customHeight="1">
      <c r="A42" s="449"/>
      <c r="B42" s="957" t="s">
        <v>1984</v>
      </c>
      <c r="C42" s="958"/>
      <c r="D42" s="963"/>
      <c r="E42" s="1292"/>
      <c r="F42" s="1293"/>
      <c r="G42" s="1294"/>
      <c r="H42" s="1462"/>
      <c r="I42" s="1466"/>
      <c r="M42" s="545"/>
      <c r="O42" s="627">
        <f>H41/H50</f>
        <v>0.18007195375151988</v>
      </c>
      <c r="P42" s="545"/>
      <c r="Q42" s="544"/>
      <c r="S42" s="1436"/>
      <c r="T42" s="1437"/>
    </row>
    <row r="43" spans="1:20" s="397" customFormat="1" ht="13.15" customHeight="1">
      <c r="A43" s="449"/>
      <c r="B43" s="832" t="s">
        <v>767</v>
      </c>
      <c r="C43" s="833"/>
      <c r="D43" s="839"/>
      <c r="E43" s="1292"/>
      <c r="F43" s="1293"/>
      <c r="G43" s="1294"/>
      <c r="H43" s="1462"/>
      <c r="I43" s="1466"/>
      <c r="K43" s="449"/>
      <c r="L43" s="449"/>
      <c r="M43" s="545"/>
      <c r="O43" s="628">
        <f>SUM(O41:O42)</f>
        <v>0.84033578417375943</v>
      </c>
      <c r="P43" s="545"/>
      <c r="Q43" s="544"/>
      <c r="S43" s="1434"/>
      <c r="T43" s="1435"/>
    </row>
    <row r="44" spans="1:20" s="397" customFormat="1" ht="13.15" customHeight="1">
      <c r="A44" s="449"/>
      <c r="B44" s="832" t="s">
        <v>2741</v>
      </c>
      <c r="C44" s="833"/>
      <c r="D44" s="839"/>
      <c r="E44" s="1292"/>
      <c r="F44" s="1293"/>
      <c r="G44" s="1294"/>
      <c r="H44" s="1462"/>
      <c r="I44" s="1466"/>
      <c r="J44" s="449"/>
      <c r="M44" s="545"/>
      <c r="N44" s="545"/>
      <c r="O44" s="545"/>
      <c r="P44" s="545"/>
      <c r="Q44" s="544"/>
      <c r="S44" s="1434"/>
      <c r="T44" s="1435"/>
    </row>
    <row r="45" spans="1:20" s="397" customFormat="1" ht="13.15" customHeight="1">
      <c r="A45" s="449"/>
      <c r="B45" s="832" t="s">
        <v>2742</v>
      </c>
      <c r="C45" s="833"/>
      <c r="D45" s="839"/>
      <c r="E45" s="1292"/>
      <c r="F45" s="1293"/>
      <c r="G45" s="1294"/>
      <c r="H45" s="1462"/>
      <c r="I45" s="1466"/>
      <c r="J45" s="449"/>
      <c r="M45" s="545"/>
      <c r="N45" s="545"/>
      <c r="O45" s="545"/>
      <c r="P45" s="545"/>
      <c r="Q45" s="544"/>
      <c r="S45" s="1434"/>
      <c r="T45" s="1435"/>
    </row>
    <row r="46" spans="1:20" s="397" customFormat="1" ht="13.15" customHeight="1">
      <c r="A46" s="449"/>
      <c r="B46" s="832" t="s">
        <v>1137</v>
      </c>
      <c r="C46" s="1292"/>
      <c r="D46" s="1294"/>
      <c r="E46" s="1292"/>
      <c r="F46" s="1293"/>
      <c r="G46" s="1294"/>
      <c r="H46" s="1462"/>
      <c r="I46" s="1466"/>
      <c r="J46" s="449"/>
      <c r="M46" s="545"/>
      <c r="N46" s="545"/>
      <c r="O46" s="545"/>
      <c r="P46" s="545"/>
      <c r="Q46" s="544"/>
      <c r="S46" s="1434"/>
      <c r="T46" s="1435"/>
    </row>
    <row r="47" spans="1:20" s="397" customFormat="1" ht="13.15" customHeight="1">
      <c r="A47" s="449"/>
      <c r="B47" s="832" t="s">
        <v>1137</v>
      </c>
      <c r="C47" s="1292"/>
      <c r="D47" s="1294"/>
      <c r="E47" s="1292"/>
      <c r="F47" s="1293"/>
      <c r="G47" s="1294"/>
      <c r="H47" s="1462"/>
      <c r="I47" s="1466"/>
      <c r="J47" s="449"/>
      <c r="K47" s="449"/>
      <c r="L47" s="546"/>
      <c r="M47" s="545"/>
      <c r="N47" s="545"/>
      <c r="O47" s="545"/>
      <c r="P47" s="545"/>
      <c r="Q47" s="544"/>
      <c r="S47" s="1434"/>
      <c r="T47" s="1435"/>
    </row>
    <row r="48" spans="1:20" s="397" customFormat="1" ht="13.15" customHeight="1">
      <c r="A48" s="449"/>
      <c r="B48" s="837" t="s">
        <v>1137</v>
      </c>
      <c r="C48" s="1292"/>
      <c r="D48" s="1294"/>
      <c r="E48" s="1292"/>
      <c r="F48" s="1293"/>
      <c r="G48" s="1294"/>
      <c r="H48" s="1462"/>
      <c r="I48" s="1466"/>
      <c r="J48" s="449"/>
      <c r="K48" s="449"/>
      <c r="L48" s="546"/>
      <c r="M48" s="545"/>
      <c r="N48" s="545"/>
      <c r="O48" s="545"/>
      <c r="P48" s="545"/>
      <c r="Q48" s="544"/>
      <c r="S48" s="1434"/>
      <c r="T48" s="1435"/>
    </row>
    <row r="49" spans="1:23" s="397" customFormat="1" ht="13.15" customHeight="1">
      <c r="A49" s="449"/>
      <c r="B49" s="827" t="s">
        <v>3118</v>
      </c>
      <c r="C49" s="449"/>
      <c r="D49" s="449"/>
      <c r="E49" s="449"/>
      <c r="F49" s="449"/>
      <c r="G49" s="449"/>
      <c r="H49" s="954">
        <f>SUM(H32:I48)</f>
        <v>11995205</v>
      </c>
      <c r="I49" s="955"/>
      <c r="J49" s="472"/>
      <c r="K49" s="449"/>
      <c r="L49" s="546"/>
      <c r="M49" s="545"/>
      <c r="N49" s="545"/>
      <c r="O49" s="545"/>
      <c r="P49" s="545"/>
      <c r="Q49" s="544"/>
      <c r="S49" s="1434"/>
      <c r="T49" s="1435"/>
    </row>
    <row r="50" spans="1:23" s="397" customFormat="1" ht="13.15" customHeight="1" thickBot="1">
      <c r="A50" s="449"/>
      <c r="B50" s="827" t="s">
        <v>3119</v>
      </c>
      <c r="C50" s="449"/>
      <c r="D50" s="449"/>
      <c r="E50" s="449"/>
      <c r="F50" s="449"/>
      <c r="G50" s="449"/>
      <c r="H50" s="952">
        <f>'Part IV-Uses of Funds'!$G$123</f>
        <v>11995205</v>
      </c>
      <c r="I50" s="953"/>
      <c r="J50" s="472"/>
      <c r="K50" s="449"/>
      <c r="L50" s="546"/>
      <c r="M50" s="545"/>
      <c r="N50" s="545"/>
      <c r="O50" s="545"/>
      <c r="P50" s="545"/>
      <c r="Q50" s="544"/>
      <c r="S50" s="1434"/>
      <c r="T50" s="1435"/>
    </row>
    <row r="51" spans="1:23" s="397" customFormat="1" ht="13.15" customHeight="1" thickBot="1">
      <c r="A51" s="449"/>
      <c r="B51" s="455" t="s">
        <v>2126</v>
      </c>
      <c r="C51" s="449"/>
      <c r="D51" s="449"/>
      <c r="E51" s="449"/>
      <c r="F51" s="449"/>
      <c r="G51" s="449"/>
      <c r="H51" s="965">
        <f>H49-H50</f>
        <v>0</v>
      </c>
      <c r="I51" s="966"/>
      <c r="J51" s="472"/>
      <c r="K51" s="449"/>
      <c r="L51" s="546"/>
      <c r="M51" s="545"/>
      <c r="N51" s="545"/>
      <c r="O51" s="545"/>
      <c r="P51" s="545"/>
      <c r="Q51" s="544"/>
      <c r="S51" s="1436"/>
      <c r="T51" s="143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5"/>
      <c r="B55" s="1467"/>
      <c r="C55" s="1467"/>
      <c r="D55" s="1467"/>
      <c r="E55" s="1467"/>
      <c r="F55" s="1467"/>
      <c r="G55" s="1467"/>
      <c r="H55" s="1467"/>
      <c r="I55" s="1467"/>
      <c r="J55" s="1468"/>
      <c r="K55" s="1368"/>
      <c r="L55" s="1467"/>
      <c r="M55" s="1467"/>
      <c r="N55" s="1467"/>
      <c r="O55" s="1467"/>
      <c r="P55" s="1467"/>
      <c r="Q55" s="1468"/>
      <c r="S55" s="987" t="s">
        <v>3965</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6"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2012-019 Walton Oaks Family 2, Augusta, Richmond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3484</v>
      </c>
      <c r="B16" s="286" t="s">
        <v>3481</v>
      </c>
      <c r="C16" s="286" t="s">
        <v>3482</v>
      </c>
      <c r="D16" s="999" t="s">
        <v>3166</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2012-019 Walton Oaks Family 2, Augusta, Richmond County</v>
      </c>
      <c r="B58" s="1000"/>
      <c r="C58" s="1000"/>
      <c r="D58" s="1000"/>
      <c r="E58" s="1000"/>
      <c r="F58" s="1000"/>
      <c r="G58" s="1000" t="str">
        <f>CONCATENATE('Part I-Project Information'!$O$4," ",'Part I-Project Information'!$F$22,", ",'Part I-Project Information'!$F$24,", ",'Part I-Project Information'!$J$25," County")</f>
        <v>2012-019 Walton Oaks Family 2, Augusta, Richmond County</v>
      </c>
      <c r="H58" s="1000"/>
      <c r="I58" s="1000"/>
      <c r="J58" s="1000"/>
      <c r="K58" s="1000"/>
      <c r="L58" s="1000"/>
    </row>
    <row r="59" spans="1:12" ht="15">
      <c r="A59" s="1001" t="s">
        <v>3475</v>
      </c>
      <c r="B59" s="1001"/>
      <c r="C59" s="1001"/>
      <c r="D59" s="1001"/>
      <c r="E59" s="1001"/>
      <c r="F59" s="1001"/>
      <c r="G59" s="1001" t="s">
        <v>3475</v>
      </c>
      <c r="H59" s="1001"/>
      <c r="I59" s="1001"/>
      <c r="J59" s="1001"/>
      <c r="K59" s="1001"/>
      <c r="L59" s="1001"/>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6"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2012-019 Walton Oaks Family 2, Augusta, Richmond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3167</v>
      </c>
      <c r="D5" s="304"/>
      <c r="E5" s="1005" t="s">
        <v>1451</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3166</v>
      </c>
      <c r="D26" s="316"/>
      <c r="E26" s="108"/>
      <c r="F26" s="1007" t="s">
        <v>3166</v>
      </c>
      <c r="J26" s="321"/>
    </row>
    <row r="27" spans="1:10">
      <c r="A27" s="322" t="s">
        <v>3484</v>
      </c>
      <c r="B27" s="87" t="s">
        <v>1532</v>
      </c>
      <c r="C27" s="1008"/>
      <c r="D27" s="323" t="s">
        <v>3484</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2012-019 Walton Oaks Family 2, Augusta, Richmond County</v>
      </c>
      <c r="B50" s="1000"/>
      <c r="C50" s="1000"/>
      <c r="D50" s="1000"/>
      <c r="E50" s="1000"/>
      <c r="F50" s="1000"/>
      <c r="G50" s="297"/>
      <c r="H50" s="297"/>
    </row>
    <row r="51" spans="1:10" ht="15">
      <c r="A51" s="1001" t="s">
        <v>3475</v>
      </c>
      <c r="B51" s="1001"/>
      <c r="C51" s="1001"/>
      <c r="D51" s="1001"/>
      <c r="E51" s="1001"/>
      <c r="F51" s="1001"/>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6"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80" zoomScaleNormal="8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2012-019 Walton Oaks Family 2, Augusta, Richmond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2012-019 Walton Oaks Family 2, Augusta, Richmond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3864</v>
      </c>
      <c r="W6" s="1009"/>
    </row>
    <row r="7" spans="1:23" s="449" customFormat="1" ht="13.15" customHeight="1">
      <c r="B7" s="452" t="s">
        <v>111</v>
      </c>
      <c r="O7" s="844" t="str">
        <f>B7</f>
        <v>PRE-DEVELOPMENT COSTS</v>
      </c>
      <c r="V7" s="449" t="str">
        <f>B7</f>
        <v>PRE-DEVELOPMENT COSTS</v>
      </c>
    </row>
    <row r="8" spans="1:23" s="449" customFormat="1" ht="12.6" customHeight="1">
      <c r="B8" s="449" t="s">
        <v>2880</v>
      </c>
      <c r="G8" s="1438">
        <v>5500</v>
      </c>
      <c r="H8" s="1439"/>
      <c r="J8" s="1438">
        <v>5500</v>
      </c>
      <c r="K8" s="1439"/>
      <c r="L8" s="843"/>
      <c r="M8" s="1438"/>
      <c r="N8" s="1439"/>
      <c r="P8" s="1438"/>
      <c r="Q8" s="1439"/>
      <c r="S8" s="1438"/>
      <c r="T8" s="1439"/>
      <c r="V8" s="1469"/>
      <c r="W8" s="1470"/>
    </row>
    <row r="9" spans="1:23" s="449" customFormat="1" ht="12.6" customHeight="1">
      <c r="B9" s="449" t="s">
        <v>631</v>
      </c>
      <c r="G9" s="1438">
        <v>10000</v>
      </c>
      <c r="H9" s="1439"/>
      <c r="J9" s="1438">
        <v>10000</v>
      </c>
      <c r="K9" s="1439"/>
      <c r="L9" s="843"/>
      <c r="M9" s="1438"/>
      <c r="N9" s="1439"/>
      <c r="P9" s="1438"/>
      <c r="Q9" s="1439"/>
      <c r="S9" s="1438"/>
      <c r="T9" s="1439"/>
      <c r="V9" s="1471"/>
      <c r="W9" s="1472"/>
    </row>
    <row r="10" spans="1:23" s="449" customFormat="1" ht="12.6" customHeight="1">
      <c r="B10" s="449" t="s">
        <v>674</v>
      </c>
      <c r="G10" s="1438">
        <v>9000</v>
      </c>
      <c r="H10" s="1439"/>
      <c r="J10" s="1438">
        <v>9000</v>
      </c>
      <c r="K10" s="1439"/>
      <c r="L10" s="843"/>
      <c r="M10" s="1438"/>
      <c r="N10" s="1439"/>
      <c r="P10" s="1438"/>
      <c r="Q10" s="1439"/>
      <c r="S10" s="1438"/>
      <c r="T10" s="1439"/>
      <c r="V10" s="1471"/>
      <c r="W10" s="1472"/>
    </row>
    <row r="11" spans="1:23" s="449" customFormat="1" ht="12.6" customHeight="1">
      <c r="B11" s="449" t="s">
        <v>675</v>
      </c>
      <c r="G11" s="1438">
        <v>3500</v>
      </c>
      <c r="H11" s="1439"/>
      <c r="J11" s="1438">
        <v>3500</v>
      </c>
      <c r="K11" s="1439"/>
      <c r="L11" s="843"/>
      <c r="M11" s="1438"/>
      <c r="N11" s="1439"/>
      <c r="P11" s="1438"/>
      <c r="Q11" s="1439"/>
      <c r="S11" s="1438"/>
      <c r="T11" s="1439"/>
      <c r="V11" s="1471"/>
      <c r="W11" s="1472"/>
    </row>
    <row r="12" spans="1:23" s="449" customFormat="1" ht="12.6" customHeight="1">
      <c r="B12" s="449" t="s">
        <v>3506</v>
      </c>
      <c r="G12" s="1438">
        <v>15000</v>
      </c>
      <c r="H12" s="1439"/>
      <c r="J12" s="1438">
        <v>15000</v>
      </c>
      <c r="K12" s="1439"/>
      <c r="L12" s="843"/>
      <c r="M12" s="1438"/>
      <c r="N12" s="1439"/>
      <c r="P12" s="1438"/>
      <c r="Q12" s="1439"/>
      <c r="S12" s="1438"/>
      <c r="T12" s="1439"/>
      <c r="V12" s="1471"/>
      <c r="W12" s="1472"/>
    </row>
    <row r="13" spans="1:23" s="449" customFormat="1" ht="12.6" customHeight="1">
      <c r="B13" s="449" t="s">
        <v>229</v>
      </c>
      <c r="G13" s="1438">
        <v>10000</v>
      </c>
      <c r="H13" s="1439"/>
      <c r="J13" s="1438">
        <v>10000</v>
      </c>
      <c r="K13" s="1439"/>
      <c r="L13" s="843"/>
      <c r="M13" s="1438"/>
      <c r="N13" s="1439"/>
      <c r="P13" s="1438"/>
      <c r="Q13" s="1439"/>
      <c r="S13" s="1438"/>
      <c r="T13" s="1439"/>
      <c r="V13" s="1471"/>
      <c r="W13" s="1472"/>
    </row>
    <row r="14" spans="1:23" s="449" customFormat="1" ht="12.6" customHeight="1">
      <c r="A14" s="548" t="str">
        <f>IF(AND(G14&gt;0,OR(C14="",C14="&lt;Enter detailed description here; use Comments section if needed&gt;")),"X","")</f>
        <v/>
      </c>
      <c r="B14" s="449" t="s">
        <v>1137</v>
      </c>
      <c r="C14" s="1298" t="s">
        <v>4065</v>
      </c>
      <c r="D14" s="1298"/>
      <c r="E14" s="1298"/>
      <c r="F14" s="1299"/>
      <c r="G14" s="1438">
        <v>8500</v>
      </c>
      <c r="H14" s="1439"/>
      <c r="J14" s="1438"/>
      <c r="K14" s="1439"/>
      <c r="L14" s="843"/>
      <c r="M14" s="1438"/>
      <c r="N14" s="1439"/>
      <c r="P14" s="1438"/>
      <c r="Q14" s="1439"/>
      <c r="S14" s="1438">
        <v>8500</v>
      </c>
      <c r="T14" s="1439"/>
      <c r="U14" s="547" t="str">
        <f>IF(AND(G14&gt;0,OR(C14="",C14="&lt;Enter detailed description here; use Comments section if needed&gt;")),"NO DESCRIPTION PROVIDED - please enter detailed description in Other box at left; use Comments section below if needed.","")</f>
        <v/>
      </c>
      <c r="V14" s="1471"/>
      <c r="W14" s="1472"/>
    </row>
    <row r="15" spans="1:23" s="449" customFormat="1" ht="12.6" customHeight="1">
      <c r="A15" s="548" t="str">
        <f>IF(AND(G15&gt;0,OR(C15="",C15="&lt;Enter detailed description here; use Comments section if needed&gt;")),"X","")</f>
        <v/>
      </c>
      <c r="B15" s="449" t="s">
        <v>1137</v>
      </c>
      <c r="C15" s="1298" t="s">
        <v>3397</v>
      </c>
      <c r="D15" s="1298"/>
      <c r="E15" s="1298"/>
      <c r="F15" s="1299"/>
      <c r="G15" s="1438"/>
      <c r="H15" s="1439"/>
      <c r="J15" s="1438"/>
      <c r="K15" s="1439"/>
      <c r="L15" s="843"/>
      <c r="M15" s="1438"/>
      <c r="N15" s="1439"/>
      <c r="P15" s="1438"/>
      <c r="Q15" s="1439"/>
      <c r="S15" s="1438"/>
      <c r="T15" s="1439"/>
      <c r="U15" s="547" t="str">
        <f>IF(AND(G15&gt;0,OR(C15="",C15="&lt;Enter detailed description here; use Comments section if needed&gt;")),"NO DESCRIPTION PROVIDED - please enter detailed description in Other box at left; use Comments section below if needed.","")</f>
        <v/>
      </c>
      <c r="V15" s="1471"/>
      <c r="W15" s="1472"/>
    </row>
    <row r="16" spans="1:23" s="449" customFormat="1" ht="12.6" customHeight="1" thickBot="1">
      <c r="A16" s="548" t="str">
        <f>IF(AND(G16&gt;0,OR(C16="",C16="&lt;Enter detailed description here; use Comments section if needed&gt;")),"X","")</f>
        <v/>
      </c>
      <c r="B16" s="449" t="s">
        <v>1137</v>
      </c>
      <c r="C16" s="1298" t="s">
        <v>3397</v>
      </c>
      <c r="D16" s="1298"/>
      <c r="E16" s="1298"/>
      <c r="F16" s="1299"/>
      <c r="G16" s="1438"/>
      <c r="H16" s="1439"/>
      <c r="J16" s="1473"/>
      <c r="K16" s="1474"/>
      <c r="L16" s="843"/>
      <c r="M16" s="1438"/>
      <c r="N16" s="1439"/>
      <c r="P16" s="1438"/>
      <c r="Q16" s="1439"/>
      <c r="S16" s="1473"/>
      <c r="T16" s="1474"/>
      <c r="U16" s="547" t="str">
        <f>IF(AND(G16&gt;0,OR(C16="",C16="&lt;Enter detailed description here; use Comments section if needed&gt;")),"NO DESCRIPTION PROVIDED - please enter detailed description in Other box at left; use Comments section below if needed.","")</f>
        <v/>
      </c>
      <c r="V16" s="1471"/>
      <c r="W16" s="1472"/>
    </row>
    <row r="17" spans="2:23" s="449" customFormat="1" ht="12.6" customHeight="1" thickTop="1">
      <c r="F17" s="513" t="s">
        <v>230</v>
      </c>
      <c r="G17" s="1018">
        <f>SUM(G8:H16)</f>
        <v>61500</v>
      </c>
      <c r="H17" s="1019"/>
      <c r="J17" s="1018">
        <f>SUM(J8:K16)</f>
        <v>53000</v>
      </c>
      <c r="K17" s="1066"/>
      <c r="L17" s="843"/>
      <c r="M17" s="1018">
        <f>SUM(M8:N16)</f>
        <v>0</v>
      </c>
      <c r="N17" s="1019"/>
      <c r="P17" s="1018">
        <f>SUM(P8:Q16)</f>
        <v>0</v>
      </c>
      <c r="Q17" s="1019"/>
      <c r="S17" s="1018">
        <f>SUM(S8:T16)</f>
        <v>8500</v>
      </c>
      <c r="T17" s="1019"/>
      <c r="V17" s="1475"/>
      <c r="W17" s="1476"/>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38"/>
      <c r="H19" s="1439"/>
      <c r="J19" s="515"/>
      <c r="K19" s="512"/>
      <c r="L19" s="515"/>
      <c r="M19" s="515"/>
      <c r="N19" s="512"/>
      <c r="P19" s="515"/>
      <c r="Q19" s="512"/>
      <c r="S19" s="1438"/>
      <c r="T19" s="1439"/>
      <c r="V19" s="1469"/>
      <c r="W19" s="1470"/>
    </row>
    <row r="20" spans="2:23" s="449" customFormat="1" ht="12.6" customHeight="1">
      <c r="B20" s="449" t="s">
        <v>1632</v>
      </c>
      <c r="G20" s="1438"/>
      <c r="H20" s="1439"/>
      <c r="J20" s="515"/>
      <c r="K20" s="512"/>
      <c r="L20" s="515"/>
      <c r="M20" s="515"/>
      <c r="N20" s="512"/>
      <c r="P20" s="515"/>
      <c r="Q20" s="512"/>
      <c r="S20" s="1438"/>
      <c r="T20" s="1439"/>
      <c r="V20" s="1471"/>
      <c r="W20" s="1472"/>
    </row>
    <row r="21" spans="2:23" s="449" customFormat="1" ht="12.6" customHeight="1">
      <c r="B21" s="449" t="s">
        <v>632</v>
      </c>
      <c r="G21" s="1438"/>
      <c r="H21" s="1439"/>
      <c r="J21" s="515"/>
      <c r="K21" s="512"/>
      <c r="L21" s="515"/>
      <c r="M21" s="1438"/>
      <c r="N21" s="1439"/>
      <c r="P21" s="515"/>
      <c r="Q21" s="512"/>
      <c r="S21" s="1438"/>
      <c r="T21" s="1439"/>
      <c r="V21" s="1471"/>
      <c r="W21" s="1472"/>
    </row>
    <row r="22" spans="2:23" s="449" customFormat="1" ht="12.6" customHeight="1" thickBot="1">
      <c r="B22" s="449" t="s">
        <v>598</v>
      </c>
      <c r="G22" s="1477"/>
      <c r="H22" s="1478"/>
      <c r="J22" s="515"/>
      <c r="K22" s="512"/>
      <c r="L22" s="515"/>
      <c r="M22" s="1477"/>
      <c r="N22" s="1478"/>
      <c r="P22" s="515"/>
      <c r="Q22" s="512"/>
      <c r="S22" s="1438"/>
      <c r="T22" s="1439"/>
      <c r="V22" s="1471"/>
      <c r="W22" s="1472"/>
    </row>
    <row r="23" spans="2:23" s="449" customFormat="1" ht="12.6" customHeight="1" thickTop="1">
      <c r="F23" s="513" t="s">
        <v>230</v>
      </c>
      <c r="G23" s="1018">
        <f>SUM(G19:H22)</f>
        <v>0</v>
      </c>
      <c r="H23" s="1019"/>
      <c r="J23" s="515"/>
      <c r="K23" s="512"/>
      <c r="L23" s="515"/>
      <c r="M23" s="1018">
        <f>SUM(M21:N22)</f>
        <v>0</v>
      </c>
      <c r="N23" s="1019"/>
      <c r="P23" s="515"/>
      <c r="Q23" s="512"/>
      <c r="S23" s="1018">
        <f>SUM(S19:T22)</f>
        <v>0</v>
      </c>
      <c r="T23" s="1019"/>
      <c r="V23" s="1475"/>
      <c r="W23" s="1476"/>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38">
        <v>550000</v>
      </c>
      <c r="H25" s="1439"/>
      <c r="J25" s="1473">
        <v>250000</v>
      </c>
      <c r="K25" s="1474"/>
      <c r="L25" s="843"/>
      <c r="M25" s="1473"/>
      <c r="N25" s="1474"/>
      <c r="P25" s="1473"/>
      <c r="Q25" s="1474"/>
      <c r="S25" s="1438">
        <v>300000</v>
      </c>
      <c r="T25" s="1439"/>
      <c r="V25" s="1469"/>
      <c r="W25" s="1470"/>
    </row>
    <row r="26" spans="2:23" s="449" customFormat="1" ht="12.6" customHeight="1" thickBot="1">
      <c r="B26" s="449" t="s">
        <v>1635</v>
      </c>
      <c r="G26" s="1438"/>
      <c r="H26" s="1439"/>
      <c r="J26" s="1473"/>
      <c r="K26" s="1474"/>
      <c r="L26" s="516"/>
      <c r="M26" s="1067"/>
      <c r="N26" s="1067"/>
      <c r="P26" s="1067"/>
      <c r="Q26" s="1067"/>
      <c r="S26" s="1438"/>
      <c r="T26" s="1439"/>
      <c r="V26" s="1471"/>
      <c r="W26" s="1472"/>
    </row>
    <row r="27" spans="2:23" s="449" customFormat="1" ht="12.6" customHeight="1" thickTop="1">
      <c r="F27" s="513" t="s">
        <v>230</v>
      </c>
      <c r="G27" s="1018">
        <f>SUM(G25:H26)</f>
        <v>550000</v>
      </c>
      <c r="H27" s="1019"/>
      <c r="J27" s="1018">
        <f>SUM(J25:K26)</f>
        <v>250000</v>
      </c>
      <c r="K27" s="1019"/>
      <c r="L27" s="515"/>
      <c r="M27" s="1018">
        <f>M25</f>
        <v>0</v>
      </c>
      <c r="N27" s="1019"/>
      <c r="P27" s="1018">
        <f>P25</f>
        <v>0</v>
      </c>
      <c r="Q27" s="1019"/>
      <c r="S27" s="1018">
        <f>SUM(S25:T26)</f>
        <v>300000</v>
      </c>
      <c r="T27" s="1019"/>
      <c r="V27" s="1475"/>
      <c r="W27" s="1476"/>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38">
        <v>6820000</v>
      </c>
      <c r="H29" s="1439"/>
      <c r="J29" s="1438">
        <v>6652200</v>
      </c>
      <c r="K29" s="1439"/>
      <c r="L29" s="843"/>
      <c r="M29" s="1438"/>
      <c r="N29" s="1439"/>
      <c r="P29" s="1438"/>
      <c r="Q29" s="1439"/>
      <c r="S29" s="1438">
        <v>167800</v>
      </c>
      <c r="T29" s="1439"/>
      <c r="V29" s="1469"/>
      <c r="W29" s="1470"/>
    </row>
    <row r="30" spans="2:23" s="449" customFormat="1" ht="12.6" customHeight="1">
      <c r="B30" s="449" t="s">
        <v>1638</v>
      </c>
      <c r="G30" s="1438"/>
      <c r="H30" s="1439"/>
      <c r="J30" s="1438"/>
      <c r="K30" s="1439"/>
      <c r="L30" s="843"/>
      <c r="M30" s="1438"/>
      <c r="N30" s="1439"/>
      <c r="P30" s="1438"/>
      <c r="Q30" s="1439"/>
      <c r="S30" s="1438"/>
      <c r="T30" s="1439"/>
      <c r="V30" s="1471"/>
      <c r="W30" s="1472"/>
    </row>
    <row r="31" spans="2:23" ht="12.6" customHeight="1" thickBot="1">
      <c r="B31" s="449" t="s">
        <v>1639</v>
      </c>
      <c r="G31" s="1438"/>
      <c r="H31" s="1439"/>
      <c r="I31" s="449"/>
      <c r="J31" s="1438"/>
      <c r="K31" s="1439"/>
      <c r="L31" s="843"/>
      <c r="M31" s="1438"/>
      <c r="N31" s="1439"/>
      <c r="O31" s="449"/>
      <c r="P31" s="1438"/>
      <c r="Q31" s="1439"/>
      <c r="R31" s="449"/>
      <c r="S31" s="1438"/>
      <c r="T31" s="1439"/>
      <c r="V31" s="1471"/>
      <c r="W31" s="1472"/>
    </row>
    <row r="32" spans="2:23" s="449" customFormat="1" ht="12.6" customHeight="1" thickTop="1">
      <c r="C32" s="1072"/>
      <c r="D32" s="1072"/>
      <c r="E32" s="845"/>
      <c r="F32" s="513" t="s">
        <v>230</v>
      </c>
      <c r="G32" s="1018">
        <f>SUM(G29:H31)</f>
        <v>6820000</v>
      </c>
      <c r="H32" s="1019"/>
      <c r="J32" s="1018">
        <f>SUM(J29:K31)</f>
        <v>6652200</v>
      </c>
      <c r="K32" s="1019"/>
      <c r="L32" s="843"/>
      <c r="M32" s="1018">
        <f>SUM(M29:N31)</f>
        <v>0</v>
      </c>
      <c r="N32" s="1019"/>
      <c r="P32" s="1018">
        <f>SUM(P29:Q31)</f>
        <v>0</v>
      </c>
      <c r="Q32" s="1019"/>
      <c r="S32" s="1018">
        <f>SUM(S29:T31)</f>
        <v>167800</v>
      </c>
      <c r="T32" s="1019"/>
      <c r="V32" s="1475"/>
      <c r="W32" s="1476"/>
    </row>
    <row r="33" spans="1:23" s="449" customFormat="1" ht="13.15" customHeight="1">
      <c r="B33" s="452" t="s">
        <v>3267</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442200</v>
      </c>
      <c r="G34" s="1438">
        <v>442200</v>
      </c>
      <c r="H34" s="1439"/>
      <c r="I34" s="472"/>
      <c r="J34" s="1438">
        <v>442200</v>
      </c>
      <c r="K34" s="1439"/>
      <c r="L34" s="843"/>
      <c r="M34" s="1438"/>
      <c r="N34" s="1439"/>
      <c r="P34" s="1438"/>
      <c r="Q34" s="1439"/>
      <c r="S34" s="1438"/>
      <c r="T34" s="1439"/>
      <c r="V34" s="1469"/>
      <c r="W34" s="1470"/>
    </row>
    <row r="35" spans="1:23" s="449" customFormat="1" ht="12.6" customHeight="1" thickBot="1">
      <c r="B35" s="449" t="s">
        <v>2923</v>
      </c>
      <c r="E35" s="604">
        <f>'DCA Underwriting Assumptions'!$R$39+'DCA Underwriting Assumptions'!$R$40</f>
        <v>0.08</v>
      </c>
      <c r="F35" s="605">
        <f>E35*($G$27+$G$32)</f>
        <v>589600</v>
      </c>
      <c r="G35" s="1438">
        <v>589600</v>
      </c>
      <c r="H35" s="1439"/>
      <c r="I35" s="472"/>
      <c r="J35" s="1438">
        <v>589600</v>
      </c>
      <c r="K35" s="1439"/>
      <c r="L35" s="843"/>
      <c r="M35" s="1438"/>
      <c r="N35" s="1439"/>
      <c r="P35" s="1438"/>
      <c r="Q35" s="1439"/>
      <c r="S35" s="1438"/>
      <c r="T35" s="1439"/>
      <c r="V35" s="1471"/>
      <c r="W35" s="1472"/>
    </row>
    <row r="36" spans="1:23" s="449" customFormat="1" ht="12.6" customHeight="1" thickTop="1">
      <c r="B36" s="449" t="s">
        <v>2924</v>
      </c>
      <c r="D36" s="520"/>
      <c r="E36" s="833"/>
      <c r="F36" s="606" t="s">
        <v>230</v>
      </c>
      <c r="G36" s="1018">
        <f>SUM(G34:H35)</f>
        <v>1031800</v>
      </c>
      <c r="H36" s="1019"/>
      <c r="J36" s="1018">
        <f>SUM(J34:K35)</f>
        <v>1031800</v>
      </c>
      <c r="K36" s="1019"/>
      <c r="L36" s="515"/>
      <c r="M36" s="1018">
        <f>SUM(M34:N35)</f>
        <v>0</v>
      </c>
      <c r="N36" s="1019"/>
      <c r="P36" s="1018">
        <f>SUM(P34:Q35)</f>
        <v>0</v>
      </c>
      <c r="Q36" s="1019"/>
      <c r="S36" s="1018">
        <f>SUM(S34:T35)</f>
        <v>0</v>
      </c>
      <c r="T36" s="1019"/>
      <c r="V36" s="1475"/>
      <c r="W36" s="1476"/>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79262.264150943403</v>
      </c>
      <c r="E38" s="523"/>
      <c r="F38" s="524" t="s">
        <v>1974</v>
      </c>
      <c r="V38" s="1469"/>
      <c r="W38" s="1470"/>
    </row>
    <row r="39" spans="1:23" s="449" customFormat="1" ht="12.6" customHeight="1">
      <c r="B39" s="1062">
        <f>G27+G32+G36</f>
        <v>8401800</v>
      </c>
      <c r="C39" s="1063"/>
      <c r="D39" s="525">
        <f>B39/'Part VI-Revenues &amp; Expenses'!$M$100</f>
        <v>71.994858611825194</v>
      </c>
      <c r="E39" s="525"/>
      <c r="F39" s="526" t="s">
        <v>1242</v>
      </c>
      <c r="J39" s="512"/>
      <c r="K39" s="512"/>
      <c r="L39" s="527"/>
      <c r="M39" s="512"/>
      <c r="N39" s="843"/>
      <c r="P39" s="512"/>
      <c r="Q39" s="843"/>
      <c r="S39" s="512"/>
      <c r="T39" s="843"/>
      <c r="V39" s="1475"/>
      <c r="W39" s="1476"/>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4.9989288009712203E-2</v>
      </c>
      <c r="G42" s="1438">
        <v>420000</v>
      </c>
      <c r="H42" s="1439"/>
      <c r="I42" s="449"/>
      <c r="J42" s="1438">
        <v>420000</v>
      </c>
      <c r="K42" s="1439"/>
      <c r="L42" s="843"/>
      <c r="M42" s="1438"/>
      <c r="N42" s="1439"/>
      <c r="O42" s="449"/>
      <c r="P42" s="1438"/>
      <c r="Q42" s="1439"/>
      <c r="R42" s="449"/>
      <c r="S42" s="1438"/>
      <c r="T42" s="1439"/>
      <c r="V42" s="1479"/>
      <c r="W42" s="1480"/>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3864</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38">
        <v>18000</v>
      </c>
      <c r="H48" s="1439"/>
      <c r="J48" s="1438">
        <v>12000</v>
      </c>
      <c r="K48" s="1439"/>
      <c r="L48" s="843"/>
      <c r="M48" s="1438"/>
      <c r="N48" s="1439"/>
      <c r="P48" s="1438"/>
      <c r="Q48" s="1439"/>
      <c r="S48" s="1438">
        <v>6000</v>
      </c>
      <c r="T48" s="1439"/>
      <c r="V48" s="1469"/>
      <c r="W48" s="1470"/>
    </row>
    <row r="49" spans="1:23" s="449" customFormat="1" ht="12" customHeight="1">
      <c r="B49" s="449" t="s">
        <v>3271</v>
      </c>
      <c r="G49" s="1438"/>
      <c r="H49" s="1439"/>
      <c r="J49" s="1438"/>
      <c r="K49" s="1439"/>
      <c r="L49" s="843"/>
      <c r="M49" s="1438"/>
      <c r="N49" s="1439"/>
      <c r="P49" s="1438"/>
      <c r="Q49" s="1439"/>
      <c r="S49" s="1438"/>
      <c r="T49" s="1439"/>
      <c r="V49" s="1471"/>
      <c r="W49" s="1472"/>
    </row>
    <row r="50" spans="1:23" s="449" customFormat="1" ht="12" customHeight="1">
      <c r="B50" s="449" t="s">
        <v>3272</v>
      </c>
      <c r="G50" s="1438">
        <v>20000</v>
      </c>
      <c r="H50" s="1439"/>
      <c r="J50" s="1438">
        <v>12400</v>
      </c>
      <c r="K50" s="1439"/>
      <c r="L50" s="843"/>
      <c r="M50" s="1438"/>
      <c r="N50" s="1439"/>
      <c r="P50" s="1438"/>
      <c r="Q50" s="1439"/>
      <c r="S50" s="1438">
        <v>7600</v>
      </c>
      <c r="T50" s="1439"/>
      <c r="V50" s="1471"/>
      <c r="W50" s="1472"/>
    </row>
    <row r="51" spans="1:23" s="449" customFormat="1" ht="12" customHeight="1">
      <c r="B51" s="449" t="s">
        <v>3933</v>
      </c>
      <c r="G51" s="1438">
        <v>13000</v>
      </c>
      <c r="H51" s="1439"/>
      <c r="J51" s="1438">
        <v>13000</v>
      </c>
      <c r="K51" s="1439"/>
      <c r="L51" s="843"/>
      <c r="M51" s="1438"/>
      <c r="N51" s="1439"/>
      <c r="P51" s="1438"/>
      <c r="Q51" s="1439"/>
      <c r="S51" s="1438"/>
      <c r="T51" s="1439"/>
      <c r="V51" s="1471"/>
      <c r="W51" s="1472"/>
    </row>
    <row r="52" spans="1:23" s="449" customFormat="1" ht="12" customHeight="1">
      <c r="B52" s="449" t="s">
        <v>1004</v>
      </c>
      <c r="G52" s="1438"/>
      <c r="H52" s="1439"/>
      <c r="J52" s="1438"/>
      <c r="K52" s="1439"/>
      <c r="L52" s="843"/>
      <c r="M52" s="1438"/>
      <c r="N52" s="1439"/>
      <c r="P52" s="1438"/>
      <c r="Q52" s="1439"/>
      <c r="S52" s="1438"/>
      <c r="T52" s="1439"/>
      <c r="V52" s="1471"/>
      <c r="W52" s="1472"/>
    </row>
    <row r="53" spans="1:23" s="449" customFormat="1" ht="12" customHeight="1">
      <c r="B53" s="449" t="s">
        <v>3273</v>
      </c>
      <c r="G53" s="1438">
        <v>21205</v>
      </c>
      <c r="H53" s="1439"/>
      <c r="J53" s="1438">
        <v>18000</v>
      </c>
      <c r="K53" s="1439"/>
      <c r="L53" s="843"/>
      <c r="M53" s="1438"/>
      <c r="N53" s="1439"/>
      <c r="P53" s="1438"/>
      <c r="Q53" s="1439"/>
      <c r="S53" s="1438">
        <v>3205</v>
      </c>
      <c r="T53" s="1439"/>
      <c r="V53" s="1471"/>
      <c r="W53" s="1472"/>
    </row>
    <row r="54" spans="1:23" s="449" customFormat="1" ht="12" customHeight="1">
      <c r="B54" s="449" t="s">
        <v>345</v>
      </c>
      <c r="G54" s="1438"/>
      <c r="H54" s="1439"/>
      <c r="J54" s="1438"/>
      <c r="K54" s="1439"/>
      <c r="L54" s="843"/>
      <c r="M54" s="1438"/>
      <c r="N54" s="1439"/>
      <c r="P54" s="1438"/>
      <c r="Q54" s="1439"/>
      <c r="S54" s="1438"/>
      <c r="T54" s="1439"/>
      <c r="V54" s="1471"/>
      <c r="W54" s="1472"/>
    </row>
    <row r="55" spans="1:23" s="449" customFormat="1" ht="12" customHeight="1">
      <c r="B55" s="519" t="s">
        <v>1674</v>
      </c>
      <c r="D55" s="517"/>
      <c r="E55" s="517"/>
      <c r="F55" s="518"/>
      <c r="G55" s="1438"/>
      <c r="H55" s="1439"/>
      <c r="I55" s="472"/>
      <c r="J55" s="1438"/>
      <c r="K55" s="1439"/>
      <c r="L55" s="843"/>
      <c r="M55" s="1438"/>
      <c r="N55" s="1439"/>
      <c r="P55" s="1438"/>
      <c r="Q55" s="1439"/>
      <c r="S55" s="1438"/>
      <c r="T55" s="1439"/>
      <c r="V55" s="1471"/>
      <c r="W55" s="1472"/>
    </row>
    <row r="56" spans="1:23" s="449" customFormat="1" ht="12" customHeight="1" thickBot="1">
      <c r="A56" s="548" t="str">
        <f>IF(AND(G56&gt;0,OR(C56="",C56="&lt;Enter detailed description here; use Comments section if needed&gt;")),"X","")</f>
        <v/>
      </c>
      <c r="B56" s="449" t="s">
        <v>1137</v>
      </c>
      <c r="C56" s="1298" t="s">
        <v>3397</v>
      </c>
      <c r="D56" s="1298"/>
      <c r="E56" s="1298"/>
      <c r="F56" s="1299"/>
      <c r="G56" s="1477"/>
      <c r="H56" s="1478"/>
      <c r="J56" s="1477"/>
      <c r="K56" s="1478"/>
      <c r="L56" s="843"/>
      <c r="M56" s="1477"/>
      <c r="N56" s="1478"/>
      <c r="P56" s="1477"/>
      <c r="Q56" s="1478"/>
      <c r="S56" s="1438"/>
      <c r="T56" s="1439"/>
      <c r="U56" s="547" t="str">
        <f>IF(AND(G56&gt;0,OR(C56="",C56="&lt;Enter detailed description here; use Comments section if needed&gt;")),"NO DESCRIPTION PROVIDED - please enter detailed description in Other box at left; use Comments section below if needed.","")</f>
        <v/>
      </c>
      <c r="V56" s="1471"/>
      <c r="W56" s="1472"/>
    </row>
    <row r="57" spans="1:23" s="449" customFormat="1" ht="12" customHeight="1" thickTop="1">
      <c r="F57" s="513" t="s">
        <v>230</v>
      </c>
      <c r="G57" s="1018">
        <f>SUM(G48:H56)</f>
        <v>72205</v>
      </c>
      <c r="H57" s="1019"/>
      <c r="J57" s="1018">
        <f>SUM(J48:K56)</f>
        <v>55400</v>
      </c>
      <c r="K57" s="1019"/>
      <c r="L57" s="515"/>
      <c r="M57" s="1018">
        <f>SUM(M48:N56)</f>
        <v>0</v>
      </c>
      <c r="N57" s="1019"/>
      <c r="P57" s="1018">
        <f>SUM(P48:Q56)</f>
        <v>0</v>
      </c>
      <c r="Q57" s="1019"/>
      <c r="S57" s="1018">
        <f>SUM(S48:T56)</f>
        <v>16805</v>
      </c>
      <c r="T57" s="1019"/>
      <c r="V57" s="1475"/>
      <c r="W57" s="1476"/>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38">
        <v>165000</v>
      </c>
      <c r="H59" s="1439"/>
      <c r="J59" s="1438">
        <v>165000</v>
      </c>
      <c r="K59" s="1439"/>
      <c r="L59" s="843"/>
      <c r="M59" s="1438"/>
      <c r="N59" s="1439"/>
      <c r="P59" s="1438"/>
      <c r="Q59" s="1439"/>
      <c r="S59" s="1438"/>
      <c r="T59" s="1439"/>
      <c r="V59" s="1469"/>
      <c r="W59" s="1470"/>
    </row>
    <row r="60" spans="1:23" s="449" customFormat="1" ht="12" customHeight="1">
      <c r="B60" s="449" t="s">
        <v>663</v>
      </c>
      <c r="G60" s="1438">
        <v>15000</v>
      </c>
      <c r="H60" s="1439"/>
      <c r="J60" s="1438">
        <v>15000</v>
      </c>
      <c r="K60" s="1439"/>
      <c r="L60" s="843"/>
      <c r="M60" s="1438"/>
      <c r="N60" s="1439"/>
      <c r="P60" s="1438"/>
      <c r="Q60" s="1439"/>
      <c r="S60" s="1438"/>
      <c r="T60" s="1439"/>
      <c r="V60" s="1471"/>
      <c r="W60" s="1472"/>
    </row>
    <row r="61" spans="1:23" s="449" customFormat="1" ht="12" customHeight="1">
      <c r="B61" s="449" t="s">
        <v>1643</v>
      </c>
      <c r="G61" s="1438"/>
      <c r="H61" s="1439"/>
      <c r="J61" s="1438"/>
      <c r="K61" s="1439"/>
      <c r="L61" s="843"/>
      <c r="M61" s="1438"/>
      <c r="N61" s="1439"/>
      <c r="P61" s="1438"/>
      <c r="Q61" s="1439"/>
      <c r="S61" s="1438"/>
      <c r="T61" s="1439"/>
      <c r="V61" s="1471"/>
      <c r="W61" s="1472"/>
    </row>
    <row r="62" spans="1:23" s="449" customFormat="1" ht="12" customHeight="1">
      <c r="B62" s="449" t="s">
        <v>1644</v>
      </c>
      <c r="G62" s="1438">
        <v>10000</v>
      </c>
      <c r="H62" s="1439"/>
      <c r="J62" s="1438">
        <v>10000</v>
      </c>
      <c r="K62" s="1439"/>
      <c r="L62" s="843"/>
      <c r="M62" s="1438"/>
      <c r="N62" s="1439"/>
      <c r="P62" s="1438"/>
      <c r="Q62" s="1439"/>
      <c r="S62" s="1438"/>
      <c r="T62" s="1439"/>
      <c r="V62" s="1471"/>
      <c r="W62" s="1472"/>
    </row>
    <row r="63" spans="1:23" s="449" customFormat="1" ht="12" customHeight="1">
      <c r="B63" s="449" t="s">
        <v>1645</v>
      </c>
      <c r="G63" s="1438">
        <v>5000</v>
      </c>
      <c r="H63" s="1439"/>
      <c r="J63" s="1438">
        <v>5000</v>
      </c>
      <c r="K63" s="1439"/>
      <c r="L63" s="843"/>
      <c r="M63" s="1438"/>
      <c r="N63" s="1439"/>
      <c r="P63" s="1438"/>
      <c r="Q63" s="1439"/>
      <c r="S63" s="1438"/>
      <c r="T63" s="1439"/>
      <c r="V63" s="1471"/>
      <c r="W63" s="1472"/>
    </row>
    <row r="64" spans="1:23" s="449" customFormat="1" ht="12" customHeight="1">
      <c r="B64" s="449" t="s">
        <v>1646</v>
      </c>
      <c r="G64" s="1438"/>
      <c r="H64" s="1439"/>
      <c r="J64" s="1438"/>
      <c r="K64" s="1439"/>
      <c r="L64" s="843"/>
      <c r="M64" s="1438"/>
      <c r="N64" s="1439"/>
      <c r="P64" s="1438"/>
      <c r="Q64" s="1439"/>
      <c r="S64" s="1438"/>
      <c r="T64" s="1439"/>
      <c r="V64" s="1471"/>
      <c r="W64" s="1472"/>
    </row>
    <row r="65" spans="1:23" s="449" customFormat="1" ht="12" customHeight="1">
      <c r="B65" s="449" t="s">
        <v>664</v>
      </c>
      <c r="G65" s="1438">
        <v>45000</v>
      </c>
      <c r="H65" s="1439"/>
      <c r="J65" s="1438">
        <v>45000</v>
      </c>
      <c r="K65" s="1439"/>
      <c r="L65" s="843"/>
      <c r="M65" s="1438"/>
      <c r="N65" s="1439"/>
      <c r="P65" s="1438"/>
      <c r="Q65" s="1439"/>
      <c r="S65" s="1438"/>
      <c r="T65" s="1439"/>
      <c r="V65" s="1471"/>
      <c r="W65" s="1472"/>
    </row>
    <row r="66" spans="1:23" s="449" customFormat="1" ht="12" customHeight="1">
      <c r="B66" s="449" t="s">
        <v>665</v>
      </c>
      <c r="G66" s="1438">
        <v>20000</v>
      </c>
      <c r="H66" s="1439"/>
      <c r="J66" s="1438">
        <v>6000</v>
      </c>
      <c r="K66" s="1439"/>
      <c r="L66" s="843"/>
      <c r="M66" s="1438"/>
      <c r="N66" s="1439"/>
      <c r="P66" s="1438"/>
      <c r="Q66" s="1439"/>
      <c r="S66" s="1438">
        <v>14000</v>
      </c>
      <c r="T66" s="1439"/>
      <c r="V66" s="1471"/>
      <c r="W66" s="1472"/>
    </row>
    <row r="67" spans="1:23" s="449" customFormat="1" ht="12" customHeight="1">
      <c r="B67" s="449" t="s">
        <v>2934</v>
      </c>
      <c r="G67" s="1438">
        <v>30000</v>
      </c>
      <c r="H67" s="1439"/>
      <c r="J67" s="1438">
        <v>30000</v>
      </c>
      <c r="K67" s="1439"/>
      <c r="L67" s="843"/>
      <c r="M67" s="1438"/>
      <c r="N67" s="1439"/>
      <c r="P67" s="1438"/>
      <c r="Q67" s="1439"/>
      <c r="S67" s="1438"/>
      <c r="T67" s="1439"/>
      <c r="V67" s="1471"/>
      <c r="W67" s="1472"/>
    </row>
    <row r="68" spans="1:23" s="449" customFormat="1" ht="12" customHeight="1" thickBot="1">
      <c r="A68" s="548" t="str">
        <f>IF(AND(G68&gt;0,OR(C68="",C68="&lt;Enter detailed description here; use Comments section if needed&gt;")),"X","")</f>
        <v/>
      </c>
      <c r="B68" s="449" t="s">
        <v>1137</v>
      </c>
      <c r="C68" s="1298" t="s">
        <v>4033</v>
      </c>
      <c r="D68" s="1298"/>
      <c r="E68" s="1298"/>
      <c r="F68" s="1299"/>
      <c r="G68" s="1438">
        <v>10000</v>
      </c>
      <c r="H68" s="1439"/>
      <c r="J68" s="1438">
        <v>10000</v>
      </c>
      <c r="K68" s="1439"/>
      <c r="L68" s="843"/>
      <c r="M68" s="1438"/>
      <c r="N68" s="1439"/>
      <c r="P68" s="1438"/>
      <c r="Q68" s="1439"/>
      <c r="S68" s="1438"/>
      <c r="T68" s="1439"/>
      <c r="U68" s="547" t="str">
        <f>IF(AND(G68&gt;0,OR(C68="",C68="&lt;Enter detailed description here; use Comments section if needed&gt;")),"NO DESCRIPTION PROVIDED - please enter detailed description in Other box at left; use Comments section below if needed.","")</f>
        <v/>
      </c>
      <c r="V68" s="1471"/>
      <c r="W68" s="1472"/>
    </row>
    <row r="69" spans="1:23" s="449" customFormat="1" ht="12" customHeight="1" thickTop="1">
      <c r="F69" s="513" t="s">
        <v>230</v>
      </c>
      <c r="G69" s="1018">
        <f>SUM(G59:H68)</f>
        <v>300000</v>
      </c>
      <c r="H69" s="1019"/>
      <c r="J69" s="1018">
        <f>SUM(J59:K68)</f>
        <v>286000</v>
      </c>
      <c r="K69" s="1019"/>
      <c r="L69" s="515"/>
      <c r="M69" s="1018">
        <f>SUM(M59:N68)</f>
        <v>0</v>
      </c>
      <c r="N69" s="1019"/>
      <c r="P69" s="1018">
        <f>SUM(P59:Q68)</f>
        <v>0</v>
      </c>
      <c r="Q69" s="1019"/>
      <c r="S69" s="1018">
        <f>SUM(S59:T68)</f>
        <v>14000</v>
      </c>
      <c r="T69" s="1019"/>
      <c r="V69" s="1475"/>
      <c r="W69" s="1476"/>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38">
        <v>69100</v>
      </c>
      <c r="H71" s="1439"/>
      <c r="J71" s="1438">
        <v>69100</v>
      </c>
      <c r="K71" s="1439"/>
      <c r="L71" s="843"/>
      <c r="M71" s="1438"/>
      <c r="N71" s="1439"/>
      <c r="P71" s="1438"/>
      <c r="Q71" s="1439"/>
      <c r="S71" s="1438"/>
      <c r="T71" s="1439"/>
      <c r="V71" s="1481"/>
      <c r="W71" s="1482"/>
    </row>
    <row r="72" spans="1:23" s="449" customFormat="1" ht="12" customHeight="1">
      <c r="B72" s="449" t="s">
        <v>1826</v>
      </c>
      <c r="G72" s="1438"/>
      <c r="H72" s="1439"/>
      <c r="J72" s="1438"/>
      <c r="K72" s="1439"/>
      <c r="L72" s="843"/>
      <c r="M72" s="1438"/>
      <c r="N72" s="1439"/>
      <c r="P72" s="1438"/>
      <c r="Q72" s="1439"/>
      <c r="S72" s="1438"/>
      <c r="T72" s="1439"/>
      <c r="V72" s="1483"/>
      <c r="W72" s="1484"/>
    </row>
    <row r="73" spans="1:23" s="449" customFormat="1" ht="12" customHeight="1">
      <c r="B73" s="449" t="s">
        <v>1827</v>
      </c>
      <c r="D73" s="529" t="s">
        <v>1975</v>
      </c>
      <c r="E73" s="1485"/>
      <c r="G73" s="1438"/>
      <c r="H73" s="1439"/>
      <c r="I73" s="472"/>
      <c r="J73" s="1438"/>
      <c r="K73" s="1439"/>
      <c r="L73" s="843"/>
      <c r="M73" s="1438"/>
      <c r="N73" s="1439"/>
      <c r="P73" s="1438"/>
      <c r="Q73" s="1439"/>
      <c r="S73" s="1438"/>
      <c r="T73" s="1439"/>
      <c r="V73" s="1483"/>
      <c r="W73" s="1484"/>
    </row>
    <row r="74" spans="1:23" s="449" customFormat="1" ht="12" customHeight="1" thickBot="1">
      <c r="B74" s="449" t="s">
        <v>1828</v>
      </c>
      <c r="D74" s="529" t="s">
        <v>1975</v>
      </c>
      <c r="E74" s="1485"/>
      <c r="G74" s="1438"/>
      <c r="H74" s="1439"/>
      <c r="I74" s="472"/>
      <c r="J74" s="1438"/>
      <c r="K74" s="1439"/>
      <c r="L74" s="843"/>
      <c r="M74" s="1438"/>
      <c r="N74" s="1439"/>
      <c r="P74" s="1438"/>
      <c r="Q74" s="1439"/>
      <c r="S74" s="1438"/>
      <c r="T74" s="1439"/>
      <c r="V74" s="1483"/>
      <c r="W74" s="1484"/>
    </row>
    <row r="75" spans="1:23" s="449" customFormat="1" ht="12" customHeight="1" thickTop="1">
      <c r="F75" s="513" t="s">
        <v>230</v>
      </c>
      <c r="G75" s="1018">
        <f>SUM(G71:H74)</f>
        <v>69100</v>
      </c>
      <c r="H75" s="1019"/>
      <c r="J75" s="1018">
        <f>SUM(J71:K74)</f>
        <v>69100</v>
      </c>
      <c r="K75" s="1019"/>
      <c r="L75" s="515"/>
      <c r="M75" s="1018">
        <f>SUM(M71:N74)</f>
        <v>0</v>
      </c>
      <c r="N75" s="1019"/>
      <c r="P75" s="1018">
        <f>SUM(P71:Q74)</f>
        <v>0</v>
      </c>
      <c r="Q75" s="1019"/>
      <c r="S75" s="1018">
        <f>SUM(S71:T74)</f>
        <v>0</v>
      </c>
      <c r="T75" s="1019"/>
      <c r="V75" s="1486"/>
      <c r="W75" s="1487"/>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38"/>
      <c r="H77" s="1439"/>
      <c r="J77" s="1026"/>
      <c r="K77" s="1026"/>
      <c r="L77" s="843"/>
      <c r="M77" s="1026"/>
      <c r="N77" s="1026"/>
      <c r="P77" s="1026"/>
      <c r="Q77" s="1026"/>
      <c r="S77" s="1438"/>
      <c r="T77" s="1439"/>
      <c r="V77" s="1481"/>
      <c r="W77" s="1482"/>
    </row>
    <row r="78" spans="1:23" s="449" customFormat="1" ht="12" customHeight="1">
      <c r="B78" s="449" t="s">
        <v>1830</v>
      </c>
      <c r="G78" s="1438"/>
      <c r="H78" s="1439"/>
      <c r="J78" s="1010"/>
      <c r="K78" s="1010"/>
      <c r="L78" s="843"/>
      <c r="M78" s="1010"/>
      <c r="N78" s="1010"/>
      <c r="P78" s="1010"/>
      <c r="Q78" s="1010"/>
      <c r="S78" s="1438"/>
      <c r="T78" s="1439"/>
      <c r="V78" s="1483"/>
      <c r="W78" s="1484"/>
    </row>
    <row r="79" spans="1:23" s="449" customFormat="1" ht="12" customHeight="1">
      <c r="B79" s="449" t="s">
        <v>1831</v>
      </c>
      <c r="G79" s="1438">
        <v>30000</v>
      </c>
      <c r="H79" s="1439"/>
      <c r="J79" s="1438"/>
      <c r="K79" s="1439"/>
      <c r="L79" s="843"/>
      <c r="M79" s="1438"/>
      <c r="N79" s="1439"/>
      <c r="P79" s="1438"/>
      <c r="Q79" s="1439"/>
      <c r="S79" s="1438">
        <v>30000</v>
      </c>
      <c r="T79" s="1439"/>
      <c r="V79" s="1483"/>
      <c r="W79" s="1484"/>
    </row>
    <row r="80" spans="1:23" s="449" customFormat="1" ht="12" customHeight="1">
      <c r="B80" s="449" t="s">
        <v>1832</v>
      </c>
      <c r="G80" s="1438">
        <v>5000</v>
      </c>
      <c r="H80" s="1439"/>
      <c r="J80" s="1438"/>
      <c r="K80" s="1439"/>
      <c r="L80" s="843"/>
      <c r="M80" s="1438"/>
      <c r="N80" s="1439"/>
      <c r="P80" s="1438"/>
      <c r="Q80" s="1439"/>
      <c r="S80" s="1438">
        <v>5000</v>
      </c>
      <c r="T80" s="1439"/>
      <c r="V80" s="1483"/>
      <c r="W80" s="1484"/>
    </row>
    <row r="81" spans="1:23" s="449" customFormat="1" ht="12" customHeight="1">
      <c r="B81" s="449" t="s">
        <v>1833</v>
      </c>
      <c r="G81" s="1438"/>
      <c r="H81" s="1439"/>
      <c r="J81" s="1438"/>
      <c r="K81" s="1439"/>
      <c r="L81" s="843"/>
      <c r="M81" s="1438"/>
      <c r="N81" s="1439"/>
      <c r="P81" s="1438"/>
      <c r="Q81" s="1439"/>
      <c r="S81" s="1438"/>
      <c r="T81" s="1439"/>
      <c r="V81" s="1483"/>
      <c r="W81" s="1484"/>
    </row>
    <row r="82" spans="1:23" s="449" customFormat="1" ht="12" customHeight="1">
      <c r="B82" s="449" t="s">
        <v>3215</v>
      </c>
      <c r="G82" s="1438"/>
      <c r="H82" s="1439"/>
      <c r="J82" s="1438"/>
      <c r="K82" s="1439"/>
      <c r="L82" s="843"/>
      <c r="M82" s="1438"/>
      <c r="N82" s="1439"/>
      <c r="P82" s="1438"/>
      <c r="Q82" s="1439"/>
      <c r="S82" s="1438"/>
      <c r="T82" s="1439"/>
      <c r="V82" s="1483"/>
      <c r="W82" s="1484"/>
    </row>
    <row r="83" spans="1:23" s="449" customFormat="1" ht="12" customHeight="1" thickBot="1">
      <c r="A83" s="548" t="str">
        <f>IF(AND(G83&gt;0,OR(C83="",C83="&lt;Enter detailed description here; use Comments section if needed&gt;")),"X","")</f>
        <v/>
      </c>
      <c r="B83" s="449" t="s">
        <v>1137</v>
      </c>
      <c r="C83" s="1298" t="s">
        <v>3397</v>
      </c>
      <c r="D83" s="1298"/>
      <c r="E83" s="1298"/>
      <c r="F83" s="1299"/>
      <c r="G83" s="1438"/>
      <c r="H83" s="1439"/>
      <c r="J83" s="1438"/>
      <c r="K83" s="1439"/>
      <c r="L83" s="843"/>
      <c r="M83" s="1438"/>
      <c r="N83" s="1439"/>
      <c r="P83" s="1438"/>
      <c r="Q83" s="1439"/>
      <c r="S83" s="1438"/>
      <c r="T83" s="1439"/>
      <c r="U83" s="547" t="str">
        <f>IF(AND(G83&gt;0,OR(C83="",C83="&lt;Enter detailed description here; use Comments section if needed&gt;")),"NO DESCRIPTION PROVIDED - please enter detailed description in Other box at left; use Comments section below if needed.","")</f>
        <v/>
      </c>
      <c r="V83" s="1483"/>
      <c r="W83" s="1484"/>
    </row>
    <row r="84" spans="1:23" s="449" customFormat="1" ht="12" customHeight="1" thickTop="1">
      <c r="F84" s="513" t="s">
        <v>230</v>
      </c>
      <c r="G84" s="1018">
        <f>SUM(G77:H83)</f>
        <v>35000</v>
      </c>
      <c r="H84" s="1019"/>
      <c r="J84" s="1018">
        <f>SUM(J79:K83)</f>
        <v>0</v>
      </c>
      <c r="K84" s="1019"/>
      <c r="L84" s="515"/>
      <c r="M84" s="1018">
        <f>SUM(M79:N83)</f>
        <v>0</v>
      </c>
      <c r="N84" s="1019"/>
      <c r="P84" s="1018">
        <f>SUM(P79:Q83)</f>
        <v>0</v>
      </c>
      <c r="Q84" s="1019"/>
      <c r="S84" s="1018">
        <f>SUM(S77:T83)</f>
        <v>35000</v>
      </c>
      <c r="T84" s="1019"/>
      <c r="V84" s="1486"/>
      <c r="W84" s="1487"/>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3864</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38"/>
      <c r="H89" s="1439"/>
      <c r="J89" s="515"/>
      <c r="K89" s="515"/>
      <c r="L89" s="843"/>
      <c r="M89" s="515"/>
      <c r="N89" s="515"/>
      <c r="P89" s="515"/>
      <c r="Q89" s="515"/>
      <c r="S89" s="1438"/>
      <c r="T89" s="1439"/>
      <c r="V89" s="1481"/>
      <c r="W89" s="1482"/>
    </row>
    <row r="90" spans="1:23" s="449" customFormat="1" ht="12.6" customHeight="1">
      <c r="B90" s="449" t="s">
        <v>1735</v>
      </c>
      <c r="G90" s="1438">
        <v>6500</v>
      </c>
      <c r="H90" s="1439"/>
      <c r="J90" s="515"/>
      <c r="K90" s="515"/>
      <c r="L90" s="530"/>
      <c r="M90" s="515"/>
      <c r="N90" s="515"/>
      <c r="P90" s="515"/>
      <c r="Q90" s="515"/>
      <c r="S90" s="1438">
        <v>6500</v>
      </c>
      <c r="T90" s="1439"/>
      <c r="V90" s="1483"/>
      <c r="W90" s="1484"/>
    </row>
    <row r="91" spans="1:23" s="449" customFormat="1" ht="12.6" customHeight="1">
      <c r="B91" s="449" t="s">
        <v>3952</v>
      </c>
      <c r="G91" s="1438"/>
      <c r="H91" s="1439"/>
      <c r="J91" s="515"/>
      <c r="K91" s="515"/>
      <c r="L91" s="530"/>
      <c r="M91" s="515"/>
      <c r="N91" s="515"/>
      <c r="O91" s="833"/>
      <c r="P91" s="515"/>
      <c r="Q91" s="515"/>
      <c r="S91" s="1438"/>
      <c r="T91" s="1439"/>
      <c r="V91" s="1483"/>
      <c r="W91" s="1484"/>
    </row>
    <row r="92" spans="1:23" s="449" customFormat="1" ht="12.6" customHeight="1">
      <c r="B92" s="449" t="s">
        <v>754</v>
      </c>
      <c r="E92" s="1064">
        <f>'DCA Underwriting Assumptions'!$Q$41*$J$165</f>
        <v>72000</v>
      </c>
      <c r="F92" s="1065"/>
      <c r="G92" s="1438">
        <v>72000</v>
      </c>
      <c r="H92" s="1439"/>
      <c r="J92" s="515"/>
      <c r="K92" s="515"/>
      <c r="L92" s="843"/>
      <c r="M92" s="515"/>
      <c r="N92" s="515"/>
      <c r="O92" s="833"/>
      <c r="P92" s="515"/>
      <c r="Q92" s="515"/>
      <c r="S92" s="1438">
        <v>72000</v>
      </c>
      <c r="T92" s="1439"/>
      <c r="V92" s="1483"/>
      <c r="W92" s="1484"/>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84800</v>
      </c>
      <c r="F93" s="1065"/>
      <c r="G93" s="1438">
        <v>84800</v>
      </c>
      <c r="H93" s="1439"/>
      <c r="J93" s="416"/>
      <c r="K93" s="416"/>
      <c r="L93" s="416"/>
      <c r="M93" s="416"/>
      <c r="N93" s="416"/>
      <c r="O93" s="416"/>
      <c r="P93" s="416"/>
      <c r="Q93" s="416"/>
      <c r="S93" s="1438">
        <v>84800</v>
      </c>
      <c r="T93" s="1439"/>
      <c r="V93" s="1483"/>
      <c r="W93" s="1484"/>
    </row>
    <row r="94" spans="1:23" s="449" customFormat="1" ht="12.6" customHeight="1">
      <c r="B94" s="449" t="s">
        <v>672</v>
      </c>
      <c r="G94" s="1438"/>
      <c r="H94" s="1439"/>
      <c r="J94" s="416"/>
      <c r="K94" s="416"/>
      <c r="L94" s="416"/>
      <c r="M94" s="416"/>
      <c r="N94" s="416"/>
      <c r="O94" s="416"/>
      <c r="P94" s="416"/>
      <c r="Q94" s="416"/>
      <c r="S94" s="1438"/>
      <c r="T94" s="1439"/>
      <c r="V94" s="1483"/>
      <c r="W94" s="1484"/>
    </row>
    <row r="95" spans="1:23" s="449" customFormat="1" ht="12.6" customHeight="1">
      <c r="B95" s="449" t="s">
        <v>3314</v>
      </c>
      <c r="G95" s="1438"/>
      <c r="H95" s="1439"/>
      <c r="J95" s="416"/>
      <c r="K95" s="416"/>
      <c r="L95" s="416"/>
      <c r="M95" s="416"/>
      <c r="N95" s="416"/>
      <c r="O95" s="416"/>
      <c r="P95" s="416"/>
      <c r="Q95" s="416"/>
      <c r="S95" s="1438"/>
      <c r="T95" s="1439"/>
      <c r="V95" s="1483"/>
      <c r="W95" s="1484"/>
    </row>
    <row r="96" spans="1:23" s="449" customFormat="1" ht="12.6" customHeight="1">
      <c r="A96" s="548" t="str">
        <f>IF(AND(G96&gt;0,OR(C96="",C96="&lt;Enter detailed description here; use Comments section if needed&gt;")),"X","")</f>
        <v/>
      </c>
      <c r="B96" s="449" t="s">
        <v>1137</v>
      </c>
      <c r="C96" s="1298" t="s">
        <v>3397</v>
      </c>
      <c r="D96" s="1298"/>
      <c r="E96" s="1298"/>
      <c r="F96" s="1299"/>
      <c r="G96" s="1438"/>
      <c r="H96" s="1439"/>
      <c r="J96" s="416"/>
      <c r="K96" s="416"/>
      <c r="L96" s="416"/>
      <c r="M96" s="416"/>
      <c r="N96" s="416"/>
      <c r="O96" s="416"/>
      <c r="P96" s="416"/>
      <c r="Q96" s="416"/>
      <c r="S96" s="1438"/>
      <c r="T96" s="1439"/>
      <c r="U96" s="547" t="str">
        <f>IF(AND(G96&gt;0,OR(C96="",C96="&lt;Enter detailed description here; use Comments section if needed&gt;")),"NO DESCRIPTION PROVIDED - please enter detailed description in Other box at left; use Comments section below if needed.","")</f>
        <v/>
      </c>
      <c r="V96" s="1483"/>
      <c r="W96" s="1484"/>
    </row>
    <row r="97" spans="1:23" s="449" customFormat="1" ht="12.6" customHeight="1" thickBot="1">
      <c r="A97" s="548" t="str">
        <f>IF(AND(G97&gt;0,OR(C97="",C97="&lt;Enter detailed description here; use Comments section if needed&gt;")),"X","")</f>
        <v/>
      </c>
      <c r="B97" s="449" t="s">
        <v>1137</v>
      </c>
      <c r="C97" s="1298" t="s">
        <v>3397</v>
      </c>
      <c r="D97" s="1298"/>
      <c r="E97" s="1298"/>
      <c r="F97" s="1299"/>
      <c r="G97" s="1438"/>
      <c r="H97" s="1439"/>
      <c r="J97" s="416"/>
      <c r="K97" s="416"/>
      <c r="L97" s="416"/>
      <c r="M97" s="416"/>
      <c r="N97" s="416"/>
      <c r="O97" s="416"/>
      <c r="P97" s="416"/>
      <c r="Q97" s="416"/>
      <c r="S97" s="1438"/>
      <c r="T97" s="1439"/>
      <c r="U97" s="547" t="str">
        <f>IF(AND(G97&gt;0,OR(C97="",C97="&lt;Enter detailed description here; use Comments section if needed&gt;")),"NO DESCRIPTION PROVIDED - please enter detailed description in Other box at left; use Comments section below if needed.","")</f>
        <v/>
      </c>
      <c r="V97" s="1483"/>
      <c r="W97" s="1484"/>
    </row>
    <row r="98" spans="1:23" s="449" customFormat="1" ht="12.6" customHeight="1" thickTop="1">
      <c r="F98" s="513" t="s">
        <v>230</v>
      </c>
      <c r="G98" s="1018">
        <f>SUM(G89:H97)</f>
        <v>163300</v>
      </c>
      <c r="H98" s="1019"/>
      <c r="J98" s="515"/>
      <c r="K98" s="515"/>
      <c r="L98" s="843"/>
      <c r="M98" s="515"/>
      <c r="N98" s="515"/>
      <c r="P98" s="515"/>
      <c r="Q98" s="515"/>
      <c r="S98" s="1018">
        <f>SUM(S89:T97)</f>
        <v>163300</v>
      </c>
      <c r="T98" s="1019"/>
      <c r="V98" s="1486"/>
      <c r="W98" s="1487"/>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38">
        <v>6000</v>
      </c>
      <c r="H100" s="1439"/>
      <c r="J100" s="1026"/>
      <c r="K100" s="1026"/>
      <c r="L100" s="843"/>
      <c r="M100" s="1026"/>
      <c r="N100" s="1026"/>
      <c r="O100" s="833"/>
      <c r="P100" s="1026"/>
      <c r="Q100" s="1026"/>
      <c r="S100" s="1438">
        <v>6000</v>
      </c>
      <c r="T100" s="1439"/>
      <c r="V100" s="1481"/>
      <c r="W100" s="1482"/>
    </row>
    <row r="101" spans="1:23" s="449" customFormat="1" ht="12.6" customHeight="1">
      <c r="B101" s="449" t="s">
        <v>346</v>
      </c>
      <c r="G101" s="1438">
        <v>5000</v>
      </c>
      <c r="H101" s="1439"/>
      <c r="J101" s="1026"/>
      <c r="K101" s="1026"/>
      <c r="L101" s="843"/>
      <c r="M101" s="1026"/>
      <c r="N101" s="1026"/>
      <c r="O101" s="833"/>
      <c r="P101" s="1026"/>
      <c r="Q101" s="1026"/>
      <c r="S101" s="1438">
        <v>5000</v>
      </c>
      <c r="T101" s="1439"/>
      <c r="V101" s="1483"/>
      <c r="W101" s="1484"/>
    </row>
    <row r="102" spans="1:23" s="449" customFormat="1" ht="12.6" customHeight="1">
      <c r="B102" s="449" t="s">
        <v>3358</v>
      </c>
      <c r="G102" s="1438">
        <v>50000</v>
      </c>
      <c r="H102" s="1439"/>
      <c r="J102" s="1026"/>
      <c r="K102" s="1026"/>
      <c r="L102" s="843"/>
      <c r="M102" s="1026"/>
      <c r="N102" s="1026"/>
      <c r="O102" s="833"/>
      <c r="P102" s="1026"/>
      <c r="Q102" s="1026"/>
      <c r="S102" s="1438">
        <v>50000</v>
      </c>
      <c r="T102" s="1439"/>
      <c r="V102" s="1483"/>
      <c r="W102" s="1484"/>
    </row>
    <row r="103" spans="1:23" s="449" customFormat="1" ht="12.6" customHeight="1" thickBot="1">
      <c r="A103" s="548" t="str">
        <f>IF(AND(G103&gt;0,OR(C103="",C103="&lt;Enter detailed description here; use Comments section if needed&gt;")),"X","")</f>
        <v/>
      </c>
      <c r="B103" s="449" t="s">
        <v>1137</v>
      </c>
      <c r="C103" s="1298" t="s">
        <v>4035</v>
      </c>
      <c r="D103" s="1298"/>
      <c r="E103" s="1298"/>
      <c r="F103" s="1299"/>
      <c r="G103" s="1438">
        <v>75000</v>
      </c>
      <c r="H103" s="1439"/>
      <c r="J103" s="1026"/>
      <c r="K103" s="1026"/>
      <c r="L103" s="843"/>
      <c r="M103" s="1026"/>
      <c r="N103" s="1026"/>
      <c r="O103" s="833"/>
      <c r="P103" s="1026"/>
      <c r="Q103" s="1026"/>
      <c r="S103" s="1438">
        <v>75000</v>
      </c>
      <c r="T103" s="1439"/>
      <c r="U103" s="547" t="str">
        <f>IF(AND(G103&gt;0,OR(C103="",C103="&lt;Enter detailed description here; use Comments section if needed&gt;")),"NO DESCRIPTION PROVIDED - please enter detailed description in Other box at left; use Comments section below if needed.","")</f>
        <v/>
      </c>
      <c r="V103" s="1483"/>
      <c r="W103" s="1484"/>
    </row>
    <row r="104" spans="1:23" s="449" customFormat="1" ht="12.6" customHeight="1" thickTop="1">
      <c r="F104" s="513" t="s">
        <v>230</v>
      </c>
      <c r="G104" s="1018">
        <f>SUM(G100:H103)</f>
        <v>136000</v>
      </c>
      <c r="H104" s="1019"/>
      <c r="J104" s="1026"/>
      <c r="K104" s="1026"/>
      <c r="L104" s="843"/>
      <c r="M104" s="1026"/>
      <c r="N104" s="1026"/>
      <c r="O104" s="833"/>
      <c r="P104" s="1026"/>
      <c r="Q104" s="1026"/>
      <c r="S104" s="1018">
        <f>SUM(S100:T103)</f>
        <v>136000</v>
      </c>
      <c r="T104" s="1019"/>
      <c r="V104" s="1486"/>
      <c r="W104" s="1487"/>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0.2</v>
      </c>
      <c r="G106" s="1438">
        <v>300000</v>
      </c>
      <c r="H106" s="1439"/>
      <c r="J106" s="1438">
        <v>300000</v>
      </c>
      <c r="K106" s="1439"/>
      <c r="L106" s="514"/>
      <c r="M106" s="1438"/>
      <c r="N106" s="1439"/>
      <c r="P106" s="1438"/>
      <c r="Q106" s="1439"/>
      <c r="S106" s="1438"/>
      <c r="T106" s="1439"/>
      <c r="V106" s="1481"/>
      <c r="W106" s="1482"/>
    </row>
    <row r="107" spans="1:23" s="449" customFormat="1" ht="12.6" customHeight="1">
      <c r="B107" s="449" t="s">
        <v>2732</v>
      </c>
      <c r="F107" s="624">
        <f>G107/$G$109</f>
        <v>0</v>
      </c>
      <c r="G107" s="1438"/>
      <c r="H107" s="1439"/>
      <c r="J107" s="1438"/>
      <c r="K107" s="1439"/>
      <c r="L107" s="843"/>
      <c r="M107" s="1438"/>
      <c r="N107" s="1439"/>
      <c r="P107" s="1438"/>
      <c r="Q107" s="1439"/>
      <c r="S107" s="1438"/>
      <c r="T107" s="1439"/>
      <c r="V107" s="1483"/>
      <c r="W107" s="1484"/>
    </row>
    <row r="108" spans="1:23" s="449" customFormat="1" ht="12.6" customHeight="1" thickBot="1">
      <c r="B108" s="449" t="s">
        <v>2724</v>
      </c>
      <c r="F108" s="624">
        <f>G108/$G$109</f>
        <v>0.8</v>
      </c>
      <c r="G108" s="1438">
        <v>1200000</v>
      </c>
      <c r="H108" s="1439"/>
      <c r="J108" s="1438">
        <v>1200000</v>
      </c>
      <c r="K108" s="1439"/>
      <c r="L108" s="843"/>
      <c r="M108" s="1438"/>
      <c r="N108" s="1439"/>
      <c r="P108" s="1438"/>
      <c r="Q108" s="1439"/>
      <c r="S108" s="1438"/>
      <c r="T108" s="1439"/>
      <c r="V108" s="1483"/>
      <c r="W108" s="1484"/>
    </row>
    <row r="109" spans="1:23" s="449" customFormat="1" ht="12.6" customHeight="1" thickTop="1">
      <c r="C109" s="547" t="str">
        <f>IF(G109&lt;='DCA Underwriting Assumptions'!$Q$47,"","Developer Fee exceeds DCA Program Maximum !!!")</f>
        <v/>
      </c>
      <c r="F109" s="513" t="s">
        <v>230</v>
      </c>
      <c r="G109" s="1018">
        <f>SUM(G106:H108)</f>
        <v>1500000</v>
      </c>
      <c r="H109" s="1019"/>
      <c r="J109" s="1018">
        <f>SUM(J106:K108)</f>
        <v>1500000</v>
      </c>
      <c r="K109" s="1019"/>
      <c r="L109" s="843"/>
      <c r="M109" s="1018">
        <f>SUM(M106:N108)</f>
        <v>0</v>
      </c>
      <c r="N109" s="1019"/>
      <c r="P109" s="1018">
        <f>SUM(P106:Q108)</f>
        <v>0</v>
      </c>
      <c r="Q109" s="1019"/>
      <c r="S109" s="1018">
        <f>SUM(S106:T108)</f>
        <v>0</v>
      </c>
      <c r="T109" s="1019"/>
      <c r="V109" s="1486"/>
      <c r="W109" s="1487"/>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38">
        <v>40000</v>
      </c>
      <c r="H111" s="1439"/>
      <c r="J111" s="531"/>
      <c r="K111" s="531"/>
      <c r="L111" s="531"/>
      <c r="M111" s="531"/>
      <c r="N111" s="531"/>
      <c r="P111" s="531"/>
      <c r="Q111" s="531"/>
      <c r="S111" s="1438">
        <v>40000</v>
      </c>
      <c r="T111" s="1439"/>
      <c r="V111" s="1481"/>
      <c r="W111" s="1482"/>
    </row>
    <row r="112" spans="1:23" s="449" customFormat="1" ht="12.6" customHeight="1">
      <c r="B112" s="449" t="s">
        <v>2137</v>
      </c>
      <c r="G112" s="1438">
        <v>113000</v>
      </c>
      <c r="H112" s="1439"/>
      <c r="J112" s="1026"/>
      <c r="K112" s="1026"/>
      <c r="L112" s="843"/>
      <c r="M112" s="1026"/>
      <c r="N112" s="1026"/>
      <c r="O112" s="833"/>
      <c r="P112" s="1026"/>
      <c r="Q112" s="1026"/>
      <c r="R112" s="833"/>
      <c r="S112" s="1438">
        <v>113000</v>
      </c>
      <c r="T112" s="1439"/>
      <c r="V112" s="1483"/>
      <c r="W112" s="1484"/>
    </row>
    <row r="113" spans="1:23" s="449" customFormat="1" ht="12.6" customHeight="1">
      <c r="B113" s="449" t="s">
        <v>948</v>
      </c>
      <c r="F113" s="472"/>
      <c r="G113" s="1438">
        <v>261500</v>
      </c>
      <c r="H113" s="1439"/>
      <c r="J113" s="530"/>
      <c r="K113" s="530"/>
      <c r="L113" s="530"/>
      <c r="M113" s="530"/>
      <c r="N113" s="530"/>
      <c r="O113" s="833"/>
      <c r="P113" s="530"/>
      <c r="Q113" s="530"/>
      <c r="R113" s="833"/>
      <c r="S113" s="1438">
        <v>261500</v>
      </c>
      <c r="T113" s="1439"/>
      <c r="V113" s="1483"/>
      <c r="W113" s="1484"/>
    </row>
    <row r="114" spans="1:23" s="449" customFormat="1" ht="12.6" customHeight="1">
      <c r="B114" s="449" t="s">
        <v>1796</v>
      </c>
      <c r="G114" s="1438">
        <v>53000</v>
      </c>
      <c r="H114" s="1439"/>
      <c r="J114" s="531"/>
      <c r="K114" s="531"/>
      <c r="L114" s="531"/>
      <c r="M114" s="531"/>
      <c r="N114" s="531"/>
      <c r="P114" s="531"/>
      <c r="Q114" s="531"/>
      <c r="S114" s="1438">
        <v>53000</v>
      </c>
      <c r="T114" s="1439"/>
      <c r="V114" s="1483"/>
      <c r="W114" s="1484"/>
    </row>
    <row r="115" spans="1:23" s="449" customFormat="1" ht="12.6" customHeight="1">
      <c r="B115" s="449" t="s">
        <v>1797</v>
      </c>
      <c r="E115" s="449" t="s">
        <v>1370</v>
      </c>
      <c r="F115" s="792">
        <f>G115/'Part VI-Revenues &amp; Expenses'!$M$62</f>
        <v>943.39622641509436</v>
      </c>
      <c r="G115" s="1438">
        <v>100000</v>
      </c>
      <c r="H115" s="1439"/>
      <c r="J115" s="1438">
        <v>100000</v>
      </c>
      <c r="K115" s="1439"/>
      <c r="L115" s="843"/>
      <c r="M115" s="1438"/>
      <c r="N115" s="1439"/>
      <c r="P115" s="1438"/>
      <c r="Q115" s="1439"/>
      <c r="S115" s="1438"/>
      <c r="T115" s="1439"/>
      <c r="V115" s="1483"/>
      <c r="W115" s="1484"/>
    </row>
    <row r="116" spans="1:23" s="449" customFormat="1" ht="12.6" customHeight="1" thickBot="1">
      <c r="A116" s="548" t="str">
        <f>IF(AND(G116&gt;0,OR(C116="",C116="&lt;Enter detailed description here; use Comments section if needed&gt;")),"X","")</f>
        <v/>
      </c>
      <c r="B116" s="449" t="s">
        <v>1137</v>
      </c>
      <c r="C116" s="1298" t="s">
        <v>4082</v>
      </c>
      <c r="D116" s="1298"/>
      <c r="E116" s="1298"/>
      <c r="F116" s="1299"/>
      <c r="G116" s="1438">
        <v>268800</v>
      </c>
      <c r="H116" s="1439"/>
      <c r="J116" s="1438"/>
      <c r="K116" s="1439"/>
      <c r="L116" s="843"/>
      <c r="M116" s="1438"/>
      <c r="N116" s="1439"/>
      <c r="P116" s="1438"/>
      <c r="Q116" s="1439"/>
      <c r="S116" s="1438">
        <v>268800</v>
      </c>
      <c r="T116" s="1439"/>
      <c r="U116" s="547" t="str">
        <f>IF(AND(G116&gt;0,OR(C116="",C116="&lt;Enter detailed description here; use Comments section if needed&gt;")),"NO DESCRIPTION PROVIDED - please enter detailed description in Other box at left; use Comments section below if needed.","")</f>
        <v/>
      </c>
      <c r="V116" s="1483"/>
      <c r="W116" s="1484"/>
    </row>
    <row r="117" spans="1:23" s="449" customFormat="1" ht="12.6" customHeight="1" thickTop="1">
      <c r="B117" s="532"/>
      <c r="F117" s="513" t="s">
        <v>230</v>
      </c>
      <c r="G117" s="1018">
        <f>SUM(G111:H116)</f>
        <v>836300</v>
      </c>
      <c r="H117" s="1019"/>
      <c r="J117" s="1018">
        <f>SUM(J115:K116)</f>
        <v>100000</v>
      </c>
      <c r="K117" s="1019"/>
      <c r="L117" s="843"/>
      <c r="M117" s="1018">
        <f>SUM(M115:N116)</f>
        <v>0</v>
      </c>
      <c r="N117" s="1019"/>
      <c r="P117" s="1018">
        <f>SUM(P115:Q116)</f>
        <v>0</v>
      </c>
      <c r="Q117" s="1019"/>
      <c r="S117" s="1018">
        <f>SUM(S111:T116)</f>
        <v>736300</v>
      </c>
      <c r="T117" s="1019"/>
      <c r="V117" s="1486"/>
      <c r="W117" s="1487"/>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38"/>
      <c r="H119" s="1439"/>
      <c r="J119" s="1438"/>
      <c r="K119" s="1439"/>
      <c r="L119" s="514"/>
      <c r="M119" s="1438"/>
      <c r="N119" s="1439"/>
      <c r="P119" s="1438"/>
      <c r="Q119" s="1439"/>
      <c r="S119" s="1438"/>
      <c r="T119" s="1439"/>
      <c r="V119" s="1481"/>
      <c r="W119" s="1482"/>
    </row>
    <row r="120" spans="1:23" s="449" customFormat="1" ht="12.6" customHeight="1" thickBot="1">
      <c r="A120" s="548" t="str">
        <f>IF(AND(G120&gt;0,OR(C120="",C120="&lt;Enter detailed description here; use Comments section if needed&gt;")),"X","")</f>
        <v/>
      </c>
      <c r="B120" s="449" t="s">
        <v>1137</v>
      </c>
      <c r="C120" s="1298" t="s">
        <v>3397</v>
      </c>
      <c r="D120" s="1298"/>
      <c r="E120" s="1298"/>
      <c r="F120" s="1299"/>
      <c r="G120" s="1438"/>
      <c r="H120" s="1439"/>
      <c r="J120" s="1438"/>
      <c r="K120" s="1439"/>
      <c r="L120" s="843"/>
      <c r="M120" s="1438"/>
      <c r="N120" s="1439"/>
      <c r="P120" s="1438"/>
      <c r="Q120" s="1439"/>
      <c r="S120" s="1438"/>
      <c r="T120" s="1439"/>
      <c r="U120" s="547" t="str">
        <f>IF(AND(G120&gt;0,OR(C120="",C120="&lt;Enter detailed description here; use Comments section if needed&gt;")),"NO DESCRIPTION PROVIDED - please enter detailed description in Other box at left; use Comments section below if needed.","")</f>
        <v/>
      </c>
      <c r="V120" s="1483"/>
      <c r="W120" s="1484"/>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83"/>
      <c r="W121" s="1484"/>
    </row>
    <row r="122" spans="1:23" s="449" customFormat="1" ht="3" customHeight="1" thickBot="1">
      <c r="C122" s="827"/>
      <c r="H122" s="528"/>
      <c r="I122" s="528"/>
      <c r="L122" s="833"/>
      <c r="V122" s="1483"/>
      <c r="W122" s="1484"/>
    </row>
    <row r="123" spans="1:23" s="449" customFormat="1" ht="13.9" customHeight="1" thickBot="1">
      <c r="B123" s="456" t="s">
        <v>348</v>
      </c>
      <c r="G123" s="1022">
        <f>G17+G23+G27+G32+G36+G42+G57+G69+G75+G84+G98+G104+G109+G117+G121</f>
        <v>11995205</v>
      </c>
      <c r="H123" s="1023"/>
      <c r="J123" s="1022">
        <f>J17+J23+J27+J32+J36+J42+J57+J69+J75+J84+J98+J104+J109+J117+J121</f>
        <v>10417500</v>
      </c>
      <c r="K123" s="1023"/>
      <c r="M123" s="1022">
        <f>M17+M23+M27+M32+M36+M42+M57+M69+M75+M84+M98+M104+M109+M117+M121</f>
        <v>0</v>
      </c>
      <c r="N123" s="1023"/>
      <c r="P123" s="1022">
        <f>P17+P23+P27+P32+P36+P42+P57+P69+P75+P84+P98+P104+P109+P117+P121</f>
        <v>0</v>
      </c>
      <c r="Q123" s="1023"/>
      <c r="S123" s="1022">
        <f>S17+S23+S27+S32+S36+S42+S57+S69+S75+S84+S98+S104+S109+S117+S121</f>
        <v>1577705</v>
      </c>
      <c r="T123" s="1023"/>
      <c r="V123" s="1486"/>
      <c r="W123" s="1487"/>
    </row>
    <row r="124" spans="1:23" s="449" customFormat="1" ht="3" customHeight="1" thickBot="1">
      <c r="C124" s="827"/>
      <c r="H124" s="528"/>
      <c r="I124" s="528"/>
      <c r="L124" s="833"/>
    </row>
    <row r="125" spans="1:23" s="449" customFormat="1" ht="13.9" customHeight="1" thickBot="1">
      <c r="B125" s="456" t="s">
        <v>3620</v>
      </c>
      <c r="D125" s="1020">
        <f>IF(AND($T$155 = "Yes", 'Part IX A-Scoring Criteria'!$O$246 &gt; 0),'DCA Underwriting Assumptions'!$R$13, IF(AND('Part IV-Uses of Funds'!$T$156="Yes", 'Part IX A-Scoring Criteria'!$O$67&gt;0),'DCA Underwriting Assumptions'!$R$12, 'DCA Underwriting Assumptions'!$R$11))</f>
        <v>16391390</v>
      </c>
      <c r="E125" s="1021"/>
      <c r="F125" s="452" t="s">
        <v>957</v>
      </c>
      <c r="G125" s="1024">
        <f>G123/'Part VI-Revenues &amp; Expenses'!$M$62</f>
        <v>113162.31132075471</v>
      </c>
      <c r="H125" s="1025"/>
      <c r="I125" s="533"/>
      <c r="J125" s="456" t="s">
        <v>958</v>
      </c>
      <c r="M125" s="1024">
        <f>G123/'Part VI-Revenues &amp; Expenses'!$M$100</f>
        <v>102.78667523564695</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2929</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88"/>
      <c r="K131" s="1489"/>
      <c r="P131" s="1488"/>
      <c r="Q131" s="1489"/>
      <c r="V131" s="1481"/>
      <c r="W131" s="1482"/>
    </row>
    <row r="132" spans="2:23" s="449" customFormat="1" ht="13.9" customHeight="1">
      <c r="B132" s="833" t="s">
        <v>3043</v>
      </c>
      <c r="D132" s="833"/>
      <c r="E132" s="833"/>
      <c r="F132" s="833"/>
      <c r="G132" s="833"/>
      <c r="H132" s="833"/>
      <c r="I132" s="535"/>
      <c r="J132" s="1488"/>
      <c r="K132" s="1489"/>
      <c r="P132" s="1488"/>
      <c r="Q132" s="1489"/>
      <c r="V132" s="1483"/>
      <c r="W132" s="1484"/>
    </row>
    <row r="133" spans="2:23" s="449" customFormat="1" ht="13.9" customHeight="1">
      <c r="B133" s="833" t="s">
        <v>2734</v>
      </c>
      <c r="D133" s="833"/>
      <c r="E133" s="833"/>
      <c r="I133" s="535"/>
      <c r="J133" s="1488"/>
      <c r="K133" s="1489"/>
      <c r="P133" s="1488"/>
      <c r="Q133" s="1489"/>
      <c r="V133" s="1483"/>
      <c r="W133" s="1484"/>
    </row>
    <row r="134" spans="2:23" s="449" customFormat="1" ht="13.9" customHeight="1">
      <c r="B134" s="833" t="s">
        <v>2735</v>
      </c>
      <c r="D134" s="833"/>
      <c r="E134" s="833"/>
      <c r="I134" s="535"/>
      <c r="J134" s="1488"/>
      <c r="K134" s="1489"/>
      <c r="P134" s="1488"/>
      <c r="Q134" s="1489"/>
      <c r="V134" s="1483"/>
      <c r="W134" s="1484"/>
    </row>
    <row r="135" spans="2:23" s="449" customFormat="1" ht="13.9" customHeight="1">
      <c r="B135" s="833" t="s">
        <v>308</v>
      </c>
      <c r="D135" s="833"/>
      <c r="E135" s="833"/>
      <c r="I135" s="535"/>
      <c r="J135" s="1488"/>
      <c r="K135" s="1489"/>
      <c r="P135" s="1488"/>
      <c r="Q135" s="1489"/>
      <c r="V135" s="1483"/>
      <c r="W135" s="1484"/>
    </row>
    <row r="136" spans="2:23" s="449" customFormat="1" ht="13.9" customHeight="1" thickBot="1">
      <c r="B136" s="833" t="s">
        <v>2210</v>
      </c>
      <c r="C136" s="1298" t="s">
        <v>3397</v>
      </c>
      <c r="D136" s="1298"/>
      <c r="E136" s="1298"/>
      <c r="F136" s="1298"/>
      <c r="G136" s="1298"/>
      <c r="H136" s="1298"/>
      <c r="I136" s="1299"/>
      <c r="J136" s="1488"/>
      <c r="K136" s="1489"/>
      <c r="P136" s="1488"/>
      <c r="Q136" s="1489"/>
      <c r="V136" s="1483"/>
      <c r="W136" s="1484"/>
    </row>
    <row r="137" spans="2:23" s="449" customFormat="1" ht="13.9" customHeight="1" thickBot="1">
      <c r="B137" s="461" t="s">
        <v>2736</v>
      </c>
      <c r="C137" s="464"/>
      <c r="J137" s="965">
        <f>SUM(J131:K136)</f>
        <v>0</v>
      </c>
      <c r="K137" s="966"/>
      <c r="P137" s="965">
        <f>SUM(P131:Q136)</f>
        <v>0</v>
      </c>
      <c r="Q137" s="966"/>
      <c r="V137" s="1486"/>
      <c r="W137" s="1487"/>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2646</v>
      </c>
      <c r="J140" s="1055">
        <f>J123</f>
        <v>10417500</v>
      </c>
      <c r="K140" s="1056"/>
      <c r="M140" s="1058">
        <f>M123</f>
        <v>0</v>
      </c>
      <c r="N140" s="1059"/>
      <c r="P140" s="1055">
        <f>P123</f>
        <v>0</v>
      </c>
      <c r="Q140" s="1056"/>
      <c r="V140" s="1481"/>
      <c r="W140" s="1482"/>
    </row>
    <row r="141" spans="2:23" s="449" customFormat="1" ht="13.9" customHeight="1">
      <c r="B141" s="449" t="s">
        <v>3127</v>
      </c>
      <c r="J141" s="1042">
        <f>J137</f>
        <v>0</v>
      </c>
      <c r="K141" s="1049"/>
      <c r="M141" s="1043"/>
      <c r="N141" s="1043"/>
      <c r="P141" s="1042">
        <f>P137</f>
        <v>0</v>
      </c>
      <c r="Q141" s="1049"/>
      <c r="V141" s="1483"/>
      <c r="W141" s="1484"/>
    </row>
    <row r="142" spans="2:23" s="449" customFormat="1" ht="13.9" customHeight="1">
      <c r="B142" s="449" t="s">
        <v>3128</v>
      </c>
      <c r="J142" s="1042">
        <f>J140-J141</f>
        <v>10417500</v>
      </c>
      <c r="K142" s="1049"/>
      <c r="M142" s="1042">
        <f>M140</f>
        <v>0</v>
      </c>
      <c r="N142" s="1049"/>
      <c r="P142" s="1042">
        <f>P140-P141</f>
        <v>0</v>
      </c>
      <c r="Q142" s="1049"/>
      <c r="V142" s="1483"/>
      <c r="W142" s="1484"/>
    </row>
    <row r="143" spans="2:23" s="449" customFormat="1" ht="13.9" customHeight="1">
      <c r="B143" s="449" t="s">
        <v>2080</v>
      </c>
      <c r="G143" s="828" t="s">
        <v>2563</v>
      </c>
      <c r="H143" s="1286" t="s">
        <v>4034</v>
      </c>
      <c r="I143" s="1287"/>
      <c r="J143" s="1490">
        <v>1.3</v>
      </c>
      <c r="K143" s="1491"/>
      <c r="M143" s="1054"/>
      <c r="N143" s="1054"/>
      <c r="P143" s="1490"/>
      <c r="Q143" s="1491"/>
      <c r="V143" s="1483"/>
      <c r="W143" s="1484"/>
    </row>
    <row r="144" spans="2:23" s="449" customFormat="1" ht="13.9" customHeight="1">
      <c r="B144" s="449" t="s">
        <v>2942</v>
      </c>
      <c r="J144" s="1042">
        <f>J142*J143</f>
        <v>13542750</v>
      </c>
      <c r="K144" s="1049"/>
      <c r="M144" s="1042">
        <f>+M142</f>
        <v>0</v>
      </c>
      <c r="N144" s="1049"/>
      <c r="P144" s="1042">
        <f>P142*P143</f>
        <v>0</v>
      </c>
      <c r="Q144" s="1049"/>
      <c r="V144" s="1483"/>
      <c r="W144" s="1484"/>
    </row>
    <row r="145" spans="1:23" s="449" customFormat="1" ht="13.9" customHeight="1">
      <c r="B145" s="449" t="s">
        <v>3565</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83"/>
      <c r="W145" s="1484"/>
    </row>
    <row r="146" spans="1:23" s="449" customFormat="1" ht="13.9" customHeight="1">
      <c r="B146" s="449" t="s">
        <v>2930</v>
      </c>
      <c r="J146" s="1042">
        <f>J144*J145</f>
        <v>13542750</v>
      </c>
      <c r="K146" s="1049"/>
      <c r="M146" s="1042">
        <f>M144*M145</f>
        <v>0</v>
      </c>
      <c r="N146" s="1049"/>
      <c r="P146" s="1042">
        <f>P144*P145</f>
        <v>0</v>
      </c>
      <c r="Q146" s="1049"/>
      <c r="V146" s="1483"/>
      <c r="W146" s="1484"/>
    </row>
    <row r="147" spans="1:23" s="449" customFormat="1" ht="13.9" customHeight="1">
      <c r="B147" s="449" t="s">
        <v>2931</v>
      </c>
      <c r="J147" s="1490">
        <v>7.4800000000000005E-2</v>
      </c>
      <c r="K147" s="1491"/>
      <c r="M147" s="1490"/>
      <c r="N147" s="1491"/>
      <c r="P147" s="1490"/>
      <c r="Q147" s="1491"/>
      <c r="V147" s="1483"/>
      <c r="W147" s="1484"/>
    </row>
    <row r="148" spans="1:23" s="449" customFormat="1" ht="13.9" customHeight="1" thickBot="1">
      <c r="B148" s="449" t="s">
        <v>3566</v>
      </c>
      <c r="J148" s="1052">
        <f>J146*J147</f>
        <v>1012997.7000000001</v>
      </c>
      <c r="K148" s="1053"/>
      <c r="M148" s="1052">
        <f>M146*M147</f>
        <v>0</v>
      </c>
      <c r="N148" s="1053"/>
      <c r="P148" s="1052">
        <f>P146*P147</f>
        <v>0</v>
      </c>
      <c r="Q148" s="1053"/>
      <c r="V148" s="1483"/>
      <c r="W148" s="1484"/>
    </row>
    <row r="149" spans="1:23" s="449" customFormat="1" ht="13.9" customHeight="1" thickBot="1">
      <c r="B149" s="452" t="s">
        <v>2004</v>
      </c>
      <c r="J149" s="965">
        <f>J148+M148+P148</f>
        <v>1012997.7000000001</v>
      </c>
      <c r="K149" s="1048"/>
      <c r="L149" s="1048"/>
      <c r="M149" s="1048"/>
      <c r="N149" s="1048"/>
      <c r="O149" s="1048"/>
      <c r="P149" s="1048"/>
      <c r="Q149" s="966"/>
      <c r="V149" s="1486"/>
      <c r="W149" s="1487"/>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11995205</v>
      </c>
      <c r="K152" s="1034"/>
      <c r="L152" s="1034"/>
      <c r="M152" s="1039" t="s">
        <v>3956</v>
      </c>
      <c r="N152" s="1040"/>
      <c r="O152" s="1040"/>
      <c r="P152" s="1040"/>
      <c r="Q152" s="1040"/>
      <c r="R152" s="1041"/>
      <c r="S152" s="1029"/>
      <c r="T152" s="1030"/>
      <c r="V152" s="1481"/>
      <c r="W152" s="1482"/>
    </row>
    <row r="153" spans="1:23" s="449" customFormat="1" ht="13.9" customHeight="1">
      <c r="B153" s="449" t="s">
        <v>2491</v>
      </c>
      <c r="J153" s="1492">
        <v>11995205</v>
      </c>
      <c r="K153" s="1493"/>
      <c r="L153" s="1493"/>
      <c r="M153" s="1039"/>
      <c r="N153" s="1040"/>
      <c r="O153" s="1040"/>
      <c r="P153" s="1040"/>
      <c r="Q153" s="1040"/>
      <c r="R153" s="1041"/>
      <c r="S153" s="1029"/>
      <c r="T153" s="1030"/>
      <c r="V153" s="1483"/>
      <c r="W153" s="1484"/>
    </row>
    <row r="154" spans="1:23" s="449" customFormat="1" ht="13.9" customHeight="1">
      <c r="B154" s="449" t="s">
        <v>320</v>
      </c>
      <c r="J154" s="1042">
        <f>'Part III A-Sources of Funds'!$H$49-'Part III A-Sources of Funds'!$H$37-'Part III A-Sources of Funds'!$H$40-'Part III A-Sources of Funds'!$H$41</f>
        <v>1800000</v>
      </c>
      <c r="K154" s="1043"/>
      <c r="L154" s="1043"/>
      <c r="M154" s="1039"/>
      <c r="N154" s="1040"/>
      <c r="O154" s="1040"/>
      <c r="P154" s="1040"/>
      <c r="Q154" s="1040"/>
      <c r="R154" s="1041"/>
      <c r="S154" s="648"/>
      <c r="T154" s="651" t="s">
        <v>322</v>
      </c>
      <c r="V154" s="1483"/>
      <c r="W154" s="1484"/>
    </row>
    <row r="155" spans="1:23" s="449" customFormat="1" ht="13.9" customHeight="1">
      <c r="B155" s="449" t="s">
        <v>3140</v>
      </c>
      <c r="J155" s="1042">
        <f>+J153-J154</f>
        <v>10195205</v>
      </c>
      <c r="K155" s="1043"/>
      <c r="L155" s="1043"/>
      <c r="M155" s="1047" t="s">
        <v>3886</v>
      </c>
      <c r="N155" s="1494"/>
      <c r="O155" s="1494"/>
      <c r="P155" s="1494"/>
      <c r="Q155" s="1494"/>
      <c r="R155" s="1495"/>
      <c r="S155" s="649" t="s">
        <v>2493</v>
      </c>
      <c r="T155" s="1496"/>
      <c r="V155" s="1483"/>
      <c r="W155" s="1484"/>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97"/>
      <c r="V156" s="1483"/>
      <c r="W156" s="1484"/>
    </row>
    <row r="157" spans="1:23" s="449" customFormat="1" ht="13.9" customHeight="1">
      <c r="B157" s="449" t="s">
        <v>1854</v>
      </c>
      <c r="J157" s="1042">
        <f>J155/10</f>
        <v>1019520.5</v>
      </c>
      <c r="K157" s="1043"/>
      <c r="L157" s="1049"/>
      <c r="M157" s="472"/>
      <c r="N157" s="896" t="s">
        <v>1855</v>
      </c>
      <c r="O157" s="896"/>
      <c r="Q157" s="896" t="s">
        <v>2655</v>
      </c>
      <c r="R157" s="896"/>
      <c r="V157" s="1483"/>
      <c r="W157" s="1484"/>
    </row>
    <row r="158" spans="1:23" s="449" customFormat="1" ht="13.9" customHeight="1" thickBot="1">
      <c r="B158" s="449" t="s">
        <v>2079</v>
      </c>
      <c r="J158" s="1031">
        <f>N158+Q158</f>
        <v>1.1200000000000001</v>
      </c>
      <c r="K158" s="1032"/>
      <c r="L158" s="1033"/>
      <c r="M158" s="828" t="s">
        <v>1856</v>
      </c>
      <c r="N158" s="1498">
        <v>0.88</v>
      </c>
      <c r="O158" s="1499"/>
      <c r="P158" s="828" t="s">
        <v>868</v>
      </c>
      <c r="Q158" s="1498">
        <v>0.24</v>
      </c>
      <c r="R158" s="1499"/>
      <c r="V158" s="1483"/>
      <c r="W158" s="1484"/>
    </row>
    <row r="159" spans="1:23" s="449" customFormat="1" ht="13.9" customHeight="1" thickBot="1">
      <c r="B159" s="452" t="s">
        <v>2005</v>
      </c>
      <c r="J159" s="965">
        <f>IF(J158=0,"",J157/J158)</f>
        <v>910286.16071428568</v>
      </c>
      <c r="K159" s="1048"/>
      <c r="L159" s="966"/>
      <c r="M159" s="472"/>
      <c r="N159" s="833"/>
      <c r="O159" s="833"/>
      <c r="V159" s="1483"/>
      <c r="W159" s="1484"/>
    </row>
    <row r="160" spans="1:23" s="449" customFormat="1" ht="9" customHeight="1">
      <c r="J160" s="538"/>
      <c r="K160" s="538"/>
      <c r="L160" s="538"/>
      <c r="M160" s="472"/>
      <c r="N160" s="836"/>
      <c r="O160" s="836"/>
      <c r="V160" s="1483"/>
      <c r="W160" s="1484"/>
    </row>
    <row r="161" spans="1:23" s="449" customFormat="1" ht="16.149999999999999" customHeight="1">
      <c r="B161" s="452" t="s">
        <v>420</v>
      </c>
      <c r="J161" s="1011">
        <f>+MIN(J149,J159,'DCA Underwriting Assumptions'!$R$6)</f>
        <v>910286.16071428568</v>
      </c>
      <c r="K161" s="1012"/>
      <c r="L161" s="1013"/>
      <c r="M161" s="472"/>
      <c r="N161" s="836"/>
      <c r="O161" s="836"/>
      <c r="V161" s="1483"/>
      <c r="W161" s="1484"/>
    </row>
    <row r="162" spans="1:23" s="449" customFormat="1" ht="9.6" customHeight="1">
      <c r="J162" s="538"/>
      <c r="K162" s="538"/>
      <c r="L162" s="538"/>
      <c r="M162" s="472"/>
      <c r="N162" s="836"/>
      <c r="O162" s="836"/>
      <c r="V162" s="1483"/>
      <c r="W162" s="1484"/>
    </row>
    <row r="163" spans="1:23" s="449" customFormat="1" ht="16.149999999999999" customHeight="1">
      <c r="B163" s="452" t="s">
        <v>421</v>
      </c>
      <c r="J163" s="1500">
        <v>900000</v>
      </c>
      <c r="K163" s="1501"/>
      <c r="L163" s="1502"/>
      <c r="M163" s="539" t="str">
        <f>IF(J161=0,"",IF(J163&gt;J161,"ALLOCATION CANNOT EXCEED MAXIMUM - REVISE REQUEST!",""))</f>
        <v/>
      </c>
      <c r="N163" s="836"/>
      <c r="O163" s="836"/>
      <c r="V163" s="1483"/>
      <c r="W163" s="1484"/>
    </row>
    <row r="164" spans="1:23" s="449" customFormat="1" ht="9.6" customHeight="1">
      <c r="J164" s="538"/>
      <c r="K164" s="538"/>
      <c r="L164" s="538"/>
      <c r="M164" s="472"/>
      <c r="N164" s="836"/>
      <c r="O164" s="836"/>
      <c r="V164" s="1483"/>
      <c r="W164" s="1484"/>
    </row>
    <row r="165" spans="1:23" s="449" customFormat="1" ht="16.149999999999999" customHeight="1">
      <c r="A165" s="685" t="s">
        <v>2648</v>
      </c>
      <c r="B165" s="685" t="s">
        <v>3669</v>
      </c>
      <c r="D165" s="472"/>
      <c r="E165" s="472"/>
      <c r="F165" s="455"/>
      <c r="J165" s="1011">
        <f>IF(J163="",0,+MIN(J161,J163))</f>
        <v>900000</v>
      </c>
      <c r="K165" s="1012"/>
      <c r="L165" s="1013"/>
      <c r="N165" s="1503"/>
      <c r="O165" s="1503"/>
      <c r="P165" s="1503"/>
      <c r="Q165" s="1503"/>
      <c r="R165" s="1503"/>
      <c r="S165" s="1503"/>
      <c r="T165" s="1503"/>
      <c r="V165" s="1486"/>
      <c r="W165" s="1487"/>
    </row>
    <row r="166" spans="1:23" ht="3" customHeight="1"/>
    <row r="167" spans="1:23" ht="6" customHeight="1"/>
    <row r="168" spans="1:23" ht="12" customHeight="1">
      <c r="A168" s="452" t="s">
        <v>2650</v>
      </c>
      <c r="B168" s="481" t="s">
        <v>815</v>
      </c>
      <c r="K168" s="452" t="s">
        <v>765</v>
      </c>
      <c r="L168" s="452" t="s">
        <v>85</v>
      </c>
    </row>
    <row r="169" spans="1:23" ht="146.44999999999999" customHeight="1">
      <c r="A169" s="1504" t="s">
        <v>4083</v>
      </c>
      <c r="B169" s="1505"/>
      <c r="C169" s="1505"/>
      <c r="D169" s="1505"/>
      <c r="E169" s="1505"/>
      <c r="F169" s="1505"/>
      <c r="G169" s="1505"/>
      <c r="H169" s="1505"/>
      <c r="I169" s="1505"/>
      <c r="J169" s="1506"/>
      <c r="K169" s="1507"/>
      <c r="L169" s="1505"/>
      <c r="M169" s="1505"/>
      <c r="N169" s="1505"/>
      <c r="O169" s="1505"/>
      <c r="P169" s="1505"/>
      <c r="Q169" s="1505"/>
      <c r="R169" s="1505"/>
      <c r="S169" s="1505"/>
      <c r="T169" s="1506"/>
      <c r="V169" s="987" t="s">
        <v>3965</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6"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80" zoomScaleNormal="8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2012-019 Walton Oaks Family 2, Augusta, Richmond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3135</v>
      </c>
      <c r="F5" s="9" t="s">
        <v>3531</v>
      </c>
      <c r="I5" s="1508" t="s">
        <v>4037</v>
      </c>
      <c r="J5" s="1509"/>
      <c r="K5" s="1509"/>
      <c r="L5" s="1509"/>
      <c r="M5" s="1510"/>
    </row>
    <row r="6" spans="1:20" s="9" customFormat="1" ht="13.15" customHeight="1">
      <c r="A6" s="16"/>
      <c r="F6" s="9" t="s">
        <v>895</v>
      </c>
      <c r="H6" s="31"/>
      <c r="I6" s="1511">
        <v>40975</v>
      </c>
      <c r="J6" s="1512"/>
      <c r="K6" s="74" t="s">
        <v>776</v>
      </c>
      <c r="L6" s="1513" t="s">
        <v>4038</v>
      </c>
      <c r="M6" s="1510"/>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514" t="s">
        <v>4036</v>
      </c>
      <c r="E10" s="1515"/>
      <c r="F10" s="1516" t="s">
        <v>612</v>
      </c>
      <c r="G10" s="1516"/>
      <c r="H10" s="343"/>
      <c r="I10" s="1517"/>
      <c r="J10" s="1518">
        <v>24</v>
      </c>
      <c r="K10" s="1518">
        <v>30</v>
      </c>
      <c r="L10" s="1518">
        <v>35</v>
      </c>
      <c r="M10" s="1517"/>
    </row>
    <row r="11" spans="1:20" s="9" customFormat="1">
      <c r="B11" s="344" t="s">
        <v>644</v>
      </c>
      <c r="C11" s="345"/>
      <c r="D11" s="344" t="s">
        <v>2204</v>
      </c>
      <c r="E11" s="345"/>
      <c r="F11" s="1519" t="s">
        <v>612</v>
      </c>
      <c r="G11" s="1519"/>
      <c r="H11" s="346"/>
      <c r="I11" s="1520"/>
      <c r="J11" s="1521">
        <v>15</v>
      </c>
      <c r="K11" s="1521">
        <v>19</v>
      </c>
      <c r="L11" s="1522">
        <v>25</v>
      </c>
      <c r="M11" s="1523"/>
    </row>
    <row r="12" spans="1:20" s="9" customFormat="1">
      <c r="B12" s="344" t="s">
        <v>2205</v>
      </c>
      <c r="C12" s="345"/>
      <c r="D12" s="1524" t="s">
        <v>2204</v>
      </c>
      <c r="E12" s="1525"/>
      <c r="F12" s="1519" t="s">
        <v>612</v>
      </c>
      <c r="G12" s="1519"/>
      <c r="H12" s="346"/>
      <c r="I12" s="1520"/>
      <c r="J12" s="1521">
        <v>11</v>
      </c>
      <c r="K12" s="1521">
        <v>13</v>
      </c>
      <c r="L12" s="1522">
        <v>13</v>
      </c>
      <c r="M12" s="1523"/>
    </row>
    <row r="13" spans="1:20" s="9" customFormat="1">
      <c r="B13" s="344" t="s">
        <v>2206</v>
      </c>
      <c r="C13" s="345"/>
      <c r="D13" s="1524" t="s">
        <v>2204</v>
      </c>
      <c r="E13" s="1525"/>
      <c r="F13" s="1519" t="s">
        <v>612</v>
      </c>
      <c r="G13" s="1519"/>
      <c r="H13" s="346"/>
      <c r="I13" s="1520"/>
      <c r="J13" s="1521">
        <v>17</v>
      </c>
      <c r="K13" s="1521">
        <v>24</v>
      </c>
      <c r="L13" s="1522">
        <v>39</v>
      </c>
      <c r="M13" s="1523"/>
    </row>
    <row r="14" spans="1:20" s="9" customFormat="1">
      <c r="B14" s="344" t="s">
        <v>2207</v>
      </c>
      <c r="C14" s="345"/>
      <c r="D14" s="344" t="s">
        <v>2204</v>
      </c>
      <c r="E14" s="347"/>
      <c r="F14" s="1519" t="s">
        <v>612</v>
      </c>
      <c r="G14" s="1519"/>
      <c r="H14" s="346"/>
      <c r="I14" s="1520"/>
      <c r="J14" s="1521">
        <v>31</v>
      </c>
      <c r="K14" s="1521">
        <v>35</v>
      </c>
      <c r="L14" s="1522">
        <v>40</v>
      </c>
      <c r="M14" s="1523"/>
    </row>
    <row r="15" spans="1:20" s="9" customFormat="1">
      <c r="B15" s="344" t="s">
        <v>1938</v>
      </c>
      <c r="C15" s="345"/>
      <c r="D15" s="344" t="s">
        <v>3134</v>
      </c>
      <c r="E15" s="1526" t="s">
        <v>3975</v>
      </c>
      <c r="F15" s="1519" t="s">
        <v>612</v>
      </c>
      <c r="G15" s="1519"/>
      <c r="H15" s="346"/>
      <c r="I15" s="1520"/>
      <c r="J15" s="1521">
        <v>38</v>
      </c>
      <c r="K15" s="1521">
        <v>57</v>
      </c>
      <c r="L15" s="1522">
        <v>69</v>
      </c>
      <c r="M15" s="1523"/>
    </row>
    <row r="16" spans="1:20" s="9" customFormat="1">
      <c r="B16" s="348" t="s">
        <v>2722</v>
      </c>
      <c r="C16" s="349"/>
      <c r="D16" s="348"/>
      <c r="E16" s="315"/>
      <c r="F16" s="1527"/>
      <c r="G16" s="1527" t="s">
        <v>612</v>
      </c>
      <c r="H16" s="350"/>
      <c r="I16" s="1528"/>
      <c r="J16" s="1528"/>
      <c r="K16" s="1528"/>
      <c r="L16" s="1529"/>
      <c r="M16" s="1529"/>
    </row>
    <row r="17" spans="1:19" s="9" customFormat="1">
      <c r="B17" s="338" t="s">
        <v>1526</v>
      </c>
      <c r="D17" s="31"/>
      <c r="E17" s="31"/>
      <c r="F17" s="108"/>
      <c r="G17" s="108"/>
      <c r="I17" s="847">
        <f>SUM(I10:I16)</f>
        <v>0</v>
      </c>
      <c r="J17" s="847">
        <f>SUM(J10:J16)</f>
        <v>136</v>
      </c>
      <c r="K17" s="847">
        <f>SUM(K10:K16)</f>
        <v>178</v>
      </c>
      <c r="L17" s="847">
        <f>SUM(L10:L16)</f>
        <v>221</v>
      </c>
      <c r="M17" s="847">
        <f>SUM(M10:M16)</f>
        <v>0</v>
      </c>
    </row>
    <row r="18" spans="1:19" s="9" customFormat="1" ht="11.25" customHeight="1">
      <c r="M18" s="31"/>
      <c r="N18" s="31"/>
      <c r="O18" s="31"/>
      <c r="P18" s="31"/>
      <c r="Q18" s="31"/>
      <c r="R18" s="31"/>
      <c r="S18" s="31"/>
    </row>
    <row r="19" spans="1:19" s="9" customFormat="1">
      <c r="A19" s="16" t="s">
        <v>1136</v>
      </c>
      <c r="B19" s="16" t="s">
        <v>3136</v>
      </c>
      <c r="F19" s="9" t="s">
        <v>3531</v>
      </c>
      <c r="I19" s="1513"/>
      <c r="J19" s="1509"/>
      <c r="K19" s="1509"/>
      <c r="L19" s="1509"/>
      <c r="M19" s="1510"/>
    </row>
    <row r="20" spans="1:19" s="9" customFormat="1" ht="13.15" customHeight="1">
      <c r="A20" s="16"/>
      <c r="B20" s="16"/>
      <c r="F20" s="9" t="s">
        <v>895</v>
      </c>
      <c r="H20" s="31"/>
      <c r="I20" s="1511"/>
      <c r="J20" s="1512"/>
      <c r="K20" s="74" t="s">
        <v>776</v>
      </c>
      <c r="L20" s="1513"/>
      <c r="M20" s="1510"/>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514" t="s">
        <v>2684</v>
      </c>
      <c r="E24" s="1515"/>
      <c r="F24" s="1516"/>
      <c r="G24" s="1516"/>
      <c r="H24" s="343"/>
      <c r="I24" s="1517"/>
      <c r="J24" s="1517"/>
      <c r="K24" s="1517"/>
      <c r="L24" s="1517"/>
      <c r="M24" s="1517"/>
    </row>
    <row r="25" spans="1:19" s="9" customFormat="1">
      <c r="B25" s="344" t="s">
        <v>644</v>
      </c>
      <c r="C25" s="345"/>
      <c r="D25" s="344" t="s">
        <v>2204</v>
      </c>
      <c r="E25" s="345"/>
      <c r="F25" s="1519"/>
      <c r="G25" s="1519"/>
      <c r="H25" s="346"/>
      <c r="I25" s="1520"/>
      <c r="J25" s="1520"/>
      <c r="K25" s="1520"/>
      <c r="L25" s="1523"/>
      <c r="M25" s="1523"/>
    </row>
    <row r="26" spans="1:19" s="9" customFormat="1">
      <c r="B26" s="344" t="s">
        <v>2205</v>
      </c>
      <c r="C26" s="345"/>
      <c r="D26" s="1524" t="s">
        <v>2684</v>
      </c>
      <c r="E26" s="1525"/>
      <c r="F26" s="1519"/>
      <c r="G26" s="1519"/>
      <c r="H26" s="346"/>
      <c r="I26" s="1520"/>
      <c r="J26" s="1520"/>
      <c r="K26" s="1520"/>
      <c r="L26" s="1523"/>
      <c r="M26" s="1523"/>
    </row>
    <row r="27" spans="1:19" s="9" customFormat="1">
      <c r="B27" s="344" t="s">
        <v>2206</v>
      </c>
      <c r="C27" s="345"/>
      <c r="D27" s="1524" t="s">
        <v>2684</v>
      </c>
      <c r="E27" s="1525"/>
      <c r="F27" s="1519"/>
      <c r="G27" s="1519"/>
      <c r="H27" s="346"/>
      <c r="I27" s="1520"/>
      <c r="J27" s="1520"/>
      <c r="K27" s="1520"/>
      <c r="L27" s="1523"/>
      <c r="M27" s="1523"/>
    </row>
    <row r="28" spans="1:19" s="9" customFormat="1">
      <c r="B28" s="344" t="s">
        <v>2207</v>
      </c>
      <c r="C28" s="345"/>
      <c r="D28" s="344" t="s">
        <v>2204</v>
      </c>
      <c r="E28" s="347"/>
      <c r="F28" s="1519"/>
      <c r="G28" s="1519"/>
      <c r="H28" s="346"/>
      <c r="I28" s="1520"/>
      <c r="J28" s="1520"/>
      <c r="K28" s="1520"/>
      <c r="L28" s="1523"/>
      <c r="M28" s="1523"/>
    </row>
    <row r="29" spans="1:19" s="9" customFormat="1">
      <c r="B29" s="344" t="s">
        <v>1938</v>
      </c>
      <c r="C29" s="345"/>
      <c r="D29" s="344" t="s">
        <v>3134</v>
      </c>
      <c r="E29" s="1526" t="s">
        <v>240</v>
      </c>
      <c r="F29" s="1519"/>
      <c r="G29" s="1519"/>
      <c r="H29" s="346"/>
      <c r="I29" s="1520"/>
      <c r="J29" s="1520"/>
      <c r="K29" s="1520"/>
      <c r="L29" s="1523"/>
      <c r="M29" s="1523"/>
    </row>
    <row r="30" spans="1:19" s="9" customFormat="1">
      <c r="B30" s="348" t="s">
        <v>2722</v>
      </c>
      <c r="C30" s="349"/>
      <c r="D30" s="348"/>
      <c r="E30" s="315"/>
      <c r="F30" s="1527"/>
      <c r="G30" s="1527"/>
      <c r="H30" s="350"/>
      <c r="I30" s="1528"/>
      <c r="J30" s="1528"/>
      <c r="K30" s="1528"/>
      <c r="L30" s="1529"/>
      <c r="M30" s="1529"/>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30"/>
      <c r="C36" s="1531"/>
      <c r="D36" s="1531"/>
      <c r="E36" s="1531"/>
      <c r="F36" s="1531"/>
      <c r="G36" s="1531"/>
      <c r="H36" s="1531"/>
      <c r="I36" s="1531"/>
      <c r="J36" s="1531"/>
      <c r="K36" s="1531"/>
      <c r="L36" s="1531"/>
      <c r="M36" s="1532"/>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33"/>
      <c r="C39" s="1534"/>
      <c r="D39" s="1534"/>
      <c r="E39" s="1534"/>
      <c r="F39" s="1534"/>
      <c r="G39" s="1534"/>
      <c r="H39" s="1534"/>
      <c r="I39" s="1534"/>
      <c r="J39" s="1534"/>
      <c r="K39" s="1534"/>
      <c r="L39" s="1534"/>
      <c r="M39" s="1535"/>
      <c r="N39" s="31"/>
      <c r="O39" s="886"/>
      <c r="P39" s="886"/>
      <c r="Q39" s="886"/>
      <c r="R39" s="886"/>
      <c r="S39" s="886"/>
    </row>
  </sheetData>
  <sheetProtection password="BEC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6"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2012-06-14T12:51:45Z</cp:lastPrinted>
  <dcterms:created xsi:type="dcterms:W3CDTF">2005-09-15T20:51:37Z</dcterms:created>
  <dcterms:modified xsi:type="dcterms:W3CDTF">2012-08-02T21:01:18Z</dcterms:modified>
</cp:coreProperties>
</file>