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6300" yWindow="4515" windowWidth="22095" windowHeight="588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L21" i="3"/>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V10"/>
  <c r="V11"/>
  <c r="V12"/>
  <c r="V13"/>
  <c r="V14"/>
  <c r="V15"/>
  <c r="V16"/>
  <c r="V17"/>
  <c r="V18"/>
  <c r="V19"/>
  <c r="V20"/>
  <c r="V21"/>
  <c r="V22"/>
  <c r="V23"/>
  <c r="V24"/>
  <c r="V25"/>
  <c r="V26"/>
  <c r="V27"/>
  <c r="V28"/>
  <c r="V29"/>
  <c r="V30"/>
  <c r="V31"/>
  <c r="V32"/>
  <c r="V33"/>
  <c r="V34"/>
  <c r="V35"/>
  <c r="V36"/>
  <c r="V37"/>
  <c r="V38"/>
  <c r="V39"/>
  <c r="V40"/>
  <c r="V41"/>
  <c r="V42"/>
  <c r="V43"/>
  <c r="V44"/>
  <c r="V45"/>
  <c r="V46"/>
  <c r="V4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s="1"/>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s="1"/>
  <c r="W10"/>
  <c r="W11"/>
  <c r="W12"/>
  <c r="W13"/>
  <c r="W14"/>
  <c r="W15"/>
  <c r="W16"/>
  <c r="W17"/>
  <c r="W18"/>
  <c r="W19"/>
  <c r="W20"/>
  <c r="W21"/>
  <c r="W22"/>
  <c r="W23"/>
  <c r="W24"/>
  <c r="W25"/>
  <c r="W26"/>
  <c r="W27"/>
  <c r="W28"/>
  <c r="W29"/>
  <c r="W30"/>
  <c r="W31"/>
  <c r="W32"/>
  <c r="W33"/>
  <c r="W34"/>
  <c r="W35"/>
  <c r="W36"/>
  <c r="W37"/>
  <c r="W38"/>
  <c r="W39"/>
  <c r="W40"/>
  <c r="W41"/>
  <c r="W42"/>
  <c r="W43"/>
  <c r="W44"/>
  <c r="W45"/>
  <c r="W46"/>
  <c r="W4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s="1"/>
  <c r="X10"/>
  <c r="X11"/>
  <c r="X12"/>
  <c r="X13"/>
  <c r="X14"/>
  <c r="X15"/>
  <c r="X16"/>
  <c r="X17"/>
  <c r="X18"/>
  <c r="X19"/>
  <c r="X20"/>
  <c r="X21"/>
  <c r="X22"/>
  <c r="X48" s="1"/>
  <c r="J56" s="1"/>
  <c r="X23"/>
  <c r="X24"/>
  <c r="X25"/>
  <c r="X26"/>
  <c r="X27"/>
  <c r="X28"/>
  <c r="X29"/>
  <c r="X30"/>
  <c r="X31"/>
  <c r="X32"/>
  <c r="X33"/>
  <c r="X34"/>
  <c r="X35"/>
  <c r="X36"/>
  <c r="X37"/>
  <c r="X38"/>
  <c r="X39"/>
  <c r="X40"/>
  <c r="X41"/>
  <c r="X42"/>
  <c r="X43"/>
  <c r="X44"/>
  <c r="X45"/>
  <c r="X46"/>
  <c r="X4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s="1"/>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s="1"/>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s="1"/>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Z10"/>
  <c r="Z11"/>
  <c r="Z12"/>
  <c r="Z13"/>
  <c r="Z14"/>
  <c r="Z48" s="1"/>
  <c r="L56" s="1"/>
  <c r="Z15"/>
  <c r="Z16"/>
  <c r="Z17"/>
  <c r="Z18"/>
  <c r="Z19"/>
  <c r="Z20"/>
  <c r="Z21"/>
  <c r="Z22"/>
  <c r="Z23"/>
  <c r="Z24"/>
  <c r="Z25"/>
  <c r="Z26"/>
  <c r="Z27"/>
  <c r="Z28"/>
  <c r="Z29"/>
  <c r="Z30"/>
  <c r="Z31"/>
  <c r="Z32"/>
  <c r="Z33"/>
  <c r="Z34"/>
  <c r="Z35"/>
  <c r="Z36"/>
  <c r="Z37"/>
  <c r="Z38"/>
  <c r="Z39"/>
  <c r="Z40"/>
  <c r="Z41"/>
  <c r="Z42"/>
  <c r="Z43"/>
  <c r="Z44"/>
  <c r="Z45"/>
  <c r="Z46"/>
  <c r="Z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J25" i="7"/>
  <c r="A1" s="1"/>
  <c r="M221" i="11"/>
  <c r="K221"/>
  <c r="O218" s="1"/>
  <c r="G17" i="15"/>
  <c r="G23"/>
  <c r="G27"/>
  <c r="G32"/>
  <c r="G36"/>
  <c r="G57"/>
  <c r="G69"/>
  <c r="G75"/>
  <c r="G84"/>
  <c r="G98"/>
  <c r="G104"/>
  <c r="G109"/>
  <c r="D37" i="3" s="1"/>
  <c r="G117" i="15"/>
  <c r="G121"/>
  <c r="O139" i="11"/>
  <c r="O90"/>
  <c r="P278"/>
  <c r="O278"/>
  <c r="P274"/>
  <c r="O274"/>
  <c r="P269"/>
  <c r="O269"/>
  <c r="P267"/>
  <c r="O267"/>
  <c r="P265"/>
  <c r="O265"/>
  <c r="P246"/>
  <c r="O246"/>
  <c r="P254"/>
  <c r="O254"/>
  <c r="P161"/>
  <c r="O161"/>
  <c r="P132"/>
  <c r="O132"/>
  <c r="P49"/>
  <c r="P38"/>
  <c r="P8"/>
  <c r="O8"/>
  <c r="H111" i="36"/>
  <c r="I111"/>
  <c r="J111"/>
  <c r="K111"/>
  <c r="L111"/>
  <c r="M111"/>
  <c r="N111"/>
  <c r="O111"/>
  <c r="P111"/>
  <c r="H116"/>
  <c r="I116"/>
  <c r="J116"/>
  <c r="K116"/>
  <c r="L116"/>
  <c r="M116"/>
  <c r="N116"/>
  <c r="O116"/>
  <c r="P116"/>
  <c r="G116"/>
  <c r="G111"/>
  <c r="M37" i="3"/>
  <c r="B100" i="8"/>
  <c r="K99"/>
  <c r="J99"/>
  <c r="I99"/>
  <c r="H99"/>
  <c r="G99"/>
  <c r="F99"/>
  <c r="E99"/>
  <c r="D99"/>
  <c r="C99"/>
  <c r="B99"/>
  <c r="K98"/>
  <c r="J98"/>
  <c r="I98"/>
  <c r="H98"/>
  <c r="G98"/>
  <c r="F98"/>
  <c r="E98"/>
  <c r="D98"/>
  <c r="C98"/>
  <c r="B98"/>
  <c r="M33" i="3"/>
  <c r="J84" i="8"/>
  <c r="H84"/>
  <c r="H92" s="1"/>
  <c r="F84"/>
  <c r="D84"/>
  <c r="B84"/>
  <c r="J54"/>
  <c r="J63" s="1"/>
  <c r="H54"/>
  <c r="F54"/>
  <c r="D54"/>
  <c r="B54"/>
  <c r="B63" s="1"/>
  <c r="J24"/>
  <c r="H24"/>
  <c r="F24"/>
  <c r="D24"/>
  <c r="D32" s="1"/>
  <c r="B24"/>
  <c r="B37"/>
  <c r="C37"/>
  <c r="D37"/>
  <c r="E37"/>
  <c r="F37"/>
  <c r="G37"/>
  <c r="H37"/>
  <c r="I37"/>
  <c r="J37"/>
  <c r="K37"/>
  <c r="B67"/>
  <c r="C67"/>
  <c r="D67"/>
  <c r="E67"/>
  <c r="F67"/>
  <c r="G67"/>
  <c r="H67"/>
  <c r="I67"/>
  <c r="J67"/>
  <c r="K67"/>
  <c r="B97"/>
  <c r="C97"/>
  <c r="D97"/>
  <c r="E97"/>
  <c r="F97"/>
  <c r="G97"/>
  <c r="H97"/>
  <c r="I97"/>
  <c r="J97"/>
  <c r="K97"/>
  <c r="M32" i="3"/>
  <c r="J83" i="8" s="1"/>
  <c r="J92" s="1"/>
  <c r="K83"/>
  <c r="I83"/>
  <c r="H83"/>
  <c r="G83"/>
  <c r="E83"/>
  <c r="D83"/>
  <c r="C83"/>
  <c r="K53"/>
  <c r="J53"/>
  <c r="I53"/>
  <c r="G53"/>
  <c r="F53"/>
  <c r="E53"/>
  <c r="C53"/>
  <c r="B53"/>
  <c r="K23"/>
  <c r="I23"/>
  <c r="H23"/>
  <c r="G23"/>
  <c r="E23"/>
  <c r="D23"/>
  <c r="C23"/>
  <c r="B70"/>
  <c r="K69"/>
  <c r="J69"/>
  <c r="I69"/>
  <c r="H69"/>
  <c r="G69"/>
  <c r="F69"/>
  <c r="E69"/>
  <c r="D69"/>
  <c r="C69"/>
  <c r="B69"/>
  <c r="K68"/>
  <c r="J68"/>
  <c r="I68"/>
  <c r="H68"/>
  <c r="G68"/>
  <c r="F68"/>
  <c r="E68"/>
  <c r="D68"/>
  <c r="C68"/>
  <c r="B68"/>
  <c r="C38"/>
  <c r="D38"/>
  <c r="E38"/>
  <c r="F38"/>
  <c r="G38"/>
  <c r="H38"/>
  <c r="I38"/>
  <c r="J38"/>
  <c r="K38"/>
  <c r="C39"/>
  <c r="D39"/>
  <c r="E39"/>
  <c r="F39"/>
  <c r="G39"/>
  <c r="H39"/>
  <c r="I39"/>
  <c r="J39"/>
  <c r="K39"/>
  <c r="B40"/>
  <c r="C40" s="1"/>
  <c r="B38"/>
  <c r="B39"/>
  <c r="B28"/>
  <c r="C28" s="1"/>
  <c r="D28" s="1"/>
  <c r="E28" s="1"/>
  <c r="F28" s="1"/>
  <c r="G28" s="1"/>
  <c r="H28" s="1"/>
  <c r="I28" s="1"/>
  <c r="J28" s="1"/>
  <c r="K28" s="1"/>
  <c r="B58" s="1"/>
  <c r="C58" s="1"/>
  <c r="D58" s="1"/>
  <c r="E58" s="1"/>
  <c r="F58" s="1"/>
  <c r="G58" s="1"/>
  <c r="H58" s="1"/>
  <c r="I58" s="1"/>
  <c r="J58" s="1"/>
  <c r="K58" s="1"/>
  <c r="B88" s="1"/>
  <c r="C88" s="1"/>
  <c r="D88" s="1"/>
  <c r="E88" s="1"/>
  <c r="F88" s="1"/>
  <c r="G88" s="1"/>
  <c r="H88" s="1"/>
  <c r="I88" s="1"/>
  <c r="J88" s="1"/>
  <c r="K88" s="1"/>
  <c r="M35" i="3"/>
  <c r="J86" i="8"/>
  <c r="H86"/>
  <c r="F86"/>
  <c r="D86"/>
  <c r="B86"/>
  <c r="M34" i="3"/>
  <c r="K85" i="8"/>
  <c r="J85"/>
  <c r="I85"/>
  <c r="H85"/>
  <c r="H93" s="1"/>
  <c r="G85"/>
  <c r="F85"/>
  <c r="E85"/>
  <c r="D85"/>
  <c r="C85"/>
  <c r="B85"/>
  <c r="K56"/>
  <c r="J56"/>
  <c r="J64" s="1"/>
  <c r="I56"/>
  <c r="H56"/>
  <c r="G56"/>
  <c r="F56"/>
  <c r="F64" s="1"/>
  <c r="E56"/>
  <c r="D56"/>
  <c r="C56"/>
  <c r="B56"/>
  <c r="B64" s="1"/>
  <c r="K55"/>
  <c r="J55"/>
  <c r="I55"/>
  <c r="H55"/>
  <c r="G55"/>
  <c r="F55"/>
  <c r="E55"/>
  <c r="D55"/>
  <c r="C55"/>
  <c r="B55"/>
  <c r="C25"/>
  <c r="D25"/>
  <c r="E25"/>
  <c r="F25"/>
  <c r="G25"/>
  <c r="H25"/>
  <c r="I25"/>
  <c r="J25"/>
  <c r="K25"/>
  <c r="C26"/>
  <c r="D26"/>
  <c r="E26"/>
  <c r="F26"/>
  <c r="G26"/>
  <c r="H26"/>
  <c r="I26"/>
  <c r="J26"/>
  <c r="K26"/>
  <c r="B25"/>
  <c r="B26"/>
  <c r="J26" i="7"/>
  <c r="I26"/>
  <c r="F145" i="36"/>
  <c r="K143"/>
  <c r="F165"/>
  <c r="P144"/>
  <c r="F154"/>
  <c r="K152"/>
  <c r="K162"/>
  <c r="H49" i="3"/>
  <c r="A2" i="39"/>
  <c r="I211" i="11"/>
  <c r="L169"/>
  <c r="M156" i="15"/>
  <c r="O74" i="11"/>
  <c r="V37" i="15"/>
  <c r="V129"/>
  <c r="A3" i="6"/>
  <c r="H3"/>
  <c r="N182" i="11"/>
  <c r="N177"/>
  <c r="N146"/>
  <c r="N67"/>
  <c r="O49"/>
  <c r="M291"/>
  <c r="M6" s="1"/>
  <c r="L277"/>
  <c r="A265"/>
  <c r="L233"/>
  <c r="L211"/>
  <c r="M82"/>
  <c r="M81"/>
  <c r="A80"/>
  <c r="M79"/>
  <c r="M78"/>
  <c r="A77"/>
  <c r="L52"/>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63" s="1"/>
  <c r="A93" s="1"/>
  <c r="A32"/>
  <c r="A31"/>
  <c r="A61" s="1"/>
  <c r="A91" s="1"/>
  <c r="BY10" i="36"/>
  <c r="BY11"/>
  <c r="BY12"/>
  <c r="BY14"/>
  <c r="BY15"/>
  <c r="BY16"/>
  <c r="BY13"/>
  <c r="CD10"/>
  <c r="CD11"/>
  <c r="CD12"/>
  <c r="CD14"/>
  <c r="CD15"/>
  <c r="CD16"/>
  <c r="CD13"/>
  <c r="BZ10"/>
  <c r="BZ11"/>
  <c r="BZ12"/>
  <c r="BZ14"/>
  <c r="BZ15"/>
  <c r="BZ16"/>
  <c r="BZ13"/>
  <c r="CE10"/>
  <c r="CE11"/>
  <c r="CE12"/>
  <c r="CE14"/>
  <c r="CE15"/>
  <c r="CE16"/>
  <c r="CE13"/>
  <c r="CA10"/>
  <c r="CA11"/>
  <c r="CA12"/>
  <c r="CA14"/>
  <c r="CA15"/>
  <c r="CA16"/>
  <c r="CA13"/>
  <c r="CA48"/>
  <c r="J94" s="1"/>
  <c r="CF10"/>
  <c r="CF11"/>
  <c r="CF12"/>
  <c r="CF14"/>
  <c r="CF15"/>
  <c r="CF16"/>
  <c r="CF13"/>
  <c r="CB10"/>
  <c r="CB11"/>
  <c r="CB12"/>
  <c r="CB14"/>
  <c r="CB15"/>
  <c r="CB16"/>
  <c r="CB13"/>
  <c r="CG10"/>
  <c r="CG11"/>
  <c r="CG12"/>
  <c r="CG14"/>
  <c r="CG15"/>
  <c r="CG16"/>
  <c r="CG13"/>
  <c r="CG48"/>
  <c r="K95" s="1"/>
  <c r="CC10"/>
  <c r="CC11"/>
  <c r="CC48" s="1"/>
  <c r="L94" s="1"/>
  <c r="CC12"/>
  <c r="CC14"/>
  <c r="CC15"/>
  <c r="CC16"/>
  <c r="CC13"/>
  <c r="CH10"/>
  <c r="CH11"/>
  <c r="CH12"/>
  <c r="CH14"/>
  <c r="CH15"/>
  <c r="CH16"/>
  <c r="CH13"/>
  <c r="CN10"/>
  <c r="CN11"/>
  <c r="CN48" s="1"/>
  <c r="H97" s="1"/>
  <c r="CN12"/>
  <c r="CN14"/>
  <c r="CN15"/>
  <c r="CN16"/>
  <c r="CN13"/>
  <c r="CO10"/>
  <c r="CO11"/>
  <c r="CO12"/>
  <c r="CO14"/>
  <c r="CO15"/>
  <c r="CO16"/>
  <c r="CO13"/>
  <c r="CP10"/>
  <c r="CP11"/>
  <c r="CP12"/>
  <c r="CP14"/>
  <c r="CP15"/>
  <c r="CP16"/>
  <c r="CP13"/>
  <c r="CP48"/>
  <c r="J97" s="1"/>
  <c r="CQ10"/>
  <c r="CQ11"/>
  <c r="CQ48" s="1"/>
  <c r="K97" s="1"/>
  <c r="CQ12"/>
  <c r="CQ14"/>
  <c r="CQ15"/>
  <c r="CQ16"/>
  <c r="CQ13"/>
  <c r="CR10"/>
  <c r="CR11"/>
  <c r="CR48" s="1"/>
  <c r="L97" s="1"/>
  <c r="CR12"/>
  <c r="CR14"/>
  <c r="CR15"/>
  <c r="CR16"/>
  <c r="CR13"/>
  <c r="P12"/>
  <c r="Q12" s="1"/>
  <c r="P14"/>
  <c r="P15"/>
  <c r="P16"/>
  <c r="Q17"/>
  <c r="Q18"/>
  <c r="Q19"/>
  <c r="Q20"/>
  <c r="Q21"/>
  <c r="Q22"/>
  <c r="Q23"/>
  <c r="Q24"/>
  <c r="Q25"/>
  <c r="Q26"/>
  <c r="Q27"/>
  <c r="Q28"/>
  <c r="Q29"/>
  <c r="Q30"/>
  <c r="Q31"/>
  <c r="Q32"/>
  <c r="Q33"/>
  <c r="Q34"/>
  <c r="Q35"/>
  <c r="Q36"/>
  <c r="Q37"/>
  <c r="Q38"/>
  <c r="Q39"/>
  <c r="Q40"/>
  <c r="Q41"/>
  <c r="Q42"/>
  <c r="Q43"/>
  <c r="Q44"/>
  <c r="Q45"/>
  <c r="Q46"/>
  <c r="Q47"/>
  <c r="P10"/>
  <c r="J43" i="6"/>
  <c r="K10" i="36"/>
  <c r="L10" s="1"/>
  <c r="K11"/>
  <c r="L11" s="1"/>
  <c r="K12"/>
  <c r="L12" s="1"/>
  <c r="K14"/>
  <c r="L14" s="1"/>
  <c r="K15"/>
  <c r="L15" s="1"/>
  <c r="K16"/>
  <c r="L16" s="1"/>
  <c r="O41" i="15"/>
  <c r="M17"/>
  <c r="M23"/>
  <c r="M27"/>
  <c r="M32"/>
  <c r="M36"/>
  <c r="M57"/>
  <c r="M69"/>
  <c r="M75"/>
  <c r="M84"/>
  <c r="M109"/>
  <c r="M117"/>
  <c r="M121"/>
  <c r="A104" i="11"/>
  <c r="L254"/>
  <c r="C109" i="15"/>
  <c r="I17" i="29"/>
  <c r="J117" i="15"/>
  <c r="J17"/>
  <c r="J27"/>
  <c r="J32"/>
  <c r="J36"/>
  <c r="J57"/>
  <c r="J69"/>
  <c r="J75"/>
  <c r="J84"/>
  <c r="J109"/>
  <c r="J121"/>
  <c r="J137"/>
  <c r="J141"/>
  <c r="BY17" i="36"/>
  <c r="BY18"/>
  <c r="BY48" s="1"/>
  <c r="H94" s="1"/>
  <c r="BY19"/>
  <c r="BY20"/>
  <c r="BY21"/>
  <c r="BY22"/>
  <c r="BY23"/>
  <c r="BY24"/>
  <c r="BY25"/>
  <c r="BY26"/>
  <c r="BY27"/>
  <c r="BY28"/>
  <c r="BY29"/>
  <c r="BY30"/>
  <c r="BY31"/>
  <c r="BY32"/>
  <c r="BY33"/>
  <c r="BY34"/>
  <c r="BY35"/>
  <c r="BY36"/>
  <c r="BY37"/>
  <c r="BY38"/>
  <c r="BY39"/>
  <c r="BY40"/>
  <c r="BY41"/>
  <c r="BY42"/>
  <c r="BY43"/>
  <c r="BY44"/>
  <c r="BY45"/>
  <c r="BY46"/>
  <c r="BY47"/>
  <c r="CD47"/>
  <c r="CD18"/>
  <c r="BZ47"/>
  <c r="BZ18"/>
  <c r="CE47"/>
  <c r="CE18"/>
  <c r="CA47"/>
  <c r="CA18"/>
  <c r="CF47"/>
  <c r="CF18"/>
  <c r="CB47"/>
  <c r="CB18"/>
  <c r="CG47"/>
  <c r="CG18"/>
  <c r="CC47"/>
  <c r="CC18"/>
  <c r="CH47"/>
  <c r="CH18"/>
  <c r="CN47"/>
  <c r="CN18"/>
  <c r="CO47"/>
  <c r="CO18"/>
  <c r="CP47"/>
  <c r="CP18"/>
  <c r="CQ47"/>
  <c r="CQ18"/>
  <c r="CR47"/>
  <c r="CR18"/>
  <c r="P117" i="15"/>
  <c r="P17"/>
  <c r="P27"/>
  <c r="P32"/>
  <c r="P36"/>
  <c r="P57"/>
  <c r="P69"/>
  <c r="P75"/>
  <c r="P84"/>
  <c r="P109"/>
  <c r="P121"/>
  <c r="P137"/>
  <c r="P141"/>
  <c r="CD17" i="36"/>
  <c r="CD19"/>
  <c r="CD20"/>
  <c r="CD21"/>
  <c r="CD22"/>
  <c r="CD23"/>
  <c r="CD24"/>
  <c r="CD25"/>
  <c r="CD26"/>
  <c r="CD27"/>
  <c r="CD28"/>
  <c r="CD29"/>
  <c r="CD30"/>
  <c r="CD31"/>
  <c r="CD32"/>
  <c r="CD33"/>
  <c r="CD34"/>
  <c r="CD35"/>
  <c r="CD36"/>
  <c r="CD37"/>
  <c r="CD38"/>
  <c r="CD39"/>
  <c r="CD40"/>
  <c r="CD41"/>
  <c r="CD42"/>
  <c r="CD43"/>
  <c r="CD44"/>
  <c r="CD45"/>
  <c r="CD46"/>
  <c r="BZ17"/>
  <c r="BZ19"/>
  <c r="BZ20"/>
  <c r="BZ21"/>
  <c r="BZ22"/>
  <c r="BZ23"/>
  <c r="BZ24"/>
  <c r="BZ25"/>
  <c r="BZ26"/>
  <c r="BZ27"/>
  <c r="BZ28"/>
  <c r="BZ29"/>
  <c r="BZ30"/>
  <c r="BZ31"/>
  <c r="BZ32"/>
  <c r="BZ33"/>
  <c r="BZ34"/>
  <c r="BZ35"/>
  <c r="BZ36"/>
  <c r="BZ37"/>
  <c r="BZ38"/>
  <c r="BZ39"/>
  <c r="BZ40"/>
  <c r="BZ41"/>
  <c r="BZ42"/>
  <c r="BZ43"/>
  <c r="BZ44"/>
  <c r="BZ45"/>
  <c r="BZ46"/>
  <c r="CE17"/>
  <c r="CE19"/>
  <c r="CE20"/>
  <c r="CE21"/>
  <c r="CE48" s="1"/>
  <c r="I95" s="1"/>
  <c r="CE22"/>
  <c r="CE23"/>
  <c r="CE24"/>
  <c r="CE25"/>
  <c r="CE26"/>
  <c r="CE27"/>
  <c r="CE28"/>
  <c r="CE29"/>
  <c r="CE30"/>
  <c r="CE31"/>
  <c r="CE32"/>
  <c r="CE33"/>
  <c r="CE34"/>
  <c r="CE35"/>
  <c r="CE36"/>
  <c r="CE37"/>
  <c r="CE38"/>
  <c r="CE39"/>
  <c r="CE40"/>
  <c r="CE41"/>
  <c r="CE42"/>
  <c r="CE43"/>
  <c r="CE44"/>
  <c r="CE45"/>
  <c r="CE46"/>
  <c r="CA17"/>
  <c r="CA19"/>
  <c r="CA20"/>
  <c r="CA21"/>
  <c r="CA22"/>
  <c r="CA23"/>
  <c r="CA24"/>
  <c r="CA25"/>
  <c r="CA26"/>
  <c r="CA27"/>
  <c r="CA28"/>
  <c r="CA29"/>
  <c r="CA30"/>
  <c r="CA31"/>
  <c r="CA32"/>
  <c r="CA33"/>
  <c r="CA34"/>
  <c r="CA35"/>
  <c r="CA36"/>
  <c r="CA37"/>
  <c r="CA38"/>
  <c r="CA39"/>
  <c r="CA40"/>
  <c r="CA41"/>
  <c r="CA42"/>
  <c r="CA43"/>
  <c r="CA44"/>
  <c r="CA45"/>
  <c r="CA46"/>
  <c r="CF17"/>
  <c r="CF19"/>
  <c r="CF20"/>
  <c r="CF21"/>
  <c r="CF22"/>
  <c r="CF23"/>
  <c r="CF24"/>
  <c r="CF25"/>
  <c r="CF26"/>
  <c r="CF27"/>
  <c r="CF28"/>
  <c r="CF29"/>
  <c r="CF30"/>
  <c r="CF31"/>
  <c r="CF32"/>
  <c r="CF33"/>
  <c r="CF34"/>
  <c r="CF35"/>
  <c r="CF36"/>
  <c r="CF37"/>
  <c r="CF38"/>
  <c r="CF39"/>
  <c r="CF40"/>
  <c r="CF41"/>
  <c r="CF42"/>
  <c r="CF43"/>
  <c r="CF44"/>
  <c r="CF45"/>
  <c r="CF46"/>
  <c r="CB17"/>
  <c r="CB19"/>
  <c r="CB20"/>
  <c r="CB21"/>
  <c r="CB22"/>
  <c r="CB23"/>
  <c r="CB24"/>
  <c r="CB25"/>
  <c r="CB26"/>
  <c r="CB27"/>
  <c r="CB28"/>
  <c r="CB29"/>
  <c r="CB30"/>
  <c r="CB31"/>
  <c r="CB32"/>
  <c r="CB33"/>
  <c r="CB34"/>
  <c r="CB35"/>
  <c r="CB36"/>
  <c r="CB37"/>
  <c r="CB38"/>
  <c r="CB39"/>
  <c r="CB40"/>
  <c r="CB41"/>
  <c r="CB42"/>
  <c r="CB43"/>
  <c r="CB44"/>
  <c r="CB45"/>
  <c r="CB46"/>
  <c r="CG17"/>
  <c r="CG19"/>
  <c r="CG20"/>
  <c r="CG21"/>
  <c r="CG22"/>
  <c r="CG23"/>
  <c r="CG24"/>
  <c r="CG25"/>
  <c r="CG26"/>
  <c r="CG27"/>
  <c r="CG28"/>
  <c r="CG29"/>
  <c r="CG30"/>
  <c r="CG31"/>
  <c r="CG32"/>
  <c r="CG33"/>
  <c r="CG34"/>
  <c r="CG35"/>
  <c r="CG36"/>
  <c r="CG37"/>
  <c r="CG38"/>
  <c r="CG39"/>
  <c r="CG40"/>
  <c r="CG41"/>
  <c r="CG42"/>
  <c r="CG43"/>
  <c r="CG44"/>
  <c r="CG45"/>
  <c r="CG46"/>
  <c r="CC17"/>
  <c r="CC19"/>
  <c r="CC20"/>
  <c r="CC21"/>
  <c r="CC22"/>
  <c r="CC23"/>
  <c r="CC24"/>
  <c r="CC25"/>
  <c r="CC26"/>
  <c r="CC27"/>
  <c r="CC28"/>
  <c r="CC29"/>
  <c r="CC30"/>
  <c r="CC31"/>
  <c r="CC32"/>
  <c r="CC33"/>
  <c r="CC34"/>
  <c r="CC35"/>
  <c r="CC36"/>
  <c r="CC37"/>
  <c r="CC38"/>
  <c r="CC39"/>
  <c r="CC40"/>
  <c r="CC41"/>
  <c r="CC42"/>
  <c r="CC43"/>
  <c r="CC44"/>
  <c r="CC45"/>
  <c r="CC46"/>
  <c r="CH17"/>
  <c r="CH19"/>
  <c r="CH20"/>
  <c r="CH21"/>
  <c r="CH22"/>
  <c r="CH23"/>
  <c r="CH24"/>
  <c r="CH25"/>
  <c r="CH26"/>
  <c r="CH27"/>
  <c r="CH28"/>
  <c r="CH29"/>
  <c r="CH30"/>
  <c r="CH31"/>
  <c r="CH32"/>
  <c r="CH33"/>
  <c r="CH34"/>
  <c r="CH35"/>
  <c r="CH36"/>
  <c r="CH37"/>
  <c r="CH38"/>
  <c r="CH39"/>
  <c r="CH40"/>
  <c r="CH41"/>
  <c r="CH42"/>
  <c r="CH43"/>
  <c r="CH44"/>
  <c r="CH45"/>
  <c r="CH46"/>
  <c r="CN17"/>
  <c r="CN19"/>
  <c r="CN20"/>
  <c r="CN21"/>
  <c r="CN22"/>
  <c r="CN23"/>
  <c r="CN24"/>
  <c r="CN25"/>
  <c r="CN26"/>
  <c r="CN27"/>
  <c r="CN28"/>
  <c r="CN29"/>
  <c r="CN30"/>
  <c r="CN31"/>
  <c r="CN32"/>
  <c r="CN33"/>
  <c r="CN34"/>
  <c r="CN35"/>
  <c r="CN36"/>
  <c r="CN37"/>
  <c r="CN38"/>
  <c r="CN39"/>
  <c r="CN40"/>
  <c r="CN41"/>
  <c r="CN42"/>
  <c r="CN43"/>
  <c r="CN44"/>
  <c r="CN45"/>
  <c r="CN46"/>
  <c r="CO17"/>
  <c r="CO19"/>
  <c r="CO20"/>
  <c r="CO21"/>
  <c r="CO48" s="1"/>
  <c r="I97" s="1"/>
  <c r="CO22"/>
  <c r="CO23"/>
  <c r="CO24"/>
  <c r="CO25"/>
  <c r="CO26"/>
  <c r="CO27"/>
  <c r="CO28"/>
  <c r="CO29"/>
  <c r="CO30"/>
  <c r="CO31"/>
  <c r="CO32"/>
  <c r="CO33"/>
  <c r="CO34"/>
  <c r="CO35"/>
  <c r="CO36"/>
  <c r="CO37"/>
  <c r="CO38"/>
  <c r="CO39"/>
  <c r="CO40"/>
  <c r="CO41"/>
  <c r="CO42"/>
  <c r="CO43"/>
  <c r="CO44"/>
  <c r="CO45"/>
  <c r="CO46"/>
  <c r="CP17"/>
  <c r="CP19"/>
  <c r="CP20"/>
  <c r="CP21"/>
  <c r="CP22"/>
  <c r="CP23"/>
  <c r="CP24"/>
  <c r="CP25"/>
  <c r="CP26"/>
  <c r="CP27"/>
  <c r="CP28"/>
  <c r="CP29"/>
  <c r="CP30"/>
  <c r="CP31"/>
  <c r="CP32"/>
  <c r="CP33"/>
  <c r="CP34"/>
  <c r="CP35"/>
  <c r="CP36"/>
  <c r="CP37"/>
  <c r="CP38"/>
  <c r="CP39"/>
  <c r="CP40"/>
  <c r="CP41"/>
  <c r="CP42"/>
  <c r="CP43"/>
  <c r="CP44"/>
  <c r="CP45"/>
  <c r="CP46"/>
  <c r="CQ17"/>
  <c r="CQ19"/>
  <c r="CQ20"/>
  <c r="CQ21"/>
  <c r="CQ22"/>
  <c r="CQ23"/>
  <c r="CQ24"/>
  <c r="CQ25"/>
  <c r="CQ26"/>
  <c r="CQ27"/>
  <c r="CQ28"/>
  <c r="CQ29"/>
  <c r="CQ30"/>
  <c r="CQ31"/>
  <c r="CQ32"/>
  <c r="CQ33"/>
  <c r="CQ34"/>
  <c r="CQ35"/>
  <c r="CQ36"/>
  <c r="CQ37"/>
  <c r="CQ38"/>
  <c r="CQ39"/>
  <c r="CQ40"/>
  <c r="CQ41"/>
  <c r="CQ42"/>
  <c r="CQ43"/>
  <c r="CQ44"/>
  <c r="CQ45"/>
  <c r="CQ4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P48" s="1"/>
  <c r="AP10"/>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Q11"/>
  <c r="AR11"/>
  <c r="AR48" s="1"/>
  <c r="AR10"/>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S11"/>
  <c r="AT11"/>
  <c r="AT48" s="1"/>
  <c r="AT10"/>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U11"/>
  <c r="AV11"/>
  <c r="AW11"/>
  <c r="AX11"/>
  <c r="AY11"/>
  <c r="AZ11"/>
  <c r="BA11"/>
  <c r="BB11"/>
  <c r="BC11"/>
  <c r="BD11"/>
  <c r="AQ12"/>
  <c r="AS12"/>
  <c r="AS48" s="1"/>
  <c r="AU12"/>
  <c r="AV12"/>
  <c r="AW12"/>
  <c r="AX12"/>
  <c r="AY12"/>
  <c r="AZ12"/>
  <c r="BA12"/>
  <c r="BB12"/>
  <c r="BC12"/>
  <c r="BD12"/>
  <c r="AQ13"/>
  <c r="AS13"/>
  <c r="AU13"/>
  <c r="AV13"/>
  <c r="AW13"/>
  <c r="AX13"/>
  <c r="AY13"/>
  <c r="AZ13"/>
  <c r="BA13"/>
  <c r="BB13"/>
  <c r="BC13"/>
  <c r="BD13"/>
  <c r="AQ14"/>
  <c r="AS14"/>
  <c r="AU14"/>
  <c r="AV14"/>
  <c r="AW14"/>
  <c r="AX14"/>
  <c r="AY14"/>
  <c r="AZ14"/>
  <c r="BA14"/>
  <c r="BB14"/>
  <c r="BC14"/>
  <c r="BD14"/>
  <c r="AQ15"/>
  <c r="AS15"/>
  <c r="AU15"/>
  <c r="AV15"/>
  <c r="AW15"/>
  <c r="AX15"/>
  <c r="AY15"/>
  <c r="AZ15"/>
  <c r="BA15"/>
  <c r="BB15"/>
  <c r="BC15"/>
  <c r="BD15"/>
  <c r="AQ16"/>
  <c r="AS16"/>
  <c r="AU16"/>
  <c r="AV16"/>
  <c r="AW16"/>
  <c r="AX16"/>
  <c r="AY16"/>
  <c r="AZ16"/>
  <c r="BA16"/>
  <c r="BB16"/>
  <c r="BC16"/>
  <c r="BD16"/>
  <c r="AQ17"/>
  <c r="AS17"/>
  <c r="AU17"/>
  <c r="AV17"/>
  <c r="AW17"/>
  <c r="AX17"/>
  <c r="AY17"/>
  <c r="AZ17"/>
  <c r="BA17"/>
  <c r="BB17"/>
  <c r="BC17"/>
  <c r="BD17"/>
  <c r="AQ18"/>
  <c r="AS18"/>
  <c r="AU18"/>
  <c r="AV18"/>
  <c r="AW18"/>
  <c r="AX18"/>
  <c r="AY18"/>
  <c r="AZ18"/>
  <c r="BA18"/>
  <c r="BB18"/>
  <c r="BC18"/>
  <c r="BD18"/>
  <c r="AQ19"/>
  <c r="AS19"/>
  <c r="AU19"/>
  <c r="AV19"/>
  <c r="AW19"/>
  <c r="AX19"/>
  <c r="AY19"/>
  <c r="AZ19"/>
  <c r="BA19"/>
  <c r="BB19"/>
  <c r="BC19"/>
  <c r="BD19"/>
  <c r="AQ20"/>
  <c r="AS20"/>
  <c r="AU20"/>
  <c r="AV20"/>
  <c r="AW20"/>
  <c r="AX20"/>
  <c r="AY20"/>
  <c r="AZ20"/>
  <c r="BA20"/>
  <c r="BB20"/>
  <c r="BC20"/>
  <c r="BD20"/>
  <c r="AQ21"/>
  <c r="AS21"/>
  <c r="AU21"/>
  <c r="AV21"/>
  <c r="AW21"/>
  <c r="AX21"/>
  <c r="AY21"/>
  <c r="AZ21"/>
  <c r="BA21"/>
  <c r="BB21"/>
  <c r="BC21"/>
  <c r="BD21"/>
  <c r="AQ22"/>
  <c r="AS22"/>
  <c r="AU22"/>
  <c r="AV22"/>
  <c r="AW22"/>
  <c r="AX22"/>
  <c r="AY22"/>
  <c r="AZ22"/>
  <c r="BA22"/>
  <c r="BB22"/>
  <c r="BC22"/>
  <c r="BD22"/>
  <c r="AQ23"/>
  <c r="AS23"/>
  <c r="AU23"/>
  <c r="AV23"/>
  <c r="AW23"/>
  <c r="AX23"/>
  <c r="AY23"/>
  <c r="AZ23"/>
  <c r="BA23"/>
  <c r="BB23"/>
  <c r="BC23"/>
  <c r="BD23"/>
  <c r="AQ24"/>
  <c r="AS24"/>
  <c r="AU24"/>
  <c r="AV24"/>
  <c r="AW24"/>
  <c r="AX24"/>
  <c r="AY24"/>
  <c r="AZ24"/>
  <c r="BA24"/>
  <c r="BB24"/>
  <c r="BC24"/>
  <c r="BD24"/>
  <c r="AQ25"/>
  <c r="AS25"/>
  <c r="AU25"/>
  <c r="AV25"/>
  <c r="AW25"/>
  <c r="AX25"/>
  <c r="AY25"/>
  <c r="AZ25"/>
  <c r="BA25"/>
  <c r="BB25"/>
  <c r="BC25"/>
  <c r="BD25"/>
  <c r="AQ26"/>
  <c r="AS26"/>
  <c r="AU26"/>
  <c r="AV26"/>
  <c r="AW26"/>
  <c r="AX26"/>
  <c r="AY26"/>
  <c r="AZ26"/>
  <c r="BA26"/>
  <c r="BB26"/>
  <c r="BC26"/>
  <c r="BD26"/>
  <c r="AQ27"/>
  <c r="AS27"/>
  <c r="AU27"/>
  <c r="AV27"/>
  <c r="AW27"/>
  <c r="AX27"/>
  <c r="AY27"/>
  <c r="AZ27"/>
  <c r="BA27"/>
  <c r="BB27"/>
  <c r="BC27"/>
  <c r="BD27"/>
  <c r="AQ28"/>
  <c r="AS28"/>
  <c r="AU28"/>
  <c r="AV28"/>
  <c r="AW28"/>
  <c r="AX28"/>
  <c r="AY28"/>
  <c r="AZ28"/>
  <c r="BA28"/>
  <c r="BB28"/>
  <c r="BC28"/>
  <c r="BD28"/>
  <c r="AQ29"/>
  <c r="AS29"/>
  <c r="AU29"/>
  <c r="AV29"/>
  <c r="AW29"/>
  <c r="AX29"/>
  <c r="AY29"/>
  <c r="AZ29"/>
  <c r="BA29"/>
  <c r="BB29"/>
  <c r="BC29"/>
  <c r="BD29"/>
  <c r="AQ30"/>
  <c r="AS30"/>
  <c r="AU30"/>
  <c r="AV30"/>
  <c r="AW30"/>
  <c r="AX30"/>
  <c r="AY30"/>
  <c r="AZ30"/>
  <c r="BA30"/>
  <c r="BB30"/>
  <c r="BC30"/>
  <c r="BD30"/>
  <c r="AQ31"/>
  <c r="AS31"/>
  <c r="AU31"/>
  <c r="AV31"/>
  <c r="AW31"/>
  <c r="AX31"/>
  <c r="AY31"/>
  <c r="AZ31"/>
  <c r="BA31"/>
  <c r="BB31"/>
  <c r="BC31"/>
  <c r="BD31"/>
  <c r="AQ32"/>
  <c r="AS32"/>
  <c r="AU32"/>
  <c r="AV32"/>
  <c r="AW32"/>
  <c r="AX32"/>
  <c r="AY32"/>
  <c r="AZ32"/>
  <c r="BA32"/>
  <c r="BB32"/>
  <c r="BC32"/>
  <c r="BD32"/>
  <c r="AQ33"/>
  <c r="AS33"/>
  <c r="AU33"/>
  <c r="AV33"/>
  <c r="AW33"/>
  <c r="AX33"/>
  <c r="AY33"/>
  <c r="AZ33"/>
  <c r="BA33"/>
  <c r="BB33"/>
  <c r="BC33"/>
  <c r="BD33"/>
  <c r="AQ34"/>
  <c r="AS34"/>
  <c r="AU34"/>
  <c r="AV34"/>
  <c r="AW34"/>
  <c r="AX34"/>
  <c r="AY34"/>
  <c r="AZ34"/>
  <c r="BA34"/>
  <c r="BB34"/>
  <c r="BC34"/>
  <c r="BD34"/>
  <c r="AQ35"/>
  <c r="AS35"/>
  <c r="AU35"/>
  <c r="AV35"/>
  <c r="AW35"/>
  <c r="AX35"/>
  <c r="AY35"/>
  <c r="AZ35"/>
  <c r="BA35"/>
  <c r="BB35"/>
  <c r="BC35"/>
  <c r="BD35"/>
  <c r="AQ36"/>
  <c r="AS36"/>
  <c r="AU36"/>
  <c r="AV36"/>
  <c r="AW36"/>
  <c r="AX36"/>
  <c r="AY36"/>
  <c r="AZ36"/>
  <c r="BA36"/>
  <c r="BB36"/>
  <c r="BC36"/>
  <c r="BD36"/>
  <c r="AQ37"/>
  <c r="AS37"/>
  <c r="AU37"/>
  <c r="AV37"/>
  <c r="AW37"/>
  <c r="AX37"/>
  <c r="AY37"/>
  <c r="AZ37"/>
  <c r="BA37"/>
  <c r="BB37"/>
  <c r="BC37"/>
  <c r="BD37"/>
  <c r="AQ38"/>
  <c r="AS38"/>
  <c r="AU38"/>
  <c r="AV38"/>
  <c r="AW38"/>
  <c r="AX38"/>
  <c r="AY38"/>
  <c r="AZ38"/>
  <c r="BA38"/>
  <c r="BB38"/>
  <c r="BC38"/>
  <c r="BD38"/>
  <c r="AQ39"/>
  <c r="AS39"/>
  <c r="AU39"/>
  <c r="AV39"/>
  <c r="AW39"/>
  <c r="AX39"/>
  <c r="AY39"/>
  <c r="AZ39"/>
  <c r="BA39"/>
  <c r="BB39"/>
  <c r="BC39"/>
  <c r="BD39"/>
  <c r="AQ40"/>
  <c r="AS40"/>
  <c r="AU40"/>
  <c r="AV40"/>
  <c r="AW40"/>
  <c r="AX40"/>
  <c r="AY40"/>
  <c r="AZ40"/>
  <c r="BA40"/>
  <c r="BB40"/>
  <c r="BC40"/>
  <c r="BD40"/>
  <c r="AQ41"/>
  <c r="AS41"/>
  <c r="AU41"/>
  <c r="AV41"/>
  <c r="AW41"/>
  <c r="AX41"/>
  <c r="AY41"/>
  <c r="AZ41"/>
  <c r="BA41"/>
  <c r="BB41"/>
  <c r="BC41"/>
  <c r="BD41"/>
  <c r="AQ42"/>
  <c r="AS42"/>
  <c r="AU42"/>
  <c r="AV42"/>
  <c r="AW42"/>
  <c r="AX42"/>
  <c r="AY42"/>
  <c r="AZ42"/>
  <c r="BA42"/>
  <c r="BB42"/>
  <c r="BC42"/>
  <c r="BD42"/>
  <c r="AQ43"/>
  <c r="AS43"/>
  <c r="AU43"/>
  <c r="AV43"/>
  <c r="AW43"/>
  <c r="AX43"/>
  <c r="AY43"/>
  <c r="AZ43"/>
  <c r="BA43"/>
  <c r="BB43"/>
  <c r="BC43"/>
  <c r="BD43"/>
  <c r="AQ44"/>
  <c r="AS44"/>
  <c r="AU44"/>
  <c r="AV44"/>
  <c r="AW44"/>
  <c r="AX44"/>
  <c r="AY44"/>
  <c r="AZ44"/>
  <c r="BA44"/>
  <c r="BB44"/>
  <c r="BC44"/>
  <c r="BD44"/>
  <c r="AQ45"/>
  <c r="AS45"/>
  <c r="AU45"/>
  <c r="AV45"/>
  <c r="AW45"/>
  <c r="AX45"/>
  <c r="AY45"/>
  <c r="AZ45"/>
  <c r="BA45"/>
  <c r="BB45"/>
  <c r="BC45"/>
  <c r="BD45"/>
  <c r="AQ46"/>
  <c r="AS46"/>
  <c r="AU46"/>
  <c r="AV46"/>
  <c r="AW46"/>
  <c r="AX46"/>
  <c r="AY46"/>
  <c r="AZ46"/>
  <c r="BA46"/>
  <c r="BB46"/>
  <c r="BC46"/>
  <c r="BD46"/>
  <c r="AQ47"/>
  <c r="AS47"/>
  <c r="AU47"/>
  <c r="AV47"/>
  <c r="AW47"/>
  <c r="AX47"/>
  <c r="AY47"/>
  <c r="AZ47"/>
  <c r="BA47"/>
  <c r="BB47"/>
  <c r="BC47"/>
  <c r="BD47"/>
  <c r="BD10"/>
  <c r="BC10"/>
  <c r="BC48" s="1"/>
  <c r="K64" s="1"/>
  <c r="BB10"/>
  <c r="BA10"/>
  <c r="BA48" s="1"/>
  <c r="I64"/>
  <c r="AZ10"/>
  <c r="AY10"/>
  <c r="AY48" s="1"/>
  <c r="L65" s="1"/>
  <c r="AX10"/>
  <c r="AW10"/>
  <c r="AW48" s="1"/>
  <c r="J65"/>
  <c r="AV10"/>
  <c r="AU10"/>
  <c r="AU48" s="1"/>
  <c r="H65" s="1"/>
  <c r="AS10"/>
  <c r="AQ10"/>
  <c r="AQ48" s="1"/>
  <c r="F106" i="15"/>
  <c r="J158"/>
  <c r="E34"/>
  <c r="F34" s="1"/>
  <c r="E35"/>
  <c r="E33" s="1"/>
  <c r="S36"/>
  <c r="S17"/>
  <c r="S23"/>
  <c r="S27"/>
  <c r="S32"/>
  <c r="S57"/>
  <c r="S69"/>
  <c r="S75"/>
  <c r="S84"/>
  <c r="S98"/>
  <c r="S104"/>
  <c r="S109"/>
  <c r="S117"/>
  <c r="S121"/>
  <c r="CX10" i="36"/>
  <c r="CX11"/>
  <c r="CX48" s="1"/>
  <c r="H99" s="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48" s="1"/>
  <c r="I99" s="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48" s="1"/>
  <c r="K99" s="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48" s="1"/>
  <c r="L99" s="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A2" i="38"/>
  <c r="A2" i="37"/>
  <c r="R246" i="11"/>
  <c r="R243"/>
  <c r="L243"/>
  <c r="M117"/>
  <c r="M118"/>
  <c r="M119"/>
  <c r="M120"/>
  <c r="M121"/>
  <c r="M115"/>
  <c r="A122"/>
  <c r="M106"/>
  <c r="M107"/>
  <c r="M108"/>
  <c r="M105"/>
  <c r="M100"/>
  <c r="M101"/>
  <c r="M99"/>
  <c r="M95"/>
  <c r="M96"/>
  <c r="M94"/>
  <c r="A98"/>
  <c r="A93"/>
  <c r="L50"/>
  <c r="L51"/>
  <c r="P17" i="36"/>
  <c r="P18"/>
  <c r="P19"/>
  <c r="P20"/>
  <c r="P21"/>
  <c r="P22"/>
  <c r="P23"/>
  <c r="P24"/>
  <c r="P25"/>
  <c r="P26"/>
  <c r="P27"/>
  <c r="P28"/>
  <c r="P29"/>
  <c r="P30"/>
  <c r="P31"/>
  <c r="P32"/>
  <c r="P33"/>
  <c r="P34"/>
  <c r="P35"/>
  <c r="P36"/>
  <c r="P37"/>
  <c r="P38"/>
  <c r="P39"/>
  <c r="P40"/>
  <c r="P41"/>
  <c r="P42"/>
  <c r="P43"/>
  <c r="P44"/>
  <c r="P45"/>
  <c r="P46"/>
  <c r="P47"/>
  <c r="P11"/>
  <c r="P13"/>
  <c r="Q13"/>
  <c r="A64" i="8"/>
  <c r="A94"/>
  <c r="A62"/>
  <c r="A92" s="1"/>
  <c r="A56"/>
  <c r="A86"/>
  <c r="A55"/>
  <c r="A85"/>
  <c r="A54"/>
  <c r="A84"/>
  <c r="A53"/>
  <c r="A83"/>
  <c r="L182" i="11"/>
  <c r="R163"/>
  <c r="R162"/>
  <c r="L228"/>
  <c r="G133"/>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48" s="1"/>
  <c r="L77" s="1"/>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48" s="1"/>
  <c r="J73" s="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48" s="1"/>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48" s="1"/>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48" s="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48" s="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48" s="1"/>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0"/>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48" s="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V48" s="1"/>
  <c r="CU10"/>
  <c r="CU48"/>
  <c r="CT10"/>
  <c r="CS10"/>
  <c r="CS48" s="1"/>
  <c r="AF10"/>
  <c r="AF11"/>
  <c r="AF48" s="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48" s="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48" s="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48" s="1"/>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48" s="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48" s="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7" i="36"/>
  <c r="L17" s="1"/>
  <c r="K13"/>
  <c r="L13"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D92"/>
  <c r="H131" i="36"/>
  <c r="C77" i="8" s="1"/>
  <c r="I131" i="36"/>
  <c r="D77" i="8" s="1"/>
  <c r="J131" i="36"/>
  <c r="E77" i="8" s="1"/>
  <c r="K131" i="36"/>
  <c r="F77" i="8" s="1"/>
  <c r="L131" i="36"/>
  <c r="G77" i="8" s="1"/>
  <c r="M131" i="36"/>
  <c r="H77" i="8" s="1"/>
  <c r="N131" i="36"/>
  <c r="I77" i="8" s="1"/>
  <c r="O131" i="36"/>
  <c r="J77" i="8" s="1"/>
  <c r="P131" i="36"/>
  <c r="K77" i="8" s="1"/>
  <c r="G131" i="36"/>
  <c r="B77" i="8" s="1"/>
  <c r="B38" i="26"/>
  <c r="H136" i="36"/>
  <c r="C78" i="8"/>
  <c r="B39" i="26"/>
  <c r="I136" i="36"/>
  <c r="D78" i="8" s="1"/>
  <c r="B40" i="26"/>
  <c r="J136" i="36"/>
  <c r="E78" i="8"/>
  <c r="B41" i="26"/>
  <c r="K136" i="36"/>
  <c r="F78" i="8" s="1"/>
  <c r="B42" i="26"/>
  <c r="L136" i="36"/>
  <c r="G78" i="8"/>
  <c r="B43" i="26"/>
  <c r="M136" i="36"/>
  <c r="H78" i="8" s="1"/>
  <c r="B44" i="26"/>
  <c r="N136" i="36"/>
  <c r="I78" i="8"/>
  <c r="B45" i="26"/>
  <c r="O136" i="36"/>
  <c r="J78" i="8" s="1"/>
  <c r="B46" i="26"/>
  <c r="P136" i="36"/>
  <c r="K78" i="8"/>
  <c r="B37" i="26"/>
  <c r="G136" i="36"/>
  <c r="B78" i="8" s="1"/>
  <c r="B28" i="26"/>
  <c r="H126" i="36"/>
  <c r="C48" i="8"/>
  <c r="B29" i="26"/>
  <c r="I126" i="36"/>
  <c r="D48" i="8" s="1"/>
  <c r="B30" i="26"/>
  <c r="J126" i="36"/>
  <c r="E48" i="8"/>
  <c r="B31" i="26"/>
  <c r="K126" i="36"/>
  <c r="F48" i="8" s="1"/>
  <c r="B32" i="26"/>
  <c r="L126" i="36"/>
  <c r="G48" i="8"/>
  <c r="B33" i="26"/>
  <c r="M126" i="36"/>
  <c r="H48" i="8" s="1"/>
  <c r="B34" i="26"/>
  <c r="N126" i="36"/>
  <c r="I48" i="8"/>
  <c r="B35" i="26"/>
  <c r="O126" i="36"/>
  <c r="J48" i="8" s="1"/>
  <c r="B36" i="26"/>
  <c r="P126" i="36"/>
  <c r="K48" i="8"/>
  <c r="B27" i="26"/>
  <c r="G126" i="36"/>
  <c r="B48" i="8" s="1"/>
  <c r="B18" i="26"/>
  <c r="C18" i="8"/>
  <c r="B19" i="26"/>
  <c r="D18" i="8"/>
  <c r="B20" i="26"/>
  <c r="E18" i="8"/>
  <c r="B21" i="26"/>
  <c r="F18" i="8"/>
  <c r="B22" i="26"/>
  <c r="G18" i="8"/>
  <c r="B23" i="26"/>
  <c r="H18" i="8"/>
  <c r="B24" i="26"/>
  <c r="I18" i="8"/>
  <c r="B25" i="26"/>
  <c r="J18" i="8"/>
  <c r="B26" i="26"/>
  <c r="K18" i="8"/>
  <c r="B17" i="26"/>
  <c r="B18" i="8"/>
  <c r="F48" i="36"/>
  <c r="EV44"/>
  <c r="EW44"/>
  <c r="EX44"/>
  <c r="EY44"/>
  <c r="EZ44"/>
  <c r="FA44"/>
  <c r="FB44"/>
  <c r="FC44"/>
  <c r="FD44"/>
  <c r="FE44"/>
  <c r="FE48" s="1"/>
  <c r="L89" s="1"/>
  <c r="FF44"/>
  <c r="FG44"/>
  <c r="FH44"/>
  <c r="FI44"/>
  <c r="FJ44"/>
  <c r="FK44"/>
  <c r="FL44"/>
  <c r="FM44"/>
  <c r="FM48" s="1"/>
  <c r="J91" s="1"/>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L48" s="1"/>
  <c r="I91" s="1"/>
  <c r="FM45"/>
  <c r="FN45"/>
  <c r="FO45"/>
  <c r="FP45"/>
  <c r="FQ45"/>
  <c r="FR45"/>
  <c r="FS45"/>
  <c r="FT45"/>
  <c r="FU45"/>
  <c r="FV45"/>
  <c r="FW45"/>
  <c r="FX45"/>
  <c r="FY45"/>
  <c r="FZ45"/>
  <c r="GA45"/>
  <c r="GB45"/>
  <c r="GC45"/>
  <c r="GD45"/>
  <c r="GE45"/>
  <c r="GF45"/>
  <c r="GF10"/>
  <c r="GF11"/>
  <c r="GF12"/>
  <c r="GF13"/>
  <c r="GF14"/>
  <c r="GF15"/>
  <c r="GF16"/>
  <c r="GF17"/>
  <c r="GF18"/>
  <c r="GF19"/>
  <c r="GF20"/>
  <c r="GF21"/>
  <c r="GF22"/>
  <c r="GF23"/>
  <c r="GF24"/>
  <c r="GF25"/>
  <c r="GF26"/>
  <c r="GF27"/>
  <c r="GF28"/>
  <c r="GF29"/>
  <c r="GF30"/>
  <c r="GF31"/>
  <c r="GF32"/>
  <c r="GF33"/>
  <c r="GF34"/>
  <c r="GF35"/>
  <c r="GF36"/>
  <c r="GF37"/>
  <c r="GF38"/>
  <c r="GF39"/>
  <c r="GF40"/>
  <c r="GF41"/>
  <c r="GF42"/>
  <c r="GF43"/>
  <c r="GF46"/>
  <c r="GF47"/>
  <c r="GG45"/>
  <c r="GH45"/>
  <c r="GH10"/>
  <c r="GH11"/>
  <c r="GH12"/>
  <c r="GH13"/>
  <c r="GH14"/>
  <c r="GH15"/>
  <c r="GH16"/>
  <c r="GH17"/>
  <c r="GH18"/>
  <c r="GH19"/>
  <c r="GH20"/>
  <c r="GH21"/>
  <c r="GH22"/>
  <c r="GH23"/>
  <c r="GH24"/>
  <c r="GH25"/>
  <c r="GH26"/>
  <c r="GH27"/>
  <c r="GH28"/>
  <c r="GH29"/>
  <c r="GH30"/>
  <c r="GH31"/>
  <c r="GH32"/>
  <c r="GH33"/>
  <c r="GH34"/>
  <c r="GH35"/>
  <c r="GH36"/>
  <c r="GH37"/>
  <c r="GH38"/>
  <c r="GH39"/>
  <c r="GH40"/>
  <c r="GH41"/>
  <c r="GH42"/>
  <c r="GH43"/>
  <c r="GH46"/>
  <c r="GH47"/>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G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F63" i="8"/>
  <c r="G121" i="36"/>
  <c r="B47" i="8" s="1"/>
  <c r="P121" i="36"/>
  <c r="K47" i="8" s="1"/>
  <c r="O121" i="36"/>
  <c r="J47" i="8" s="1"/>
  <c r="N121" i="36"/>
  <c r="I47" i="8" s="1"/>
  <c r="M121" i="36"/>
  <c r="H47" i="8" s="1"/>
  <c r="L121" i="36"/>
  <c r="G47" i="8" s="1"/>
  <c r="K121" i="36"/>
  <c r="F47" i="8" s="1"/>
  <c r="J121" i="36"/>
  <c r="E47" i="8" s="1"/>
  <c r="I121" i="36"/>
  <c r="D47" i="8" s="1"/>
  <c r="H121" i="36"/>
  <c r="C47" i="8" s="1"/>
  <c r="B17"/>
  <c r="C17"/>
  <c r="D17"/>
  <c r="E17"/>
  <c r="F17"/>
  <c r="G17"/>
  <c r="H17"/>
  <c r="I17"/>
  <c r="J17"/>
  <c r="K17"/>
  <c r="L193" i="11"/>
  <c r="P16"/>
  <c r="G12"/>
  <c r="K16"/>
  <c r="G11"/>
  <c r="F16"/>
  <c r="G10"/>
  <c r="EV10" i="36"/>
  <c r="EV11"/>
  <c r="EV48" s="1"/>
  <c r="EV12"/>
  <c r="EV13"/>
  <c r="EV14"/>
  <c r="EV15"/>
  <c r="EV16"/>
  <c r="EV17"/>
  <c r="EV18"/>
  <c r="EV19"/>
  <c r="EV20"/>
  <c r="EV21"/>
  <c r="EV22"/>
  <c r="EV23"/>
  <c r="EV24"/>
  <c r="EV25"/>
  <c r="EV26"/>
  <c r="EV27"/>
  <c r="EV28"/>
  <c r="EV29"/>
  <c r="EV30"/>
  <c r="EV31"/>
  <c r="EV32"/>
  <c r="EV33"/>
  <c r="EV34"/>
  <c r="EV35"/>
  <c r="EV36"/>
  <c r="EV37"/>
  <c r="EV38"/>
  <c r="EV39"/>
  <c r="EV40"/>
  <c r="EV41"/>
  <c r="EV42"/>
  <c r="EV43"/>
  <c r="EV47"/>
  <c r="EW10"/>
  <c r="EW48" s="1"/>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48" s="1"/>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48" s="1"/>
  <c r="H89" s="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48" s="1"/>
  <c r="K89" s="1"/>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48" s="1"/>
  <c r="I92" s="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48" s="1"/>
  <c r="K92" s="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Y48" s="1"/>
  <c r="L85" s="1"/>
  <c r="FZ11"/>
  <c r="GA11"/>
  <c r="GB11"/>
  <c r="GC11"/>
  <c r="GD11"/>
  <c r="GE11"/>
  <c r="GG11"/>
  <c r="GI11"/>
  <c r="GJ11"/>
  <c r="GK11"/>
  <c r="GL11"/>
  <c r="GM11"/>
  <c r="GN11"/>
  <c r="FU12"/>
  <c r="FV12"/>
  <c r="FW12"/>
  <c r="FX12"/>
  <c r="FY12"/>
  <c r="FZ12"/>
  <c r="GA12"/>
  <c r="GB12"/>
  <c r="GC12"/>
  <c r="GD12"/>
  <c r="GE12"/>
  <c r="GG12"/>
  <c r="GI12"/>
  <c r="GJ12"/>
  <c r="GK12"/>
  <c r="GL12"/>
  <c r="GM12"/>
  <c r="GN12"/>
  <c r="FU13"/>
  <c r="FV13"/>
  <c r="FW13"/>
  <c r="FX13"/>
  <c r="FY13"/>
  <c r="FZ13"/>
  <c r="GA13"/>
  <c r="GB13"/>
  <c r="GC13"/>
  <c r="GD13"/>
  <c r="GE13"/>
  <c r="GG13"/>
  <c r="GI13"/>
  <c r="GJ13"/>
  <c r="GK13"/>
  <c r="GL13"/>
  <c r="GM13"/>
  <c r="GN13"/>
  <c r="FU14"/>
  <c r="FV14"/>
  <c r="FW14"/>
  <c r="FX14"/>
  <c r="FY14"/>
  <c r="FZ14"/>
  <c r="GA14"/>
  <c r="GB14"/>
  <c r="GC14"/>
  <c r="GD14"/>
  <c r="GE14"/>
  <c r="GG14"/>
  <c r="GI14"/>
  <c r="GJ14"/>
  <c r="GK14"/>
  <c r="GL14"/>
  <c r="GM14"/>
  <c r="GN14"/>
  <c r="FU15"/>
  <c r="FV15"/>
  <c r="FW15"/>
  <c r="FX15"/>
  <c r="FY15"/>
  <c r="FZ15"/>
  <c r="GA15"/>
  <c r="GB15"/>
  <c r="GC15"/>
  <c r="GD15"/>
  <c r="GE15"/>
  <c r="GG15"/>
  <c r="GI15"/>
  <c r="GJ15"/>
  <c r="GK15"/>
  <c r="GL15"/>
  <c r="GM15"/>
  <c r="GN15"/>
  <c r="FU16"/>
  <c r="FV16"/>
  <c r="FW16"/>
  <c r="FX16"/>
  <c r="FY16"/>
  <c r="FZ16"/>
  <c r="GA16"/>
  <c r="GB16"/>
  <c r="GC16"/>
  <c r="GD16"/>
  <c r="GE16"/>
  <c r="GG16"/>
  <c r="GI16"/>
  <c r="GJ16"/>
  <c r="GK16"/>
  <c r="GL16"/>
  <c r="GM16"/>
  <c r="GN16"/>
  <c r="FU17"/>
  <c r="FV17"/>
  <c r="FW17"/>
  <c r="FX17"/>
  <c r="FY17"/>
  <c r="FZ17"/>
  <c r="GA17"/>
  <c r="GB17"/>
  <c r="GC17"/>
  <c r="GD17"/>
  <c r="GE17"/>
  <c r="GG17"/>
  <c r="GI17"/>
  <c r="GJ17"/>
  <c r="GK17"/>
  <c r="GL17"/>
  <c r="GM17"/>
  <c r="GN17"/>
  <c r="FU18"/>
  <c r="FV18"/>
  <c r="FW18"/>
  <c r="FX18"/>
  <c r="FY18"/>
  <c r="FZ18"/>
  <c r="GA18"/>
  <c r="GB18"/>
  <c r="GC18"/>
  <c r="GD18"/>
  <c r="GE18"/>
  <c r="GG18"/>
  <c r="GI18"/>
  <c r="GJ18"/>
  <c r="GK18"/>
  <c r="GL18"/>
  <c r="GM18"/>
  <c r="GN18"/>
  <c r="FU19"/>
  <c r="FV19"/>
  <c r="FW19"/>
  <c r="FX19"/>
  <c r="FY19"/>
  <c r="FZ19"/>
  <c r="GA19"/>
  <c r="GB19"/>
  <c r="GC19"/>
  <c r="GD19"/>
  <c r="GE19"/>
  <c r="GG19"/>
  <c r="GI19"/>
  <c r="GJ19"/>
  <c r="GK19"/>
  <c r="GL19"/>
  <c r="GM19"/>
  <c r="GN19"/>
  <c r="FU20"/>
  <c r="FV20"/>
  <c r="FW20"/>
  <c r="FX20"/>
  <c r="FY20"/>
  <c r="FZ20"/>
  <c r="GA20"/>
  <c r="GB20"/>
  <c r="GC20"/>
  <c r="GD20"/>
  <c r="GE20"/>
  <c r="GG20"/>
  <c r="GI20"/>
  <c r="GJ20"/>
  <c r="GK20"/>
  <c r="GL20"/>
  <c r="GM20"/>
  <c r="GN20"/>
  <c r="FU21"/>
  <c r="FV21"/>
  <c r="FW21"/>
  <c r="FX21"/>
  <c r="FY21"/>
  <c r="FZ21"/>
  <c r="GA21"/>
  <c r="GB21"/>
  <c r="GC21"/>
  <c r="GD21"/>
  <c r="GE21"/>
  <c r="GG21"/>
  <c r="GI21"/>
  <c r="GJ21"/>
  <c r="GK21"/>
  <c r="GL21"/>
  <c r="GM21"/>
  <c r="GN21"/>
  <c r="FU22"/>
  <c r="FV22"/>
  <c r="FW22"/>
  <c r="FX22"/>
  <c r="FY22"/>
  <c r="FZ22"/>
  <c r="GA22"/>
  <c r="GB22"/>
  <c r="GC22"/>
  <c r="GD22"/>
  <c r="GE22"/>
  <c r="GG22"/>
  <c r="GI22"/>
  <c r="GJ22"/>
  <c r="GK22"/>
  <c r="GL22"/>
  <c r="GM22"/>
  <c r="GN22"/>
  <c r="FU23"/>
  <c r="FV23"/>
  <c r="FW23"/>
  <c r="FX23"/>
  <c r="FY23"/>
  <c r="FZ23"/>
  <c r="GA23"/>
  <c r="GB23"/>
  <c r="GC23"/>
  <c r="GD23"/>
  <c r="GE23"/>
  <c r="GG23"/>
  <c r="GI23"/>
  <c r="GJ23"/>
  <c r="GK23"/>
  <c r="GL23"/>
  <c r="GM23"/>
  <c r="GN23"/>
  <c r="FU24"/>
  <c r="FV24"/>
  <c r="FW24"/>
  <c r="FX24"/>
  <c r="FY24"/>
  <c r="FZ24"/>
  <c r="GA24"/>
  <c r="GB24"/>
  <c r="GC24"/>
  <c r="GD24"/>
  <c r="GE24"/>
  <c r="GG24"/>
  <c r="GI24"/>
  <c r="GJ24"/>
  <c r="GK24"/>
  <c r="GL24"/>
  <c r="GM24"/>
  <c r="GN24"/>
  <c r="FU25"/>
  <c r="FV25"/>
  <c r="FW25"/>
  <c r="FX25"/>
  <c r="FY25"/>
  <c r="FZ25"/>
  <c r="GA25"/>
  <c r="GB25"/>
  <c r="GC25"/>
  <c r="GD25"/>
  <c r="GE25"/>
  <c r="GG25"/>
  <c r="GI25"/>
  <c r="GJ25"/>
  <c r="GK25"/>
  <c r="GL25"/>
  <c r="GM25"/>
  <c r="GN25"/>
  <c r="FU26"/>
  <c r="FV26"/>
  <c r="FW26"/>
  <c r="FX26"/>
  <c r="FY26"/>
  <c r="FY10"/>
  <c r="FY27"/>
  <c r="FY28"/>
  <c r="FY29"/>
  <c r="FY30"/>
  <c r="FY31"/>
  <c r="FY32"/>
  <c r="FY33"/>
  <c r="FY34"/>
  <c r="FY35"/>
  <c r="FY36"/>
  <c r="FY37"/>
  <c r="FY38"/>
  <c r="FY39"/>
  <c r="FY40"/>
  <c r="FY41"/>
  <c r="FY42"/>
  <c r="FY43"/>
  <c r="FY47"/>
  <c r="FZ26"/>
  <c r="GA26"/>
  <c r="GB26"/>
  <c r="GC26"/>
  <c r="GD26"/>
  <c r="GD48" s="1"/>
  <c r="L86" s="1"/>
  <c r="GE26"/>
  <c r="GG26"/>
  <c r="GI26"/>
  <c r="GJ26"/>
  <c r="GK26"/>
  <c r="GL26"/>
  <c r="GL48" s="1"/>
  <c r="J88" s="1"/>
  <c r="GM26"/>
  <c r="GN26"/>
  <c r="FU27"/>
  <c r="FV27"/>
  <c r="FV48" s="1"/>
  <c r="I85" s="1"/>
  <c r="FW27"/>
  <c r="FX27"/>
  <c r="FZ27"/>
  <c r="GA27"/>
  <c r="GB27"/>
  <c r="GC27"/>
  <c r="GD27"/>
  <c r="GE27"/>
  <c r="GG27"/>
  <c r="GI27"/>
  <c r="GJ27"/>
  <c r="GK27"/>
  <c r="GK48" s="1"/>
  <c r="I88" s="1"/>
  <c r="GL27"/>
  <c r="GM27"/>
  <c r="GN27"/>
  <c r="FU28"/>
  <c r="FU48" s="1"/>
  <c r="H85" s="1"/>
  <c r="FV28"/>
  <c r="FW28"/>
  <c r="FX28"/>
  <c r="FZ28"/>
  <c r="GA28"/>
  <c r="GB28"/>
  <c r="GC28"/>
  <c r="GD28"/>
  <c r="GE28"/>
  <c r="GG28"/>
  <c r="GI28"/>
  <c r="GJ28"/>
  <c r="GK28"/>
  <c r="GL28"/>
  <c r="GM28"/>
  <c r="GN28"/>
  <c r="FU29"/>
  <c r="FV29"/>
  <c r="FW29"/>
  <c r="FX29"/>
  <c r="FZ29"/>
  <c r="GA29"/>
  <c r="GB29"/>
  <c r="GC29"/>
  <c r="GD29"/>
  <c r="GE29"/>
  <c r="GG29"/>
  <c r="GI29"/>
  <c r="GJ29"/>
  <c r="GK29"/>
  <c r="GL29"/>
  <c r="GM29"/>
  <c r="GN29"/>
  <c r="FU30"/>
  <c r="FV30"/>
  <c r="FW30"/>
  <c r="FX30"/>
  <c r="FZ30"/>
  <c r="GA30"/>
  <c r="GB30"/>
  <c r="GC30"/>
  <c r="GD30"/>
  <c r="GE30"/>
  <c r="GG30"/>
  <c r="GI30"/>
  <c r="GJ30"/>
  <c r="GK30"/>
  <c r="GL30"/>
  <c r="GM30"/>
  <c r="GN30"/>
  <c r="FU31"/>
  <c r="FV31"/>
  <c r="FW31"/>
  <c r="FX31"/>
  <c r="FZ31"/>
  <c r="GA31"/>
  <c r="GB31"/>
  <c r="GC31"/>
  <c r="GD31"/>
  <c r="GE31"/>
  <c r="GG31"/>
  <c r="GI31"/>
  <c r="GJ31"/>
  <c r="GK31"/>
  <c r="GL31"/>
  <c r="GM31"/>
  <c r="GN31"/>
  <c r="FU32"/>
  <c r="FV32"/>
  <c r="FW32"/>
  <c r="FX32"/>
  <c r="FZ32"/>
  <c r="GA32"/>
  <c r="GB32"/>
  <c r="GC32"/>
  <c r="GD32"/>
  <c r="GE32"/>
  <c r="GG32"/>
  <c r="GI32"/>
  <c r="GJ32"/>
  <c r="GK32"/>
  <c r="GL32"/>
  <c r="GM32"/>
  <c r="GN32"/>
  <c r="FU33"/>
  <c r="FV33"/>
  <c r="FW33"/>
  <c r="FX33"/>
  <c r="FZ33"/>
  <c r="GA33"/>
  <c r="GB33"/>
  <c r="GC33"/>
  <c r="GD33"/>
  <c r="GE33"/>
  <c r="GG33"/>
  <c r="GI33"/>
  <c r="GJ33"/>
  <c r="GK33"/>
  <c r="GL33"/>
  <c r="GM33"/>
  <c r="GN33"/>
  <c r="FU34"/>
  <c r="FV34"/>
  <c r="FW34"/>
  <c r="FX34"/>
  <c r="FZ34"/>
  <c r="GA34"/>
  <c r="GB34"/>
  <c r="GC34"/>
  <c r="GD34"/>
  <c r="GE34"/>
  <c r="GG34"/>
  <c r="GI34"/>
  <c r="GJ34"/>
  <c r="GK34"/>
  <c r="GL34"/>
  <c r="GM34"/>
  <c r="GN34"/>
  <c r="FU35"/>
  <c r="FV35"/>
  <c r="FW35"/>
  <c r="FX35"/>
  <c r="FZ35"/>
  <c r="GA35"/>
  <c r="GB35"/>
  <c r="GC35"/>
  <c r="GD35"/>
  <c r="GE35"/>
  <c r="GG35"/>
  <c r="GI35"/>
  <c r="GJ35"/>
  <c r="GK35"/>
  <c r="GL35"/>
  <c r="GM35"/>
  <c r="GN35"/>
  <c r="FU36"/>
  <c r="FV36"/>
  <c r="FW36"/>
  <c r="FX36"/>
  <c r="FZ36"/>
  <c r="GA36"/>
  <c r="GB36"/>
  <c r="GC36"/>
  <c r="GD36"/>
  <c r="GE36"/>
  <c r="GG36"/>
  <c r="GI36"/>
  <c r="GJ36"/>
  <c r="GK36"/>
  <c r="GL36"/>
  <c r="GM36"/>
  <c r="GN36"/>
  <c r="FU37"/>
  <c r="FV37"/>
  <c r="FW37"/>
  <c r="FX37"/>
  <c r="FZ37"/>
  <c r="GA37"/>
  <c r="GB37"/>
  <c r="GC37"/>
  <c r="GD37"/>
  <c r="GE37"/>
  <c r="GG37"/>
  <c r="GI37"/>
  <c r="GJ37"/>
  <c r="GK37"/>
  <c r="GL37"/>
  <c r="GM37"/>
  <c r="GN37"/>
  <c r="FU38"/>
  <c r="FV38"/>
  <c r="FW38"/>
  <c r="FX38"/>
  <c r="FZ38"/>
  <c r="GA38"/>
  <c r="GB38"/>
  <c r="GC38"/>
  <c r="GD38"/>
  <c r="GE38"/>
  <c r="GG38"/>
  <c r="GI38"/>
  <c r="GJ38"/>
  <c r="GK38"/>
  <c r="GL38"/>
  <c r="GM38"/>
  <c r="GN38"/>
  <c r="FU39"/>
  <c r="FV39"/>
  <c r="FW39"/>
  <c r="FX39"/>
  <c r="FZ39"/>
  <c r="GA39"/>
  <c r="GB39"/>
  <c r="GC39"/>
  <c r="GD39"/>
  <c r="GE39"/>
  <c r="GG39"/>
  <c r="GI39"/>
  <c r="GJ39"/>
  <c r="GK39"/>
  <c r="GL39"/>
  <c r="GM39"/>
  <c r="GN39"/>
  <c r="FU40"/>
  <c r="FV40"/>
  <c r="FW40"/>
  <c r="FX40"/>
  <c r="FZ40"/>
  <c r="GA40"/>
  <c r="GB40"/>
  <c r="GC40"/>
  <c r="GD40"/>
  <c r="GE40"/>
  <c r="GG40"/>
  <c r="GI40"/>
  <c r="GJ40"/>
  <c r="GK40"/>
  <c r="GL40"/>
  <c r="GM40"/>
  <c r="GN40"/>
  <c r="FU41"/>
  <c r="FV41"/>
  <c r="FW41"/>
  <c r="FX41"/>
  <c r="FZ41"/>
  <c r="GA41"/>
  <c r="GB41"/>
  <c r="GC41"/>
  <c r="GD41"/>
  <c r="GE41"/>
  <c r="GG41"/>
  <c r="GI41"/>
  <c r="GJ41"/>
  <c r="GK41"/>
  <c r="GL41"/>
  <c r="GM41"/>
  <c r="GN41"/>
  <c r="FU42"/>
  <c r="FV42"/>
  <c r="FW42"/>
  <c r="FX42"/>
  <c r="FZ42"/>
  <c r="GA42"/>
  <c r="GB42"/>
  <c r="GC42"/>
  <c r="GD42"/>
  <c r="GE42"/>
  <c r="GG42"/>
  <c r="GI42"/>
  <c r="GJ42"/>
  <c r="GK42"/>
  <c r="GL42"/>
  <c r="GM42"/>
  <c r="GN42"/>
  <c r="FU43"/>
  <c r="FV43"/>
  <c r="FW43"/>
  <c r="FX43"/>
  <c r="FZ43"/>
  <c r="GA43"/>
  <c r="GB43"/>
  <c r="GC43"/>
  <c r="GD43"/>
  <c r="GE43"/>
  <c r="GG43"/>
  <c r="GI43"/>
  <c r="GJ43"/>
  <c r="GK43"/>
  <c r="GL43"/>
  <c r="GM43"/>
  <c r="GN43"/>
  <c r="FU47"/>
  <c r="FV47"/>
  <c r="FW47"/>
  <c r="FX47"/>
  <c r="FZ47"/>
  <c r="GA47"/>
  <c r="GB47"/>
  <c r="GC47"/>
  <c r="GD47"/>
  <c r="GE47"/>
  <c r="GG47"/>
  <c r="GI47"/>
  <c r="GJ47"/>
  <c r="GK47"/>
  <c r="GL47"/>
  <c r="GM47"/>
  <c r="GN47"/>
  <c r="GJ10"/>
  <c r="GE10"/>
  <c r="FZ10"/>
  <c r="FU10"/>
  <c r="GN10"/>
  <c r="GM10"/>
  <c r="GL10"/>
  <c r="GK10"/>
  <c r="GI10"/>
  <c r="GG10"/>
  <c r="GD10"/>
  <c r="GC10"/>
  <c r="GB10"/>
  <c r="GB48" s="1"/>
  <c r="J86" s="1"/>
  <c r="GA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EA48" i="36"/>
  <c r="L76" s="1"/>
  <c r="DU48"/>
  <c r="K75" s="1"/>
  <c r="DY48"/>
  <c r="J76" s="1"/>
  <c r="DT48"/>
  <c r="J75" s="1"/>
  <c r="ED48"/>
  <c r="DS48"/>
  <c r="I75" s="1"/>
  <c r="EU48"/>
  <c r="ES48"/>
  <c r="EM48"/>
  <c r="I79" s="1"/>
  <c r="EQ48"/>
  <c r="DW48"/>
  <c r="H76"/>
  <c r="EO48"/>
  <c r="K79" s="1"/>
  <c r="EG48"/>
  <c r="H78" s="1"/>
  <c r="EH48"/>
  <c r="I78" s="1"/>
  <c r="EJ48"/>
  <c r="K78"/>
  <c r="GA48"/>
  <c r="I86" s="1"/>
  <c r="A1" i="34"/>
  <c r="A3" i="39"/>
  <c r="P123" i="15"/>
  <c r="P140" s="1"/>
  <c r="P142" s="1"/>
  <c r="P144" s="1"/>
  <c r="DH48" i="36"/>
  <c r="H73"/>
  <c r="GU48"/>
  <c r="DV48"/>
  <c r="L75" s="1"/>
  <c r="EE48"/>
  <c r="K77" s="1"/>
  <c r="DZ48"/>
  <c r="K76" s="1"/>
  <c r="DX48"/>
  <c r="I76" s="1"/>
  <c r="M76" s="1"/>
  <c r="Q76" s="1"/>
  <c r="EB48"/>
  <c r="DR48"/>
  <c r="H75" s="1"/>
  <c r="ET48"/>
  <c r="ER48"/>
  <c r="EL48"/>
  <c r="H79"/>
  <c r="CI48"/>
  <c r="DN48"/>
  <c r="DI48"/>
  <c r="I73" s="1"/>
  <c r="DK48"/>
  <c r="K73" s="1"/>
  <c r="DL48"/>
  <c r="L73" s="1"/>
  <c r="DM48"/>
  <c r="DC48"/>
  <c r="H72" s="1"/>
  <c r="BK48"/>
  <c r="I69"/>
  <c r="I70" s="1"/>
  <c r="BN48"/>
  <c r="L69" s="1"/>
  <c r="BP48"/>
  <c r="I68"/>
  <c r="FR48"/>
  <c r="J90" s="1"/>
  <c r="BE48"/>
  <c r="BI48"/>
  <c r="HB48"/>
  <c r="HJ48"/>
  <c r="FJ48"/>
  <c r="L92" s="1"/>
  <c r="FC48"/>
  <c r="J89" s="1"/>
  <c r="CJ48"/>
  <c r="HC48"/>
  <c r="GR48"/>
  <c r="GT48"/>
  <c r="DG48"/>
  <c r="L72" s="1"/>
  <c r="DP48"/>
  <c r="DF48"/>
  <c r="K72" s="1"/>
  <c r="K74" s="1"/>
  <c r="DE48"/>
  <c r="J72" s="1"/>
  <c r="CZ48"/>
  <c r="J99" s="1"/>
  <c r="BF48"/>
  <c r="BH48"/>
  <c r="BS48"/>
  <c r="L68"/>
  <c r="FS48"/>
  <c r="K90" s="1"/>
  <c r="HA48"/>
  <c r="HG48"/>
  <c r="GP48"/>
  <c r="GV48"/>
  <c r="K80"/>
  <c r="BO48"/>
  <c r="H68"/>
  <c r="BQ48"/>
  <c r="J68"/>
  <c r="F62" i="8"/>
  <c r="FZ48" i="36"/>
  <c r="H86" s="1"/>
  <c r="A1" i="11"/>
  <c r="A1" i="18"/>
  <c r="A1" i="15"/>
  <c r="V1" s="1"/>
  <c r="A1" i="8"/>
  <c r="M1" s="1"/>
  <c r="A1" i="6"/>
  <c r="A58" i="26"/>
  <c r="G58"/>
  <c r="A1" i="25"/>
  <c r="I3" i="29"/>
  <c r="A1" i="36"/>
  <c r="T1" s="1"/>
  <c r="A1" i="3"/>
  <c r="S1" s="1"/>
  <c r="A50" i="25"/>
  <c r="A1" i="29"/>
  <c r="A1" i="26"/>
  <c r="A3" i="37"/>
  <c r="A3" i="38"/>
  <c r="D33" i="8"/>
  <c r="J62"/>
  <c r="D34"/>
  <c r="H94"/>
  <c r="N6" i="36"/>
  <c r="P6"/>
  <c r="B62" i="8" l="1"/>
  <c r="J93"/>
  <c r="J94"/>
  <c r="C70"/>
  <c r="Q10" i="36"/>
  <c r="H34" i="8"/>
  <c r="D94"/>
  <c r="H32"/>
  <c r="H33"/>
  <c r="D93"/>
  <c r="Q11" i="36"/>
  <c r="Q15"/>
  <c r="S123" i="15"/>
  <c r="F107"/>
  <c r="F108"/>
  <c r="B39"/>
  <c r="F35"/>
  <c r="L278" i="11"/>
  <c r="P218"/>
  <c r="J123" i="15"/>
  <c r="J140" s="1"/>
  <c r="J142" s="1"/>
  <c r="J144" s="1"/>
  <c r="L26" i="3"/>
  <c r="L27" s="1"/>
  <c r="R218" i="11"/>
  <c r="D29" i="8"/>
  <c r="B59"/>
  <c r="E29"/>
  <c r="I29"/>
  <c r="K29"/>
  <c r="M73" i="36"/>
  <c r="Q73" s="1"/>
  <c r="L74"/>
  <c r="L70"/>
  <c r="M75"/>
  <c r="Q75" s="1"/>
  <c r="H77"/>
  <c r="M85"/>
  <c r="I84"/>
  <c r="M65"/>
  <c r="M97"/>
  <c r="M99"/>
  <c r="H96"/>
  <c r="J80"/>
  <c r="FF48"/>
  <c r="H92" s="1"/>
  <c r="HF48"/>
  <c r="HM48"/>
  <c r="BD48"/>
  <c r="L64" s="1"/>
  <c r="L66" s="1"/>
  <c r="AZ48"/>
  <c r="H64" s="1"/>
  <c r="AV48"/>
  <c r="I65" s="1"/>
  <c r="L48"/>
  <c r="L49" s="1"/>
  <c r="BZ48"/>
  <c r="I94" s="1"/>
  <c r="I96" s="1"/>
  <c r="I98" s="1"/>
  <c r="I100" s="1"/>
  <c r="CD48"/>
  <c r="H95" s="1"/>
  <c r="J154" i="15"/>
  <c r="J155" s="1"/>
  <c r="J157" s="1"/>
  <c r="J159" s="1"/>
  <c r="H74" i="36"/>
  <c r="J77"/>
  <c r="FW48"/>
  <c r="J85" s="1"/>
  <c r="J84" s="1"/>
  <c r="GC48"/>
  <c r="K86" s="1"/>
  <c r="M86" s="1"/>
  <c r="GG48"/>
  <c r="J87" s="1"/>
  <c r="GM48"/>
  <c r="K88" s="1"/>
  <c r="GE48"/>
  <c r="H87" s="1"/>
  <c r="H84" s="1"/>
  <c r="GI48"/>
  <c r="L87" s="1"/>
  <c r="L84" s="1"/>
  <c r="FQ48"/>
  <c r="I90" s="1"/>
  <c r="FP48"/>
  <c r="H90" s="1"/>
  <c r="M90" s="1"/>
  <c r="Q90" s="1"/>
  <c r="CK48"/>
  <c r="HH48"/>
  <c r="GW48"/>
  <c r="DD48"/>
  <c r="I72" s="1"/>
  <c r="I74" s="1"/>
  <c r="EC48"/>
  <c r="I77" s="1"/>
  <c r="EK48"/>
  <c r="L78" s="1"/>
  <c r="EI48"/>
  <c r="J78" s="1"/>
  <c r="M78" s="1"/>
  <c r="Q78" s="1"/>
  <c r="BJ48"/>
  <c r="H69" s="1"/>
  <c r="M69" s="1"/>
  <c r="Q69" s="1"/>
  <c r="BM48"/>
  <c r="K69" s="1"/>
  <c r="M123" i="15"/>
  <c r="M140" s="1"/>
  <c r="M142" s="1"/>
  <c r="M144" s="1"/>
  <c r="Q16" i="36"/>
  <c r="F42" i="15"/>
  <c r="H80" i="36"/>
  <c r="FX48"/>
  <c r="K85" s="1"/>
  <c r="FT48"/>
  <c r="L90" s="1"/>
  <c r="I80"/>
  <c r="GN48"/>
  <c r="L88" s="1"/>
  <c r="GJ48"/>
  <c r="H88" s="1"/>
  <c r="FH48"/>
  <c r="J92" s="1"/>
  <c r="FB48"/>
  <c r="I89" s="1"/>
  <c r="M89" s="1"/>
  <c r="GF48"/>
  <c r="I87" s="1"/>
  <c r="HD48"/>
  <c r="I66"/>
  <c r="BB48"/>
  <c r="J64" s="1"/>
  <c r="J66" s="1"/>
  <c r="AX48"/>
  <c r="K65" s="1"/>
  <c r="K66" s="1"/>
  <c r="CH48"/>
  <c r="L95" s="1"/>
  <c r="L96" s="1"/>
  <c r="L98" s="1"/>
  <c r="L100" s="1"/>
  <c r="FO48"/>
  <c r="L91" s="1"/>
  <c r="FN48"/>
  <c r="K91" s="1"/>
  <c r="FK48"/>
  <c r="H91" s="1"/>
  <c r="EY48"/>
  <c r="GH48"/>
  <c r="K87" s="1"/>
  <c r="CL48"/>
  <c r="CW48"/>
  <c r="CT48"/>
  <c r="A48"/>
  <c r="A7" s="1"/>
  <c r="GY48"/>
  <c r="GS48"/>
  <c r="GX48"/>
  <c r="DO48"/>
  <c r="J74" s="1"/>
  <c r="EP48"/>
  <c r="L79" s="1"/>
  <c r="L80" s="1"/>
  <c r="EN48"/>
  <c r="J79" s="1"/>
  <c r="M79" s="1"/>
  <c r="Q79" s="1"/>
  <c r="BG48"/>
  <c r="BL48"/>
  <c r="J69" s="1"/>
  <c r="J70" s="1"/>
  <c r="BR48"/>
  <c r="K68" s="1"/>
  <c r="Q14"/>
  <c r="CB48"/>
  <c r="K94" s="1"/>
  <c r="K96" s="1"/>
  <c r="K98" s="1"/>
  <c r="K100" s="1"/>
  <c r="CF48"/>
  <c r="J95" s="1"/>
  <c r="J96" s="1"/>
  <c r="J98" s="1"/>
  <c r="J100" s="1"/>
  <c r="D40" i="8"/>
  <c r="AE48" i="36"/>
  <c r="L57" s="1"/>
  <c r="L58" s="1"/>
  <c r="L60" s="1"/>
  <c r="L62" s="1"/>
  <c r="K86" i="8"/>
  <c r="I86"/>
  <c r="G86"/>
  <c r="E86"/>
  <c r="C86"/>
  <c r="I84"/>
  <c r="E84"/>
  <c r="K54"/>
  <c r="G54"/>
  <c r="C54"/>
  <c r="I24"/>
  <c r="E24"/>
  <c r="K84"/>
  <c r="G84"/>
  <c r="C84"/>
  <c r="C93" s="1"/>
  <c r="I54"/>
  <c r="E54"/>
  <c r="K24"/>
  <c r="G24"/>
  <c r="C24"/>
  <c r="O242" i="11"/>
  <c r="P264"/>
  <c r="P273"/>
  <c r="BX48" i="36"/>
  <c r="L61" s="1"/>
  <c r="BW48"/>
  <c r="K61" s="1"/>
  <c r="AL48"/>
  <c r="I59" s="1"/>
  <c r="V48"/>
  <c r="H56" s="1"/>
  <c r="B23" i="8"/>
  <c r="F23"/>
  <c r="J23"/>
  <c r="D53"/>
  <c r="H53"/>
  <c r="B83"/>
  <c r="F83"/>
  <c r="C100"/>
  <c r="D59"/>
  <c r="J29"/>
  <c r="F29"/>
  <c r="B29"/>
  <c r="C59"/>
  <c r="H29"/>
  <c r="C29"/>
  <c r="O264" i="11"/>
  <c r="O273"/>
  <c r="AO48" i="36"/>
  <c r="L59" s="1"/>
  <c r="BV48"/>
  <c r="J61" s="1"/>
  <c r="M61" s="1"/>
  <c r="AC48"/>
  <c r="J57" s="1"/>
  <c r="J58" s="1"/>
  <c r="W48"/>
  <c r="I56" s="1"/>
  <c r="I58" s="1"/>
  <c r="I60" s="1"/>
  <c r="I62" s="1"/>
  <c r="G29" i="8"/>
  <c r="P242" i="11"/>
  <c r="G123" i="15"/>
  <c r="K58" i="36"/>
  <c r="K60" s="1"/>
  <c r="K62" s="1"/>
  <c r="AA48"/>
  <c r="H57" s="1"/>
  <c r="AM48"/>
  <c r="J59" s="1"/>
  <c r="AB48"/>
  <c r="I57" s="1"/>
  <c r="D70" i="8" l="1"/>
  <c r="Q89" i="36"/>
  <c r="K70"/>
  <c r="M68"/>
  <c r="Q68" s="1"/>
  <c r="M80"/>
  <c r="B14" i="8"/>
  <c r="G104" i="36"/>
  <c r="M96"/>
  <c r="H98"/>
  <c r="I213" i="11"/>
  <c r="H50" i="3"/>
  <c r="J282" i="11"/>
  <c r="F92" i="8"/>
  <c r="F94"/>
  <c r="F93"/>
  <c r="J33"/>
  <c r="J34"/>
  <c r="J32"/>
  <c r="M59" i="36"/>
  <c r="C34" i="8"/>
  <c r="C33"/>
  <c r="C32"/>
  <c r="I62"/>
  <c r="I63"/>
  <c r="I64"/>
  <c r="E32"/>
  <c r="E33"/>
  <c r="E34"/>
  <c r="K64"/>
  <c r="K63"/>
  <c r="K62"/>
  <c r="I94"/>
  <c r="E40"/>
  <c r="H70" i="36"/>
  <c r="M74"/>
  <c r="M95"/>
  <c r="Q95" s="1"/>
  <c r="P50" i="7"/>
  <c r="Q97" i="36"/>
  <c r="H54" i="7"/>
  <c r="Q61" i="36"/>
  <c r="O263" i="11"/>
  <c r="B41" i="8"/>
  <c r="D100"/>
  <c r="D63"/>
  <c r="D62"/>
  <c r="D64"/>
  <c r="H58" i="36"/>
  <c r="M56"/>
  <c r="P263" i="11"/>
  <c r="E62" i="8"/>
  <c r="E63"/>
  <c r="E64"/>
  <c r="K93"/>
  <c r="K92"/>
  <c r="G64"/>
  <c r="G63"/>
  <c r="G62"/>
  <c r="G94"/>
  <c r="B92"/>
  <c r="B93"/>
  <c r="B94"/>
  <c r="F34"/>
  <c r="F33"/>
  <c r="F32"/>
  <c r="G32"/>
  <c r="G34"/>
  <c r="G33"/>
  <c r="C92"/>
  <c r="I33"/>
  <c r="I32"/>
  <c r="I34"/>
  <c r="E92"/>
  <c r="E93"/>
  <c r="C94"/>
  <c r="K94"/>
  <c r="M88" i="36"/>
  <c r="M64"/>
  <c r="H66"/>
  <c r="M66" s="1"/>
  <c r="Q66" s="1"/>
  <c r="P52" i="7"/>
  <c r="Q99" i="36"/>
  <c r="I50" i="7"/>
  <c r="Q65" i="36"/>
  <c r="M57"/>
  <c r="J60"/>
  <c r="J62" s="1"/>
  <c r="H62" i="8"/>
  <c r="H64"/>
  <c r="H63"/>
  <c r="B36"/>
  <c r="B33"/>
  <c r="B34"/>
  <c r="B32"/>
  <c r="K34"/>
  <c r="K32"/>
  <c r="K33"/>
  <c r="G93"/>
  <c r="G92"/>
  <c r="C62"/>
  <c r="C64"/>
  <c r="C63"/>
  <c r="I92"/>
  <c r="I93"/>
  <c r="E94"/>
  <c r="M91" i="36"/>
  <c r="Q91" s="1"/>
  <c r="K84"/>
  <c r="M84" s="1"/>
  <c r="Q84" s="1"/>
  <c r="M87"/>
  <c r="M92"/>
  <c r="Q92" s="1"/>
  <c r="M94"/>
  <c r="Q94" s="1"/>
  <c r="M72"/>
  <c r="Q72" s="1"/>
  <c r="M77"/>
  <c r="E70" i="8" l="1"/>
  <c r="C41"/>
  <c r="D41" s="1"/>
  <c r="F44" i="7"/>
  <c r="Q77" i="36"/>
  <c r="Q74"/>
  <c r="J177" i="11"/>
  <c r="L177" s="1"/>
  <c r="F42" i="7"/>
  <c r="Q57" i="36"/>
  <c r="H50" i="7"/>
  <c r="I51"/>
  <c r="Q64" i="36"/>
  <c r="O42" i="3"/>
  <c r="O41"/>
  <c r="H51"/>
  <c r="O104" i="36"/>
  <c r="Q80"/>
  <c r="F45" i="7"/>
  <c r="C36" i="8"/>
  <c r="H51" i="7"/>
  <c r="Q56" i="36"/>
  <c r="E100" i="8"/>
  <c r="L214" i="11"/>
  <c r="I214"/>
  <c r="D74" i="8"/>
  <c r="J74"/>
  <c r="F14"/>
  <c r="G14"/>
  <c r="K44"/>
  <c r="C44"/>
  <c r="B15"/>
  <c r="B16" s="1"/>
  <c r="K74"/>
  <c r="G74"/>
  <c r="C74"/>
  <c r="E74"/>
  <c r="G44"/>
  <c r="J44"/>
  <c r="J14"/>
  <c r="B74"/>
  <c r="D44"/>
  <c r="I44"/>
  <c r="E44"/>
  <c r="K14"/>
  <c r="H74"/>
  <c r="H44"/>
  <c r="H14"/>
  <c r="D14"/>
  <c r="B44"/>
  <c r="F74"/>
  <c r="C14"/>
  <c r="I14"/>
  <c r="E14"/>
  <c r="F44"/>
  <c r="I74"/>
  <c r="Q59" i="36"/>
  <c r="H52" i="7"/>
  <c r="Q96" i="36"/>
  <c r="P49" i="7"/>
  <c r="P51" s="1"/>
  <c r="P53" s="1"/>
  <c r="P58" s="1"/>
  <c r="M70" i="36"/>
  <c r="Q70" s="1"/>
  <c r="F40" i="8"/>
  <c r="H60" i="36"/>
  <c r="M58"/>
  <c r="M98"/>
  <c r="Q98" s="1"/>
  <c r="H100"/>
  <c r="M100" s="1"/>
  <c r="F70" i="8" l="1"/>
  <c r="K5"/>
  <c r="B20"/>
  <c r="K6"/>
  <c r="O201" i="11"/>
  <c r="P201"/>
  <c r="F100" i="8"/>
  <c r="D36"/>
  <c r="H49" i="7"/>
  <c r="H53" s="1"/>
  <c r="H55" s="1"/>
  <c r="Q100" i="36"/>
  <c r="D39" i="15"/>
  <c r="M125"/>
  <c r="H62" i="36"/>
  <c r="M60"/>
  <c r="M145" i="15"/>
  <c r="M146" s="1"/>
  <c r="M148" s="1"/>
  <c r="Q58" i="36"/>
  <c r="P145" i="15"/>
  <c r="P146" s="1"/>
  <c r="P148" s="1"/>
  <c r="J145"/>
  <c r="J146" s="1"/>
  <c r="J148" s="1"/>
  <c r="E41" i="8"/>
  <c r="G40"/>
  <c r="F45"/>
  <c r="H75"/>
  <c r="H45"/>
  <c r="J15"/>
  <c r="B75"/>
  <c r="G75"/>
  <c r="I45"/>
  <c r="E75"/>
  <c r="E76" s="1"/>
  <c r="E80" s="1"/>
  <c r="I15"/>
  <c r="I16" s="1"/>
  <c r="H15"/>
  <c r="D75"/>
  <c r="J75"/>
  <c r="I75"/>
  <c r="I76" s="1"/>
  <c r="K45"/>
  <c r="K75"/>
  <c r="K76" s="1"/>
  <c r="C75"/>
  <c r="C76" s="1"/>
  <c r="G45"/>
  <c r="G46" s="1"/>
  <c r="C45"/>
  <c r="C46" s="1"/>
  <c r="C50" s="1"/>
  <c r="B45"/>
  <c r="F75"/>
  <c r="F76" s="1"/>
  <c r="F15"/>
  <c r="C15"/>
  <c r="C16" s="1"/>
  <c r="E15"/>
  <c r="E16" s="1"/>
  <c r="J45"/>
  <c r="J46" s="1"/>
  <c r="D45"/>
  <c r="D46" s="1"/>
  <c r="D50" s="1"/>
  <c r="E45"/>
  <c r="K15"/>
  <c r="K16" s="1"/>
  <c r="G15"/>
  <c r="D15"/>
  <c r="D16" s="1"/>
  <c r="O43" i="3"/>
  <c r="G70" i="8" l="1"/>
  <c r="J149" i="15"/>
  <c r="J161" s="1"/>
  <c r="G50" i="8"/>
  <c r="G16"/>
  <c r="G20" s="1"/>
  <c r="D20"/>
  <c r="F16"/>
  <c r="F20" s="1"/>
  <c r="I80"/>
  <c r="I20"/>
  <c r="J50"/>
  <c r="F80"/>
  <c r="C80"/>
  <c r="F41"/>
  <c r="P193" i="11"/>
  <c r="H46" i="8"/>
  <c r="H50" s="1"/>
  <c r="H76"/>
  <c r="H80" s="1"/>
  <c r="H40"/>
  <c r="J165" i="15"/>
  <c r="M163"/>
  <c r="J76" i="8"/>
  <c r="F46"/>
  <c r="F50" s="1"/>
  <c r="J16"/>
  <c r="J20" s="1"/>
  <c r="C20"/>
  <c r="P140" i="7"/>
  <c r="L31" i="11"/>
  <c r="P141" i="7"/>
  <c r="L32" i="11"/>
  <c r="Q60" i="36"/>
  <c r="E36" i="8"/>
  <c r="K46"/>
  <c r="K50" s="1"/>
  <c r="K80"/>
  <c r="B76"/>
  <c r="B80" s="1"/>
  <c r="K20"/>
  <c r="E20"/>
  <c r="G76"/>
  <c r="I46"/>
  <c r="I50" s="1"/>
  <c r="H16"/>
  <c r="P147" i="36"/>
  <c r="D76" i="8"/>
  <c r="B46"/>
  <c r="O193" i="11"/>
  <c r="K7" i="8"/>
  <c r="E46"/>
  <c r="M62" i="36"/>
  <c r="R11" i="24"/>
  <c r="D125" i="15" s="1"/>
  <c r="R12" i="24"/>
  <c r="R13"/>
  <c r="G100" i="8"/>
  <c r="H70" l="1"/>
  <c r="H100"/>
  <c r="M151" i="15"/>
  <c r="J152"/>
  <c r="H20" i="8"/>
  <c r="N148" i="36"/>
  <c r="N149"/>
  <c r="P157"/>
  <c r="J157"/>
  <c r="J159"/>
  <c r="J158"/>
  <c r="Q62"/>
  <c r="Q53" s="1"/>
  <c r="P160"/>
  <c r="B21" i="8" s="1"/>
  <c r="P69" i="7"/>
  <c r="P67"/>
  <c r="D38" i="15"/>
  <c r="F115"/>
  <c r="P71" i="7"/>
  <c r="G125" i="15"/>
  <c r="E93"/>
  <c r="I40" i="8"/>
  <c r="G80"/>
  <c r="D80"/>
  <c r="G41"/>
  <c r="E50"/>
  <c r="B50"/>
  <c r="F36"/>
  <c r="O30" i="11"/>
  <c r="P30"/>
  <c r="J40" i="3"/>
  <c r="L40" s="1"/>
  <c r="J6" i="7"/>
  <c r="J41" i="3"/>
  <c r="L41" s="1"/>
  <c r="E92" i="15"/>
  <c r="J80" i="8"/>
  <c r="I70" l="1"/>
  <c r="N157" i="36"/>
  <c r="B19" i="8"/>
  <c r="P165" i="36"/>
  <c r="P291" i="11"/>
  <c r="G36" i="8"/>
  <c r="I100"/>
  <c r="L30" i="11"/>
  <c r="R30"/>
  <c r="O291"/>
  <c r="J40" i="8"/>
  <c r="H41"/>
  <c r="J81"/>
  <c r="I81"/>
  <c r="H81"/>
  <c r="G81"/>
  <c r="F81"/>
  <c r="E81"/>
  <c r="D81"/>
  <c r="C81"/>
  <c r="B81"/>
  <c r="K51"/>
  <c r="J51"/>
  <c r="I51"/>
  <c r="H51"/>
  <c r="G51"/>
  <c r="F51"/>
  <c r="E51"/>
  <c r="D51"/>
  <c r="C51"/>
  <c r="B51"/>
  <c r="K21"/>
  <c r="G21"/>
  <c r="C21"/>
  <c r="J21"/>
  <c r="I21"/>
  <c r="K81"/>
  <c r="H21"/>
  <c r="F21"/>
  <c r="E21"/>
  <c r="D21"/>
  <c r="J70" l="1"/>
  <c r="J100"/>
  <c r="O292" i="11"/>
  <c r="O6"/>
  <c r="H36" i="8"/>
  <c r="I41"/>
  <c r="K49"/>
  <c r="J49"/>
  <c r="I49"/>
  <c r="H49"/>
  <c r="G49"/>
  <c r="F49"/>
  <c r="E49"/>
  <c r="D49"/>
  <c r="C49"/>
  <c r="B49"/>
  <c r="K19"/>
  <c r="G19"/>
  <c r="C19"/>
  <c r="J19"/>
  <c r="I19"/>
  <c r="K79"/>
  <c r="J79"/>
  <c r="I79"/>
  <c r="H79"/>
  <c r="G79"/>
  <c r="F79"/>
  <c r="E79"/>
  <c r="D79"/>
  <c r="C79"/>
  <c r="B79"/>
  <c r="H19"/>
  <c r="H22" s="1"/>
  <c r="F19"/>
  <c r="E19"/>
  <c r="D19"/>
  <c r="B22"/>
  <c r="B35"/>
  <c r="K40"/>
  <c r="P292" i="11"/>
  <c r="P6"/>
  <c r="K70" i="8" l="1"/>
  <c r="E22"/>
  <c r="E35"/>
  <c r="G82"/>
  <c r="G95"/>
  <c r="C22"/>
  <c r="C35"/>
  <c r="C65"/>
  <c r="C52"/>
  <c r="K65"/>
  <c r="K52"/>
  <c r="D82"/>
  <c r="D95"/>
  <c r="I22"/>
  <c r="I35"/>
  <c r="D65"/>
  <c r="D52"/>
  <c r="I36"/>
  <c r="K100"/>
  <c r="B30"/>
  <c r="B31"/>
  <c r="H35"/>
  <c r="E95"/>
  <c r="E82"/>
  <c r="I95"/>
  <c r="I82"/>
  <c r="K22"/>
  <c r="K35"/>
  <c r="E52"/>
  <c r="E65"/>
  <c r="I52"/>
  <c r="I65"/>
  <c r="C82"/>
  <c r="C95"/>
  <c r="K82"/>
  <c r="K95"/>
  <c r="G52"/>
  <c r="G65"/>
  <c r="F22"/>
  <c r="F35"/>
  <c r="H95"/>
  <c r="H82"/>
  <c r="G22"/>
  <c r="G35"/>
  <c r="H52"/>
  <c r="H65"/>
  <c r="H31"/>
  <c r="H30"/>
  <c r="D22"/>
  <c r="D35"/>
  <c r="B82"/>
  <c r="B95"/>
  <c r="F82"/>
  <c r="F95"/>
  <c r="J82"/>
  <c r="J95"/>
  <c r="J22"/>
  <c r="J35"/>
  <c r="B65"/>
  <c r="F65"/>
  <c r="F52"/>
  <c r="J52"/>
  <c r="J65"/>
  <c r="B52"/>
  <c r="J41"/>
  <c r="B60" l="1"/>
  <c r="B61"/>
  <c r="F61"/>
  <c r="F91"/>
  <c r="H91"/>
  <c r="F30"/>
  <c r="F31"/>
  <c r="E61"/>
  <c r="D91"/>
  <c r="G91"/>
  <c r="J91"/>
  <c r="C91"/>
  <c r="I61"/>
  <c r="D61"/>
  <c r="I31"/>
  <c r="I30"/>
  <c r="C61"/>
  <c r="C60"/>
  <c r="C31"/>
  <c r="C30"/>
  <c r="K41"/>
  <c r="J61"/>
  <c r="J30"/>
  <c r="J31"/>
  <c r="D31"/>
  <c r="D30"/>
  <c r="G31"/>
  <c r="G30"/>
  <c r="K91"/>
  <c r="E91"/>
  <c r="K61"/>
  <c r="B91"/>
  <c r="H61"/>
  <c r="G61"/>
  <c r="K31"/>
  <c r="K30"/>
  <c r="I91"/>
  <c r="J36"/>
  <c r="E30"/>
  <c r="E31"/>
  <c r="K36" l="1"/>
  <c r="B71"/>
  <c r="D60" l="1"/>
  <c r="B66"/>
  <c r="C71"/>
  <c r="E60" l="1"/>
  <c r="C66"/>
  <c r="D71"/>
  <c r="F60" l="1"/>
  <c r="D66"/>
  <c r="E71"/>
  <c r="G60" l="1"/>
  <c r="E66"/>
  <c r="F71"/>
  <c r="H60" l="1"/>
  <c r="G71"/>
  <c r="F66"/>
  <c r="I60" l="1"/>
  <c r="H71"/>
  <c r="G66"/>
  <c r="J60" l="1"/>
  <c r="I71"/>
  <c r="H66"/>
  <c r="K60" l="1"/>
  <c r="I66"/>
  <c r="J71"/>
  <c r="B90" l="1"/>
  <c r="K71"/>
  <c r="J66"/>
  <c r="C90" l="1"/>
  <c r="K66"/>
  <c r="B101"/>
  <c r="D90" l="1"/>
  <c r="B96"/>
  <c r="C101"/>
  <c r="E90" l="1"/>
  <c r="D101"/>
  <c r="C96"/>
  <c r="F90" l="1"/>
  <c r="E101"/>
  <c r="D96"/>
  <c r="G90" l="1"/>
  <c r="E96"/>
  <c r="F101"/>
  <c r="H90" l="1"/>
  <c r="F96"/>
  <c r="G101"/>
  <c r="I90" l="1"/>
  <c r="G96"/>
  <c r="H101"/>
  <c r="J90" l="1"/>
  <c r="H96"/>
  <c r="I101"/>
  <c r="K90" l="1"/>
  <c r="I96"/>
  <c r="J101"/>
  <c r="K101" l="1"/>
  <c r="J96"/>
  <c r="K96" l="1"/>
</calcChain>
</file>

<file path=xl/sharedStrings.xml><?xml version="1.0" encoding="utf-8"?>
<sst xmlns="http://schemas.openxmlformats.org/spreadsheetml/2006/main" count="7851" uniqueCount="4082">
  <si>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</si>
  <si>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</si>
  <si>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</si>
  <si>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</si>
  <si>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</si>
  <si>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</si>
  <si>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</si>
  <si>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</si>
  <si>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</si>
  <si>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</si>
  <si>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</si>
  <si>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</si>
  <si>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</si>
  <si>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</si>
  <si>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</si>
  <si>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</si>
  <si>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</si>
  <si>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</si>
  <si>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</si>
  <si>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</si>
  <si>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</si>
  <si>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</si>
  <si>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</si>
  <si>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</si>
  <si>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</si>
  <si>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</si>
  <si>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</si>
  <si>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</si>
  <si>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</si>
  <si>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</si>
  <si>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</si>
  <si>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</si>
  <si>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</si>
  <si>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</si>
  <si>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</si>
  <si>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</si>
  <si>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</si>
  <si>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</si>
  <si>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</si>
  <si>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</si>
  <si>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</si>
  <si>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</si>
  <si>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</si>
  <si>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</si>
  <si>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</si>
  <si>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</si>
  <si>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</si>
  <si>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</si>
  <si>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</si>
  <si>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</si>
  <si>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</si>
  <si>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</si>
  <si>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</si>
  <si>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</si>
  <si>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</si>
  <si>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</si>
  <si>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</si>
  <si>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</si>
  <si>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</si>
  <si>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</si>
  <si>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</si>
  <si>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</si>
  <si>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</si>
  <si>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</si>
  <si>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</si>
  <si>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</si>
  <si>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</si>
  <si>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</si>
  <si>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</si>
  <si>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</si>
  <si>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</si>
  <si>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</si>
  <si>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</si>
  <si>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</si>
  <si>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</si>
  <si>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</si>
  <si>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</si>
  <si>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</si>
  <si>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</si>
  <si>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</si>
  <si>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</si>
  <si>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</si>
  <si>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</si>
  <si>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</si>
  <si>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</si>
  <si>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</si>
  <si>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</si>
  <si>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</si>
  <si>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</si>
  <si>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</si>
  <si>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</si>
  <si>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</si>
  <si>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</si>
  <si>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</si>
  <si>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</si>
  <si>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</si>
  <si>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</si>
  <si>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</si>
  <si>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</si>
  <si>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</si>
  <si>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</si>
  <si>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</si>
  <si>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</si>
  <si>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</si>
  <si>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</si>
  <si>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</si>
  <si>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</si>
  <si>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</si>
  <si>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</si>
  <si>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</si>
  <si>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</si>
  <si>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</si>
  <si>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</si>
  <si>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</si>
  <si>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</si>
  <si>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</si>
  <si>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</si>
  <si>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</si>
  <si>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</si>
  <si>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</si>
  <si>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</si>
  <si>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</si>
  <si>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</si>
  <si>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</si>
  <si>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</si>
  <si>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</si>
  <si>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</si>
  <si>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</si>
  <si>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</si>
  <si>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</si>
  <si>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</si>
  <si>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</si>
  <si>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</si>
  <si>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</si>
  <si>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</si>
  <si>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</si>
  <si>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</si>
  <si>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</si>
  <si>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</si>
  <si>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</si>
  <si>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</si>
  <si>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</si>
  <si>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</si>
  <si>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</si>
  <si>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</si>
  <si>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</si>
  <si>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</si>
  <si>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</si>
  <si>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</si>
  <si>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</si>
  <si>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</si>
  <si>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</si>
  <si>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</si>
  <si>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</si>
  <si>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</si>
  <si>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</si>
  <si>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</si>
  <si>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</si>
  <si>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</si>
  <si>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</si>
  <si>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</si>
  <si>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</si>
  <si>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</si>
  <si>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</si>
  <si>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</si>
  <si>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</si>
  <si>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</si>
  <si>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</si>
  <si>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</si>
  <si>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</si>
  <si>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</si>
  <si>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</si>
  <si>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</si>
  <si>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</si>
  <si>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</si>
  <si>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</si>
  <si>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</si>
  <si>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</si>
  <si>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</si>
  <si>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</si>
  <si>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</si>
  <si>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</si>
  <si>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</si>
  <si>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</si>
  <si>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</si>
  <si>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</si>
  <si>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</si>
  <si>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</si>
  <si>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</si>
  <si>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</si>
  <si>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</si>
  <si>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</si>
  <si>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</si>
  <si>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</si>
  <si>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</si>
  <si>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</si>
  <si>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</si>
  <si>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</si>
  <si>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</si>
  <si>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</si>
  <si>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</si>
  <si>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</si>
  <si>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</si>
  <si>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</si>
  <si>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</si>
  <si>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</si>
  <si>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</si>
  <si>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</si>
  <si>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</si>
  <si>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</si>
  <si>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</si>
  <si>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</si>
  <si>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</si>
  <si>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</si>
  <si>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</si>
  <si>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</si>
  <si>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</si>
  <si>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</si>
  <si>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</si>
  <si>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</si>
  <si>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</si>
  <si>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</si>
  <si>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</si>
  <si>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</si>
  <si>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</si>
  <si>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</si>
  <si>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</si>
  <si>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</si>
  <si>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</si>
  <si>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</si>
  <si>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</si>
  <si>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</si>
  <si>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</si>
  <si>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</si>
  <si>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</si>
  <si>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</si>
  <si>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</si>
  <si>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</si>
  <si>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</si>
  <si>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</si>
  <si>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</si>
  <si>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</si>
  <si>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</si>
  <si>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</si>
  <si>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</si>
  <si>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</si>
  <si>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</si>
  <si>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</si>
  <si>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</si>
  <si>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</si>
  <si>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</si>
  <si>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</si>
  <si>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</si>
  <si>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</si>
  <si>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</si>
  <si>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</si>
  <si>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</si>
  <si>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</si>
  <si>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</si>
  <si>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</si>
  <si>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</si>
  <si>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</si>
  <si>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</si>
  <si>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</si>
  <si>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</si>
  <si>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</si>
  <si>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</si>
  <si>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</si>
  <si>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</si>
  <si>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</si>
  <si>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</si>
  <si>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</si>
  <si>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</si>
  <si>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</si>
  <si>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</si>
  <si>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</si>
  <si>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</si>
  <si>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</si>
  <si>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</si>
  <si>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</si>
  <si>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</si>
  <si>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</si>
  <si>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</si>
  <si>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</si>
  <si>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</si>
  <si>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</si>
  <si>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</si>
  <si>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</si>
  <si>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</si>
  <si>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</si>
  <si>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</si>
  <si>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</si>
  <si>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</si>
  <si>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</si>
  <si>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</si>
  <si>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</si>
  <si>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</si>
  <si>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</si>
  <si>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</si>
  <si>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</si>
  <si>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</si>
  <si>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</si>
  <si>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</si>
  <si>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</si>
  <si>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</si>
  <si>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</si>
  <si>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</si>
  <si>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</si>
  <si>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</si>
  <si>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</si>
  <si>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</si>
  <si>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</si>
  <si>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</si>
  <si>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</si>
  <si>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</si>
  <si>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</si>
  <si>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</si>
  <si>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</si>
  <si>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</si>
  <si>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</si>
  <si>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</si>
  <si>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</si>
  <si>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</si>
  <si>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</si>
  <si>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</si>
  <si>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</si>
  <si>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</si>
  <si>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</si>
  <si>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</si>
  <si>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</si>
  <si>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</si>
  <si>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</si>
  <si>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</si>
  <si>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</si>
  <si>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</si>
  <si>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</si>
  <si>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</si>
  <si>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</si>
  <si>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</si>
  <si>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</si>
  <si>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</si>
  <si>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</si>
  <si>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</si>
  <si>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</si>
  <si>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</si>
  <si>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</si>
  <si>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</si>
  <si>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</si>
  <si>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</si>
  <si>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</si>
  <si>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</si>
  <si>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</si>
  <si>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</si>
  <si>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</si>
  <si>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</si>
  <si>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</si>
  <si>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</si>
  <si>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</si>
  <si>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</si>
  <si>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</si>
  <si>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</si>
  <si>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</si>
  <si>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</si>
  <si>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</si>
  <si>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</si>
  <si>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</si>
  <si>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</si>
  <si>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</si>
  <si>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</si>
  <si>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</si>
  <si>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</si>
  <si>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</si>
  <si>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</si>
  <si>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</si>
  <si>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</si>
  <si>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</si>
  <si>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</si>
  <si>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</si>
  <si>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</si>
  <si>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</si>
  <si>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</si>
  <si>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</si>
  <si>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</si>
  <si>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</si>
  <si>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</si>
  <si>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</si>
  <si>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</si>
  <si>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</si>
  <si>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</si>
  <si>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</si>
  <si>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</si>
  <si>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</si>
  <si>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</si>
  <si>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</si>
  <si>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</si>
  <si>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</si>
  <si>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</si>
  <si>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</si>
  <si>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</si>
  <si>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</si>
  <si>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</si>
  <si>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</si>
  <si>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</si>
  <si>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</si>
  <si>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</si>
  <si>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</si>
  <si>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</si>
  <si>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</si>
  <si>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</si>
  <si>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</si>
  <si>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</si>
  <si>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</si>
  <si>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</si>
  <si>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</si>
  <si>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</si>
  <si>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</si>
  <si>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</si>
  <si>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</si>
  <si>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</si>
  <si>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</si>
  <si>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</si>
  <si>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</si>
  <si>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</si>
  <si>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</si>
  <si>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</si>
  <si>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</si>
  <si>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</si>
  <si>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</si>
  <si>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</si>
  <si>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</si>
  <si>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</si>
  <si>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</si>
  <si>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</si>
  <si>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</si>
  <si>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</si>
  <si>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</si>
  <si>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</si>
  <si>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</si>
  <si>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</si>
  <si>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</si>
  <si>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</si>
  <si>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</si>
  <si>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</si>
  <si>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</si>
  <si>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</si>
  <si>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</si>
  <si>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</si>
  <si>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</si>
  <si>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</si>
  <si>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</si>
  <si>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</si>
  <si>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</si>
  <si>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</si>
  <si>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</si>
  <si>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</si>
  <si>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</si>
  <si>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</si>
  <si>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</si>
  <si>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</si>
  <si>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</si>
  <si>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</si>
  <si>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</si>
  <si>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</si>
  <si>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</si>
  <si>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</si>
  <si>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</si>
  <si>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</si>
  <si>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</si>
  <si>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</si>
  <si>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</si>
  <si>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</si>
  <si>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</si>
  <si>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</si>
  <si>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</si>
  <si>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</si>
  <si>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</si>
  <si>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</si>
  <si>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</si>
  <si>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</si>
  <si>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</si>
  <si>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</si>
  <si>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</si>
  <si>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</si>
  <si>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</si>
  <si>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</si>
  <si>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</si>
  <si>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</si>
  <si>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</si>
  <si>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</si>
  <si>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</si>
  <si>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</si>
  <si>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</si>
  <si>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</si>
  <si>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</si>
  <si>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</si>
  <si>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</si>
  <si>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</si>
  <si>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</si>
  <si>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</si>
  <si>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</si>
  <si>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</si>
  <si>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</si>
  <si>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</si>
  <si>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</si>
  <si>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</si>
  <si>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</si>
  <si>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</si>
  <si>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</si>
  <si>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</si>
  <si>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</si>
  <si>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</si>
  <si>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</si>
  <si>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</si>
  <si>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</si>
  <si>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</si>
  <si>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</si>
  <si>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</si>
  <si>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</si>
  <si>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</si>
  <si>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</si>
  <si>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</si>
  <si>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</si>
  <si>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</si>
  <si>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</si>
  <si>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</si>
  <si>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</si>
  <si>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</si>
  <si>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</si>
  <si>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</si>
  <si>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</si>
  <si>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</si>
  <si>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</si>
  <si>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</si>
  <si>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</si>
  <si>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</si>
  <si>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</si>
  <si>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</si>
  <si>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</si>
  <si>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</si>
  <si>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</si>
  <si>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</si>
  <si>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</si>
  <si>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</si>
  <si>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</si>
  <si>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</si>
  <si>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</si>
  <si>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</si>
  <si>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</si>
  <si>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</si>
  <si>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</si>
  <si>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</si>
  <si>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</si>
  <si>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</si>
  <si>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</si>
  <si>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</si>
  <si>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</si>
  <si>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</si>
  <si>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</si>
  <si>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</si>
  <si>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</si>
  <si>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</si>
  <si>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</si>
  <si>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</si>
  <si>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</si>
  <si>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</si>
  <si>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</si>
  <si>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</si>
  <si>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</si>
  <si>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</si>
  <si>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</si>
  <si>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</si>
  <si>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</si>
  <si>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</si>
  <si>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</si>
  <si>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</si>
  <si>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</si>
  <si>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</si>
  <si>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</si>
  <si>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</si>
  <si>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</si>
  <si>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</si>
  <si>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</si>
  <si>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</si>
  <si>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</si>
  <si>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</si>
  <si>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</si>
  <si>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</si>
  <si>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</si>
  <si>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</si>
  <si>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</si>
  <si>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</si>
  <si>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</si>
  <si>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</si>
  <si>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</si>
  <si>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</si>
  <si>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</si>
  <si>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</si>
  <si>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</si>
  <si>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</si>
  <si>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</si>
  <si>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</si>
  <si>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</si>
  <si>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</si>
  <si>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</si>
  <si>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</si>
  <si>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</si>
  <si>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</si>
  <si>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</si>
  <si>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</si>
  <si>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</si>
  <si>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</si>
  <si>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</si>
  <si>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</si>
  <si>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</si>
  <si>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</si>
  <si>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</si>
  <si>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</si>
  <si>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</si>
  <si>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</si>
  <si>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</si>
  <si>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</si>
  <si>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</si>
  <si>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</si>
  <si>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</si>
  <si>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</si>
  <si>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</si>
  <si>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</si>
  <si>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</si>
  <si>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</si>
  <si>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</si>
  <si>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</si>
  <si>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</si>
  <si>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</si>
  <si>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</si>
  <si>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</si>
  <si>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</si>
  <si>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</si>
  <si>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</si>
  <si>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</si>
  <si>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</si>
  <si>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</si>
  <si>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</si>
  <si>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</si>
  <si>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</si>
  <si>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</si>
  <si>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</si>
  <si>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</si>
  <si>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</si>
  <si>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</si>
  <si>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</si>
  <si>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</si>
  <si>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</si>
  <si>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</si>
  <si>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</si>
  <si>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</si>
  <si>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</si>
  <si>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</si>
  <si>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</si>
  <si>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</si>
  <si>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</si>
  <si>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</si>
  <si>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</si>
  <si>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</si>
  <si>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</si>
  <si>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</si>
  <si>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</si>
  <si>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</si>
  <si>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</si>
  <si>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</si>
  <si>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</si>
  <si>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</si>
  <si>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</si>
  <si>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</si>
  <si>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</si>
  <si>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</si>
  <si>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</si>
  <si>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</si>
  <si>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</si>
  <si>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</si>
  <si>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</si>
  <si>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</si>
  <si>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</si>
  <si>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</si>
  <si>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</si>
  <si>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</si>
  <si>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</si>
  <si>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</si>
  <si>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</si>
  <si>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</si>
  <si>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</si>
  <si>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</si>
  <si>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</si>
  <si>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</si>
  <si>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</si>
  <si>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</si>
  <si>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</si>
  <si>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</si>
  <si>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</si>
  <si>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</si>
  <si>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</si>
  <si>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</si>
  <si>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</si>
  <si>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</si>
  <si>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</si>
  <si>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</si>
  <si>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</si>
  <si>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</si>
  <si>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</si>
  <si>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</si>
  <si>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</si>
  <si>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</si>
  <si>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</si>
  <si>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</si>
  <si>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</si>
  <si>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</si>
  <si>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</si>
  <si>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</si>
  <si>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</si>
  <si>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</si>
  <si>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</si>
  <si>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</si>
  <si>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</si>
  <si>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</si>
  <si>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</si>
  <si>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</si>
  <si>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</si>
  <si>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</si>
  <si>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</si>
  <si>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</si>
  <si>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</si>
  <si>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</si>
  <si>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</si>
  <si>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</si>
  <si>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</si>
  <si>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</si>
  <si>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</si>
  <si>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</si>
  <si>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</si>
  <si>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</si>
  <si>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</si>
  <si>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</si>
  <si>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</si>
  <si>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</si>
  <si>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</si>
  <si>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</si>
  <si>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</si>
  <si>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</si>
  <si>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</si>
  <si>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</si>
  <si>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</si>
  <si>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</si>
  <si>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</si>
  <si>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</si>
  <si>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</si>
  <si>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</si>
  <si>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</si>
  <si>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</si>
  <si>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</si>
  <si>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</si>
  <si>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</si>
  <si>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</si>
  <si>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</si>
  <si>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</si>
  <si>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</si>
  <si>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</si>
  <si>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</si>
  <si>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</si>
  <si>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</si>
  <si>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</si>
  <si>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</si>
  <si>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</si>
  <si>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</si>
  <si>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</si>
  <si>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</si>
  <si>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</si>
  <si>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</si>
  <si>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</si>
  <si>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</si>
  <si>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</si>
  <si>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</si>
  <si>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</si>
  <si>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</si>
  <si>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</si>
  <si>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</si>
  <si>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</si>
  <si>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</si>
  <si>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</si>
  <si>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</si>
  <si>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</si>
  <si>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</si>
  <si>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</si>
  <si>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</si>
  <si>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</si>
  <si>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</si>
  <si>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</si>
  <si>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</si>
  <si>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</si>
  <si>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</si>
  <si>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</si>
  <si>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</si>
  <si>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</si>
  <si>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</si>
  <si>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</si>
  <si>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</si>
  <si>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</si>
  <si>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</si>
  <si>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</si>
  <si>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</si>
  <si>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</si>
  <si>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</si>
  <si>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</si>
  <si>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</si>
  <si>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</si>
  <si>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</si>
  <si>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</si>
  <si>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</si>
  <si>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</si>
  <si>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</si>
  <si>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</si>
  <si>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</si>
  <si>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</si>
  <si>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</si>
  <si>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</si>
  <si>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</si>
  <si>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</si>
  <si>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</si>
  <si>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</si>
  <si>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</si>
  <si>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</si>
  <si>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</si>
  <si>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</si>
  <si>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</si>
  <si>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</si>
  <si>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</si>
  <si>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</si>
  <si>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</si>
  <si>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</si>
  <si>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</si>
  <si>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</si>
  <si>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</si>
  <si>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</si>
  <si>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</si>
  <si>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</si>
  <si>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</si>
  <si>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</si>
  <si>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</si>
  <si>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</si>
  <si>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</si>
  <si>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</si>
  <si>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</si>
  <si>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</si>
  <si>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</si>
  <si>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</si>
  <si>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</si>
  <si>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</si>
  <si>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</si>
  <si>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</si>
  <si>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</si>
  <si>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</si>
  <si>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</si>
  <si>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</si>
  <si>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</si>
  <si>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</si>
  <si>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</si>
  <si>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</si>
  <si>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</si>
  <si>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</si>
  <si>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</si>
  <si>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</si>
  <si>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</si>
  <si>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</si>
  <si>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</si>
  <si>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</si>
  <si>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</si>
  <si>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</si>
  <si>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</si>
  <si>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</si>
  <si>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</si>
  <si>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</si>
  <si>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</si>
  <si>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</si>
  <si>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</si>
  <si>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</si>
  <si>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</si>
  <si>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</si>
  <si>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</si>
  <si>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</si>
  <si>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</si>
  <si>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</si>
  <si>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</si>
  <si>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</si>
  <si>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</si>
  <si>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</si>
  <si>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</si>
  <si>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</si>
  <si>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</si>
  <si>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</si>
  <si>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</si>
  <si>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</si>
  <si>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</si>
  <si>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</si>
  <si>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</si>
  <si>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</si>
  <si>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</si>
  <si>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</si>
  <si>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</si>
  <si>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</si>
  <si>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</si>
  <si>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</si>
  <si>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</si>
  <si>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</si>
  <si>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</si>
  <si>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</si>
  <si>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</si>
  <si>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</si>
  <si>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</si>
  <si>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</si>
  <si>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</si>
  <si>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</si>
  <si>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</si>
  <si>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</si>
  <si>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</si>
  <si>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</si>
  <si>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</si>
  <si>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</si>
  <si>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</si>
  <si>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</si>
  <si>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</si>
  <si>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</si>
  <si>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</si>
  <si>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</si>
  <si>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</si>
  <si>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</si>
  <si>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</si>
  <si>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</si>
  <si>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</si>
  <si>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</si>
  <si>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</si>
  <si>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</si>
  <si>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</si>
  <si>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</si>
  <si>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</si>
  <si>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</si>
  <si>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</si>
  <si>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</si>
  <si>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</si>
  <si>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</si>
  <si>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</si>
  <si>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</si>
  <si>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</si>
  <si>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</si>
  <si>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</si>
  <si>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</si>
  <si>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</si>
  <si>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</si>
  <si>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</si>
  <si>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</si>
  <si>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</si>
  <si>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</si>
  <si>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</si>
  <si>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</si>
  <si>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</si>
  <si>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</si>
  <si>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</si>
  <si>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</si>
  <si>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</si>
  <si>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</si>
  <si>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</si>
  <si>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</si>
  <si>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</si>
  <si>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</si>
  <si>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</si>
  <si>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</si>
  <si>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</si>
  <si>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</si>
  <si>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</si>
  <si>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</si>
  <si>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</si>
  <si>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</si>
  <si>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</si>
  <si>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</si>
  <si>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</si>
  <si>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</si>
  <si>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</si>
  <si>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</si>
  <si>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</si>
  <si>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</si>
  <si>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</si>
  <si>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</si>
  <si>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</si>
  <si>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</si>
  <si>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</si>
  <si>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</si>
  <si>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</si>
  <si>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</si>
  <si>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</si>
  <si>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</si>
  <si>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</si>
  <si>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</si>
  <si>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</si>
  <si>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</si>
  <si>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</si>
  <si>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</si>
  <si>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</si>
  <si>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</si>
  <si>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</si>
  <si>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</si>
  <si>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</si>
  <si>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</si>
  <si>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</si>
  <si>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</si>
  <si>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</si>
  <si>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</si>
  <si>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</si>
  <si>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</si>
  <si>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</si>
  <si>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</si>
  <si>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</si>
  <si>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</si>
  <si>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</si>
  <si>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</si>
  <si>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</si>
  <si>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</si>
  <si>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</si>
  <si>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</si>
  <si>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</si>
  <si>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</si>
  <si>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</si>
  <si>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</si>
  <si>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</si>
  <si>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</si>
  <si>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</si>
  <si>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</si>
  <si>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</si>
  <si>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</si>
  <si>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</si>
  <si>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</si>
  <si>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</si>
  <si>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</si>
  <si>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</si>
  <si>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</si>
  <si>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</si>
  <si>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</si>
  <si>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</si>
  <si>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</si>
  <si>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</si>
  <si>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</si>
  <si>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</si>
  <si>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</si>
  <si>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</si>
  <si>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</si>
  <si>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</si>
  <si>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</si>
  <si>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</si>
  <si>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</si>
  <si>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</si>
  <si>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</si>
  <si>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</si>
  <si>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</si>
  <si>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</si>
  <si>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</si>
  <si>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</si>
  <si>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</si>
  <si>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</si>
  <si>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</si>
  <si>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</si>
  <si>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</si>
  <si>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</si>
  <si>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</si>
  <si>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</si>
  <si>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</si>
  <si>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</si>
  <si>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</si>
  <si>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</si>
  <si>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</si>
  <si>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</si>
  <si>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</si>
  <si>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</si>
  <si>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</si>
  <si>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</si>
  <si>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</si>
  <si>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</si>
  <si>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</si>
  <si>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</si>
  <si>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</si>
  <si>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</si>
  <si>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</si>
  <si>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</si>
  <si>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</si>
  <si>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</si>
  <si>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</si>
  <si>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</si>
  <si>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</si>
  <si>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</si>
  <si>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</si>
  <si>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</si>
  <si>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</si>
  <si>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</si>
  <si>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</si>
  <si>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</si>
  <si>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</si>
  <si>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</si>
  <si>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</si>
  <si>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</si>
  <si>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</si>
  <si>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</si>
  <si>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</si>
  <si>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</si>
  <si>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</si>
  <si>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</si>
  <si>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</si>
  <si>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</si>
  <si>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</si>
  <si>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</si>
  <si>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</si>
  <si>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</si>
  <si>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</si>
  <si>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</si>
  <si>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</si>
  <si>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</si>
  <si>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</si>
  <si>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</si>
  <si>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</si>
  <si>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</si>
  <si>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</si>
  <si>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</si>
  <si>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</si>
  <si>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</si>
  <si>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</si>
  <si>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</si>
  <si>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</si>
  <si>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</si>
  <si>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</si>
  <si>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</si>
  <si>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</si>
  <si>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</si>
  <si>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</si>
  <si>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</si>
  <si>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</si>
  <si>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</si>
  <si>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</si>
  <si>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</si>
  <si>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</si>
  <si>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</si>
  <si>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</si>
  <si>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</si>
  <si>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</si>
  <si>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</si>
  <si>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</si>
  <si>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</si>
  <si>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</si>
  <si>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</si>
  <si>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</si>
  <si>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</si>
  <si>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</si>
  <si>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</si>
  <si>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</si>
  <si>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</si>
  <si>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</si>
  <si>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</si>
  <si>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</si>
  <si>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</si>
  <si>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</si>
  <si>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</si>
  <si>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</si>
  <si>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</si>
  <si>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</si>
  <si>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</si>
  <si>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</si>
  <si>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</si>
  <si>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</si>
  <si>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</si>
  <si>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</si>
  <si>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</si>
  <si>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</si>
  <si>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</si>
  <si>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</si>
  <si>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</si>
  <si>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</si>
  <si>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</si>
  <si>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</si>
  <si>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</si>
  <si>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</si>
  <si>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</si>
  <si>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</si>
  <si>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</si>
  <si>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</si>
  <si>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</si>
  <si>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</si>
  <si>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</si>
  <si>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</si>
  <si>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</si>
  <si>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</si>
  <si>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</si>
  <si>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</si>
  <si>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</si>
  <si>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</si>
  <si>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</si>
  <si>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</si>
  <si>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</si>
  <si>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</si>
  <si>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</si>
  <si>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</si>
  <si>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</si>
  <si>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</si>
  <si>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</si>
  <si>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</si>
  <si>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</si>
  <si>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</si>
  <si>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</si>
  <si>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</si>
  <si>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</si>
  <si>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</si>
  <si>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</si>
  <si>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</si>
  <si>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</si>
  <si>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</si>
  <si>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</si>
  <si>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</si>
  <si>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</si>
  <si>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</si>
  <si>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</si>
  <si>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</si>
  <si>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</si>
  <si>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</si>
  <si>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</si>
  <si>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</si>
  <si>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</si>
  <si>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</si>
  <si>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</si>
  <si>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</si>
  <si>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</si>
  <si>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</si>
  <si>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</si>
  <si>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</si>
  <si>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</si>
  <si>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</si>
  <si>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</si>
  <si>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</si>
  <si>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</si>
  <si>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</si>
  <si>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</si>
  <si>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</si>
  <si>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</si>
  <si>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</si>
  <si>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</si>
  <si>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</si>
  <si>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</si>
  <si>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</si>
  <si>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</si>
  <si>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</si>
  <si>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</si>
  <si>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</si>
  <si>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</si>
  <si>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</si>
  <si>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</si>
  <si>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</si>
  <si>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</si>
  <si>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</si>
  <si>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</si>
  <si>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</si>
  <si>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</si>
  <si>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</si>
  <si>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</si>
  <si>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</si>
  <si>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</si>
  <si>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</si>
  <si>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</si>
  <si>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</si>
  <si>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</si>
  <si>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</si>
  <si>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</si>
  <si>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</si>
  <si>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</si>
  <si>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</si>
  <si>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</si>
  <si>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</si>
  <si>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</si>
  <si>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</si>
  <si>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</si>
  <si>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</si>
  <si>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</si>
  <si>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</si>
  <si>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</si>
  <si>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</si>
  <si>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</si>
  <si>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</si>
  <si>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</si>
  <si>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</si>
  <si>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</si>
  <si>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</si>
  <si>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</si>
  <si>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</si>
  <si>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</si>
  <si>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</si>
  <si>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</si>
  <si>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</si>
  <si>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</si>
  <si>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</si>
  <si>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</si>
  <si>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</si>
  <si>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</si>
  <si>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</si>
  <si>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</si>
  <si>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</si>
  <si>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</si>
  <si>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</si>
  <si>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</si>
  <si>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</si>
  <si>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</si>
  <si>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</si>
  <si>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</si>
  <si>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</si>
  <si>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</si>
  <si>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</si>
  <si>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</si>
  <si>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</si>
  <si>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</si>
  <si>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</si>
  <si>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</si>
  <si>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</si>
  <si>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</si>
  <si>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</si>
  <si>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</si>
  <si>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</si>
  <si>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</si>
  <si>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</si>
  <si>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</si>
  <si>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</si>
  <si>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</si>
  <si>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</si>
  <si>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</si>
  <si>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</si>
  <si>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</si>
  <si>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</si>
  <si>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</si>
  <si>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</si>
  <si>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</si>
  <si>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</si>
  <si>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</si>
  <si>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</si>
  <si>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</si>
  <si>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</si>
  <si>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</si>
  <si>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</si>
  <si>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</si>
  <si>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</si>
  <si>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</si>
  <si>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</si>
  <si>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</si>
  <si>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</si>
  <si>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</si>
  <si>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</si>
  <si>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</si>
  <si>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</si>
  <si>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</si>
  <si>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</si>
  <si>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</si>
  <si>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</si>
  <si>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</si>
  <si>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</si>
  <si>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</si>
  <si>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</si>
  <si>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</si>
  <si>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</si>
  <si>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</si>
  <si>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</si>
  <si>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</si>
  <si>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</si>
  <si>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</si>
  <si>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</si>
  <si>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</si>
  <si>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</si>
  <si>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</si>
  <si>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</si>
  <si>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</si>
  <si>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</si>
  <si>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</si>
  <si>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</si>
  <si>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</si>
  <si>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</si>
  <si>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</si>
  <si>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</si>
  <si>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</si>
  <si>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</si>
  <si>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</si>
  <si>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</si>
  <si>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</si>
  <si>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</si>
  <si>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</si>
  <si>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</si>
  <si>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</si>
  <si>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</si>
  <si>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</si>
  <si>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</si>
  <si>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</si>
  <si>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</si>
  <si>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</si>
  <si>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</si>
  <si>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</si>
  <si>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</si>
  <si>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</si>
  <si>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</si>
  <si>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</si>
  <si>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</si>
  <si>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</si>
  <si>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</si>
  <si>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</si>
  <si>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</si>
  <si>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</si>
  <si>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</si>
  <si>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</si>
  <si>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</si>
  <si>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</si>
  <si>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</si>
  <si>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</si>
  <si>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</si>
  <si>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</si>
  <si>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</si>
  <si>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</si>
  <si>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</si>
  <si>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</si>
  <si>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</si>
  <si>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</si>
  <si>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</si>
  <si>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</si>
  <si>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</si>
  <si>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</si>
  <si>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</si>
  <si>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</si>
  <si>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</si>
  <si>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</si>
  <si>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</si>
  <si>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</si>
  <si>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</si>
  <si>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</si>
  <si>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</si>
  <si>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</si>
  <si>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</si>
  <si>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</si>
  <si>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</si>
  <si>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</si>
  <si>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</si>
  <si>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</si>
  <si>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</si>
  <si>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</si>
  <si>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</si>
  <si>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</si>
  <si>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</si>
  <si>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</si>
  <si>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</si>
  <si>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</si>
  <si>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</si>
  <si>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</si>
  <si>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</si>
  <si>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</si>
  <si>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</si>
  <si>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</si>
  <si>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</si>
  <si>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</si>
  <si>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</si>
  <si>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</si>
  <si>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</si>
  <si>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</si>
  <si>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</si>
  <si>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</si>
  <si>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</si>
  <si>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</si>
  <si>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</si>
  <si>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</si>
  <si>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</si>
  <si>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</si>
  <si>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</si>
  <si>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</si>
  <si>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</si>
  <si>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</si>
  <si>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</si>
  <si>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</si>
  <si>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</si>
  <si>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</si>
  <si>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</si>
  <si>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</si>
  <si>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</si>
  <si>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</si>
  <si>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</si>
  <si>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</si>
  <si>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</si>
  <si>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</si>
  <si>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</si>
  <si>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</si>
  <si>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</si>
  <si>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</si>
  <si>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</si>
  <si>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</si>
  <si>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</si>
  <si>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</si>
  <si>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</si>
  <si>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</si>
  <si>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</si>
  <si>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</si>
  <si>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</si>
  <si>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</si>
  <si>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</si>
  <si>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</si>
  <si>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</si>
  <si>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</si>
  <si>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</si>
  <si>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</si>
  <si>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</si>
  <si>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</si>
  <si>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</si>
  <si>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</si>
  <si>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</si>
  <si>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</si>
  <si>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</si>
  <si>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</si>
  <si>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</si>
  <si>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</si>
  <si>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</si>
  <si>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</si>
  <si>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</si>
  <si>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</si>
  <si>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</si>
  <si>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</si>
  <si>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</si>
  <si>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</si>
  <si>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</si>
  <si>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</si>
  <si>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</si>
  <si>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</si>
  <si>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</si>
  <si>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</si>
  <si>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</si>
  <si>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</si>
  <si>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</si>
  <si>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</si>
  <si>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</si>
  <si>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</si>
  <si>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</si>
  <si>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</si>
  <si>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</si>
  <si>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</si>
  <si>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</si>
  <si>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</si>
  <si>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</si>
  <si>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</si>
  <si>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</si>
  <si>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</si>
  <si>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</si>
  <si>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</si>
  <si>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</si>
  <si>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</si>
  <si>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</si>
  <si>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</si>
  <si>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</si>
  <si>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</si>
  <si>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</si>
  <si>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</si>
  <si>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</si>
  <si>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</si>
  <si>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</si>
  <si>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</si>
  <si>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</si>
  <si>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</si>
  <si>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</si>
  <si>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</si>
  <si>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</si>
  <si>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</si>
  <si>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</si>
  <si>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</si>
  <si>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</si>
  <si>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</si>
  <si>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</si>
  <si>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</si>
  <si>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</si>
  <si>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</si>
  <si>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</si>
  <si>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</si>
  <si>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</si>
  <si>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</si>
  <si>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</si>
  <si>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</si>
  <si>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</si>
  <si>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</si>
  <si>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</si>
  <si>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</si>
  <si>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</si>
  <si>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</si>
  <si>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</si>
  <si>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</si>
  <si>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</si>
  <si>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</si>
  <si>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</si>
  <si>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</si>
  <si>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</si>
  <si>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</si>
  <si>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</si>
  <si>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</si>
  <si>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</si>
  <si>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</si>
  <si>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</si>
  <si>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</si>
  <si>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</si>
  <si>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</si>
  <si>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</si>
  <si>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</si>
  <si>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</si>
  <si>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</si>
  <si>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</si>
  <si>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</si>
  <si>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</si>
  <si>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</si>
  <si>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</si>
  <si>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</si>
  <si>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</si>
  <si>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</si>
  <si>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</si>
  <si>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</si>
  <si>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</si>
  <si>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</si>
  <si>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</si>
  <si>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</si>
  <si>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</si>
  <si>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</si>
  <si>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</si>
  <si>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</si>
  <si>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</si>
  <si>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</si>
  <si>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</si>
  <si>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</si>
  <si>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</si>
  <si>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</si>
  <si>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</si>
  <si>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</si>
  <si>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</si>
  <si>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</si>
  <si>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</si>
  <si>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</si>
  <si>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</si>
  <si>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</si>
  <si>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</si>
  <si>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</si>
  <si>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</si>
  <si>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</si>
  <si>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</si>
  <si>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</si>
  <si>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</si>
  <si>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</si>
  <si>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</si>
  <si>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</si>
  <si>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</si>
  <si>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</si>
  <si>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</si>
  <si>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</si>
  <si>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</si>
  <si>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</si>
  <si>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</si>
  <si>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</si>
  <si>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</si>
  <si>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</si>
  <si>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</si>
  <si>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</si>
  <si>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</si>
  <si>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</si>
  <si>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</si>
  <si>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</si>
  <si>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</si>
  <si>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</si>
  <si>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</si>
  <si>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</si>
  <si>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</si>
  <si>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</si>
  <si>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</si>
  <si>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</si>
  <si>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</si>
  <si>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</si>
  <si>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</si>
  <si>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</si>
  <si>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</si>
  <si>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</si>
  <si>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</si>
  <si>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</si>
  <si>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</si>
  <si>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</si>
  <si>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</si>
  <si>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</si>
  <si>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</si>
  <si>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</si>
  <si>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</si>
  <si>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</si>
  <si>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</si>
  <si>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</si>
  <si>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</si>
  <si>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</si>
  <si>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</si>
  <si>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</si>
  <si>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</si>
  <si>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</si>
  <si>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</si>
  <si>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</si>
  <si>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</si>
  <si>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</si>
  <si>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</si>
  <si>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</si>
  <si>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</si>
  <si>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</si>
  <si>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</si>
  <si>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</si>
  <si>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</si>
  <si>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</si>
  <si>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</si>
  <si>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</si>
  <si>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</si>
  <si>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</si>
  <si>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</si>
  <si>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</si>
  <si>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</si>
  <si>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</si>
  <si>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</si>
  <si>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</si>
  <si>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</si>
  <si>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</si>
  <si>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</si>
  <si>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</si>
  <si>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</si>
  <si>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</si>
  <si>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</si>
  <si>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</si>
  <si>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</si>
  <si>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</si>
  <si>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</si>
  <si>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</si>
  <si>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</si>
  <si>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</si>
  <si>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</si>
  <si>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</si>
  <si>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</si>
  <si>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</si>
  <si>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</si>
  <si>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</si>
  <si>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</si>
  <si>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</si>
  <si>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</si>
  <si>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</si>
  <si>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</si>
  <si>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</si>
  <si>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</si>
  <si>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</si>
  <si>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</si>
  <si>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</si>
  <si>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</si>
  <si>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</si>
  <si>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</si>
  <si>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</si>
  <si>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</si>
  <si>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</si>
  <si>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</si>
  <si>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</si>
  <si>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</si>
  <si>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</si>
  <si>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</si>
  <si>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</si>
  <si>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</si>
  <si>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</si>
  <si>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</si>
  <si>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</si>
  <si>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</si>
  <si>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</si>
  <si>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</si>
  <si>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</si>
  <si>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</si>
  <si>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</si>
  <si>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</si>
  <si>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</si>
  <si>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</si>
  <si>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</si>
  <si>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</si>
  <si>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</si>
  <si>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</si>
  <si>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</si>
  <si>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</si>
  <si>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</si>
  <si>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</si>
  <si>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</si>
  <si>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</si>
  <si>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</si>
  <si>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</si>
  <si>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</si>
  <si>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</si>
  <si>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</si>
  <si>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</si>
  <si>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</si>
  <si>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</si>
  <si>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</si>
  <si>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</si>
  <si>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</si>
  <si>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</si>
  <si>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</si>
  <si>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</si>
  <si>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</si>
  <si>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</si>
  <si>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</si>
  <si>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</si>
  <si>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</si>
  <si>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</si>
  <si>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</si>
  <si>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</si>
  <si>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</si>
  <si>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</si>
  <si>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</si>
  <si>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</si>
  <si>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</si>
  <si>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</si>
  <si>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</si>
  <si>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</si>
  <si>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</si>
  <si>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</si>
  <si>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</si>
  <si>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</si>
  <si>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</si>
  <si>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</si>
  <si>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</si>
  <si>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</si>
  <si>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</si>
  <si>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</si>
  <si>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</si>
  <si>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</si>
  <si>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</si>
  <si>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</si>
  <si>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</si>
  <si>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</si>
  <si>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</si>
  <si>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</si>
  <si>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</si>
  <si>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</si>
  <si>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</si>
  <si>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</si>
  <si>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</si>
  <si>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</si>
  <si>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</si>
  <si>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</si>
  <si>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</si>
  <si>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</si>
  <si>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</si>
  <si>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</si>
  <si>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</si>
  <si>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</si>
  <si>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</si>
  <si>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</si>
  <si>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</si>
  <si>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</si>
  <si>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</si>
  <si>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</si>
  <si>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</si>
  <si>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</si>
  <si>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</si>
  <si>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</si>
  <si>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</si>
  <si>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</si>
  <si>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</si>
  <si>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</si>
  <si>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</si>
  <si>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</si>
  <si>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</si>
  <si>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</si>
  <si>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</si>
  <si>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</si>
  <si>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</si>
  <si>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</si>
  <si>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</si>
  <si>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</si>
  <si>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</si>
  <si>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</si>
  <si>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</si>
  <si>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</si>
  <si>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</si>
  <si>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</si>
  <si>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</si>
  <si>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</si>
  <si>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</si>
  <si>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</si>
  <si>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</si>
  <si>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</si>
  <si>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</si>
  <si>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</si>
  <si>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</si>
  <si>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</si>
  <si>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</si>
  <si>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</si>
  <si>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</si>
  <si>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</si>
  <si>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</si>
  <si>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</si>
  <si>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</si>
  <si>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</si>
  <si>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</si>
  <si>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</si>
  <si>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</si>
  <si>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</si>
  <si>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</si>
  <si>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</si>
  <si>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</si>
  <si>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</si>
  <si>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</si>
  <si>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</si>
  <si>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</si>
  <si>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</si>
  <si>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</si>
  <si>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</si>
  <si>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</si>
  <si>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</si>
  <si>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</si>
  <si>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</si>
  <si>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</si>
  <si>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</si>
  <si>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</si>
  <si>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</si>
  <si>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</si>
  <si>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</si>
  <si>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</si>
  <si>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</si>
  <si>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</si>
  <si>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</si>
  <si>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</si>
  <si>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</si>
  <si>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</si>
  <si>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</si>
  <si>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</si>
  <si>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</si>
  <si>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</si>
  <si>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</si>
  <si>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</si>
  <si>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</si>
  <si>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</si>
  <si>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</si>
  <si>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</si>
  <si>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</si>
  <si>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</si>
  <si>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</si>
  <si>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</si>
  <si>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</si>
  <si>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</si>
  <si>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</si>
  <si>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</si>
  <si>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</si>
  <si>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</si>
  <si>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</si>
  <si>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</si>
  <si>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</si>
  <si>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</si>
  <si>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</si>
  <si>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</si>
  <si>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</si>
  <si>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</si>
  <si>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</si>
  <si>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</si>
  <si>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</si>
  <si>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</si>
  <si>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</si>
  <si>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</si>
  <si>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</si>
  <si>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</si>
  <si>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</si>
  <si>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</si>
  <si>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</si>
  <si>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</si>
  <si>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</si>
  <si>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</si>
  <si>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</si>
  <si>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</si>
  <si>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</si>
  <si>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</si>
  <si>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</si>
  <si>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</si>
  <si>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</si>
  <si>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</si>
  <si>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</si>
  <si>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</si>
  <si>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</si>
  <si>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</si>
  <si>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</si>
  <si>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</si>
  <si>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</si>
  <si>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</si>
  <si>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</si>
  <si>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</si>
  <si>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</si>
  <si>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</si>
  <si>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</si>
  <si>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</si>
  <si>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</si>
  <si>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</si>
  <si>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</si>
  <si>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</si>
  <si>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</si>
  <si>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</si>
  <si>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</si>
  <si>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</si>
  <si>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</si>
  <si>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</si>
  <si>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</si>
  <si>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</si>
  <si>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</si>
  <si>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</si>
  <si>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</si>
  <si>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</si>
  <si>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</si>
  <si>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</si>
  <si>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</si>
  <si>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</si>
  <si>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</si>
  <si>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</si>
  <si>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</si>
  <si>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</si>
  <si>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</si>
  <si>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</si>
  <si>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</si>
  <si>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</si>
  <si>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</si>
  <si>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</si>
  <si>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</si>
  <si>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</si>
  <si>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</si>
  <si>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</si>
  <si>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</si>
  <si>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</si>
  <si>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</si>
  <si>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</si>
  <si>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</si>
  <si>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</si>
  <si>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</si>
  <si>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</si>
  <si>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</si>
  <si>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</si>
  <si>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</si>
  <si>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</si>
  <si>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</si>
  <si>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</si>
  <si>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</si>
  <si>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</si>
  <si>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</si>
  <si>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</si>
  <si>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</si>
  <si>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</si>
  <si>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</si>
  <si>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</si>
  <si>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</si>
  <si>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</si>
  <si>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</si>
  <si>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</si>
  <si>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</si>
  <si>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</si>
  <si>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</si>
  <si>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</si>
  <si>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</si>
  <si>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</si>
  <si>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</si>
  <si>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</si>
  <si>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</si>
  <si>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</si>
  <si>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</si>
  <si>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</si>
  <si>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</si>
  <si>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</si>
  <si>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</si>
  <si>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</si>
  <si>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</si>
  <si>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</si>
  <si>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</si>
  <si>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</si>
  <si>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</si>
  <si>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</si>
  <si>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</si>
  <si>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</si>
  <si>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</si>
  <si>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</si>
  <si>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</si>
  <si>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</si>
  <si>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</si>
  <si>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</si>
  <si>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</si>
  <si>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</si>
  <si>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</si>
  <si>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</si>
  <si>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</si>
  <si>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</si>
  <si>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</si>
  <si>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</si>
  <si>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</si>
  <si>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</si>
  <si>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</si>
  <si>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</si>
  <si>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</si>
  <si>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</si>
  <si>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</si>
  <si>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</si>
  <si>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</si>
  <si>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</si>
  <si>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</si>
  <si>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</si>
  <si>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</si>
  <si>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</si>
  <si>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</si>
  <si>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</si>
  <si>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</si>
  <si>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</si>
  <si>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</si>
  <si>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</si>
  <si>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</si>
  <si>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</si>
  <si>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</si>
  <si>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</si>
  <si>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</si>
  <si>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</si>
  <si>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</si>
  <si>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</si>
  <si>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</si>
  <si>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</si>
  <si>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</si>
  <si>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</si>
  <si>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</si>
  <si>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</si>
  <si>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</si>
  <si>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</si>
  <si>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</si>
  <si>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</si>
  <si>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</si>
  <si>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</si>
  <si>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</si>
  <si>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</si>
  <si>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</si>
  <si>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</si>
  <si>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</si>
  <si>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</si>
  <si>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</si>
  <si>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</si>
  <si>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</si>
  <si>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</si>
  <si>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</si>
  <si>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</si>
  <si>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</si>
  <si>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</si>
  <si>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</si>
  <si>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</si>
  <si>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</si>
  <si>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</si>
  <si>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</si>
  <si>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</si>
  <si>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</si>
  <si>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</si>
  <si>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</si>
  <si>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</si>
  <si>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</si>
  <si>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</si>
  <si>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</si>
  <si>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</si>
  <si>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</si>
  <si>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</si>
  <si>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</si>
  <si>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</si>
  <si>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</si>
  <si>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</si>
  <si>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</si>
  <si>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</si>
  <si>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</si>
  <si>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</si>
  <si>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</si>
  <si>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</si>
  <si>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</si>
  <si>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</si>
  <si>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</si>
  <si>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</si>
  <si>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</si>
  <si>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</si>
  <si>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</si>
  <si>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</si>
  <si>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</si>
  <si>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</si>
  <si>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</si>
  <si>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</si>
  <si>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</si>
  <si>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</si>
  <si>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</si>
  <si>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</si>
  <si>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</si>
  <si>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</si>
  <si>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</si>
  <si>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</si>
  <si>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</si>
  <si>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</si>
  <si>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</si>
  <si>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</si>
  <si>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</si>
  <si>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</si>
  <si>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</si>
  <si>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</si>
  <si>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</si>
  <si>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</si>
  <si>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</si>
  <si>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</si>
  <si>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</si>
  <si>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</si>
  <si>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</si>
  <si>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</si>
  <si>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</si>
  <si>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</si>
  <si>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</si>
  <si>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</si>
  <si>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</si>
  <si>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</si>
  <si>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</si>
  <si>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</si>
  <si>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</si>
  <si>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</si>
  <si>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</si>
  <si>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</si>
  <si>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</si>
  <si>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</si>
  <si>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</si>
  <si>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</si>
  <si>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</si>
  <si>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</si>
  <si>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</si>
  <si>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</si>
  <si>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</si>
  <si>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</si>
  <si>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</si>
  <si>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</si>
  <si>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</si>
  <si>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</si>
  <si>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</si>
  <si>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</si>
  <si>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</si>
  <si>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</si>
  <si>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</si>
  <si>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</si>
  <si>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</si>
  <si>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</si>
  <si>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</si>
  <si>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</si>
  <si>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</si>
  <si>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</si>
  <si>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</si>
  <si>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</si>
  <si>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</si>
  <si>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</si>
  <si>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</si>
  <si>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</si>
  <si>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</si>
  <si>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</si>
  <si>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</si>
  <si>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</si>
  <si>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</si>
  <si>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</si>
  <si>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</si>
  <si>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</si>
  <si>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</si>
  <si>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</si>
  <si>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</si>
  <si>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</si>
  <si>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</si>
  <si>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</si>
  <si>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</si>
  <si>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</si>
  <si>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</si>
  <si>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</si>
  <si>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</si>
  <si>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</si>
  <si>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</si>
  <si>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</si>
  <si>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</si>
  <si>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</si>
  <si>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</si>
  <si>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</si>
  <si>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</si>
  <si>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</si>
  <si>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</si>
  <si>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</si>
  <si>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</si>
  <si>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</si>
  <si>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</si>
  <si>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</si>
  <si>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</si>
  <si>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</si>
  <si>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</si>
  <si>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</si>
  <si>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</si>
  <si>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</si>
  <si>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</si>
  <si>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</si>
  <si>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</si>
  <si>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</si>
  <si>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</si>
  <si>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</si>
  <si>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</si>
  <si>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</si>
  <si>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</si>
  <si>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</si>
  <si>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</si>
  <si>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</si>
  <si>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</si>
  <si>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</si>
  <si>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</si>
  <si>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</si>
  <si>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</si>
  <si>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</si>
  <si>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</si>
  <si>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</si>
  <si>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</si>
  <si>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</si>
  <si>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</si>
  <si>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</si>
  <si>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</si>
  <si>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</si>
  <si>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</si>
  <si>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</si>
  <si>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</si>
  <si>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</si>
  <si>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</si>
  <si>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</si>
  <si>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</si>
  <si>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</si>
  <si>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</si>
  <si>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</si>
  <si>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</si>
  <si>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</si>
  <si>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</si>
  <si>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</si>
  <si>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</si>
  <si>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</si>
  <si>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</si>
  <si>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</si>
  <si>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</si>
  <si>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</si>
  <si>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</si>
  <si>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</si>
  <si>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</si>
  <si>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</si>
  <si>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</si>
  <si>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</si>
  <si>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</si>
  <si>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</si>
  <si>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</si>
  <si>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</si>
  <si>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</si>
  <si>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</si>
  <si>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</si>
  <si>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</si>
  <si>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</si>
  <si>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</si>
  <si>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</si>
  <si>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</si>
  <si>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</si>
  <si>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</si>
  <si>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</si>
  <si>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</si>
  <si>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</si>
  <si>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</si>
  <si>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</si>
  <si>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</si>
  <si>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</si>
  <si>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</si>
  <si>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</si>
  <si>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</si>
  <si>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</si>
  <si>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</si>
  <si>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</si>
  <si>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</si>
  <si>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</si>
  <si>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</si>
  <si>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</si>
  <si>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</si>
  <si>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</si>
  <si>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</si>
  <si>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</si>
  <si>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</si>
  <si>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</si>
  <si>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</si>
  <si>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</si>
  <si>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</si>
  <si>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</si>
  <si>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</si>
  <si>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</si>
  <si>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</si>
  <si>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</si>
  <si>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</si>
  <si>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</si>
  <si>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</si>
  <si>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</si>
  <si>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</si>
  <si>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</si>
  <si>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</si>
  <si>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</si>
  <si>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</si>
  <si>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</si>
  <si>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</si>
  <si>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</si>
  <si>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</si>
  <si>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</si>
  <si>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</si>
  <si>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</si>
  <si>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</si>
  <si>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</si>
  <si>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</si>
  <si>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</si>
  <si>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</si>
  <si>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</si>
  <si>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</si>
  <si>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</si>
  <si>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</si>
  <si>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</si>
  <si>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</si>
  <si>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</si>
  <si>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</si>
  <si>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</si>
  <si>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</si>
  <si>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</si>
  <si>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</si>
  <si>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</si>
  <si>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</si>
  <si>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</si>
  <si>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</si>
  <si>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</si>
  <si>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</si>
  <si>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</si>
  <si>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</si>
  <si>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</si>
  <si>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</si>
  <si>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</si>
  <si>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</si>
  <si>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</si>
  <si>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</si>
  <si>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</si>
  <si>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</si>
  <si>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</si>
  <si>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</si>
  <si>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</si>
  <si>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</si>
  <si>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</si>
  <si>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</si>
  <si>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</si>
  <si>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</si>
  <si>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</si>
  <si>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</si>
  <si>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</si>
  <si>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</si>
  <si>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</si>
  <si>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</si>
  <si>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</si>
  <si>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</si>
  <si>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</si>
  <si>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</si>
  <si>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</si>
  <si>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</si>
  <si>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</si>
  <si>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</si>
  <si>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</si>
  <si>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</si>
  <si>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</si>
  <si>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</si>
  <si>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</si>
  <si>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</si>
  <si>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</si>
  <si>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</si>
  <si>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</si>
  <si>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</si>
  <si>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</si>
  <si>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</si>
  <si>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</si>
  <si>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</si>
  <si>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</si>
  <si>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</si>
  <si>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</si>
  <si>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</si>
  <si>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</si>
  <si>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</si>
  <si>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</si>
  <si>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</si>
  <si>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</si>
  <si>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</si>
  <si>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</si>
  <si>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</si>
  <si>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</si>
  <si>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</si>
  <si>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</si>
  <si>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</si>
  <si>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</si>
  <si>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</si>
  <si>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</si>
  <si>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</si>
  <si>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</si>
  <si>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</si>
  <si>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</si>
  <si>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</si>
  <si>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</si>
  <si>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</si>
  <si>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</si>
  <si>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</si>
  <si>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</si>
  <si>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</si>
  <si>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</si>
  <si>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</si>
  <si>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</si>
  <si>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</si>
  <si>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</si>
  <si>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</si>
  <si>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</si>
  <si>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</si>
  <si>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</si>
  <si>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</si>
  <si>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</si>
  <si>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</si>
  <si>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</si>
  <si>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</si>
  <si>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</si>
  <si>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</si>
  <si>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</si>
  <si>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</si>
  <si>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</si>
  <si>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</si>
  <si>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</si>
  <si>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</si>
  <si>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</si>
  <si>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</si>
  <si>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</si>
  <si>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</si>
  <si>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</si>
  <si>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</si>
  <si>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</si>
  <si>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</si>
  <si>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</si>
  <si>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</si>
  <si>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</si>
  <si>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</si>
  <si>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</si>
  <si>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</si>
  <si>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</si>
  <si>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</si>
  <si>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</si>
  <si>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</si>
  <si>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</si>
  <si>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</si>
  <si>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</si>
  <si>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</si>
  <si>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</si>
  <si>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</si>
  <si>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</si>
  <si>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</si>
  <si>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</si>
  <si>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</si>
  <si>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</si>
  <si>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</si>
  <si>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</si>
  <si>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</si>
  <si>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</si>
  <si>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</si>
  <si>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</si>
  <si>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</si>
  <si>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</si>
  <si>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</si>
  <si>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</si>
  <si>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</si>
  <si>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</si>
  <si>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</si>
  <si>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</si>
  <si>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</si>
  <si>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</si>
  <si>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</si>
  <si>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</si>
  <si>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</si>
  <si>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</si>
  <si>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</si>
  <si>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</si>
  <si>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</si>
  <si>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</si>
  <si>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</si>
  <si>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</si>
  <si>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</si>
  <si>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</si>
  <si>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</si>
  <si>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</si>
  <si>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</si>
  <si>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</si>
  <si>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</si>
  <si>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</si>
  <si>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</si>
  <si>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</si>
  <si>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</si>
  <si>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</si>
  <si>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</si>
  <si>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</si>
  <si>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</si>
  <si>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</si>
  <si>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</si>
  <si>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</si>
  <si>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</si>
  <si>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</si>
  <si>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</si>
  <si>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</si>
  <si>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</si>
  <si>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</si>
  <si>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</si>
  <si>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</si>
  <si>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</si>
  <si>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</si>
  <si>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</si>
  <si>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</si>
  <si>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</si>
  <si>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</si>
  <si>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</si>
  <si>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</si>
  <si>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</si>
  <si>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</si>
  <si>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</si>
  <si>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</si>
  <si>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</si>
  <si>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</si>
  <si>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</si>
  <si>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</si>
  <si>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</si>
  <si>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</si>
  <si>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</si>
  <si>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</si>
  <si>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</si>
  <si>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</si>
  <si>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</si>
  <si>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</si>
  <si>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</si>
  <si>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</si>
  <si>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</si>
  <si>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</si>
  <si>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</si>
  <si>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</si>
  <si>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</si>
  <si>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</si>
  <si>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</si>
  <si>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</si>
  <si>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</si>
  <si>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</si>
  <si>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</si>
  <si>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</si>
  <si>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</si>
  <si>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</si>
  <si>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</si>
  <si>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</si>
  <si>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</si>
  <si>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</si>
  <si>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</si>
  <si>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</si>
  <si>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</si>
  <si>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</si>
  <si>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</si>
  <si>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</si>
  <si>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</si>
  <si>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</si>
  <si>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</si>
  <si>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</si>
  <si>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</si>
  <si>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</si>
  <si>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</si>
  <si>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</si>
  <si>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</si>
  <si>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</si>
  <si>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</si>
  <si>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</si>
  <si>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</si>
  <si>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</si>
  <si>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</si>
  <si>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</si>
  <si>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</si>
  <si>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</si>
  <si>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</si>
  <si>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</si>
  <si>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</si>
  <si>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</si>
  <si>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</si>
  <si>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</si>
  <si>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</si>
  <si>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</si>
  <si>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</si>
  <si>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</si>
  <si>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</si>
  <si>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</si>
  <si>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</si>
  <si>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</si>
  <si>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</si>
  <si>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</si>
  <si>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</si>
  <si>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</si>
  <si>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</si>
  <si>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</si>
  <si>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</si>
  <si>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</si>
  <si>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</si>
  <si>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</si>
  <si>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</si>
  <si>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</si>
  <si>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</si>
  <si>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</si>
  <si>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</si>
  <si>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</si>
  <si>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</si>
  <si>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</si>
  <si>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</si>
  <si>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</si>
  <si>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</si>
  <si>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</si>
  <si>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</si>
  <si>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</si>
  <si>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</si>
  <si>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</si>
  <si>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</si>
  <si>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</si>
  <si>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</si>
  <si>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</si>
  <si>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</si>
  <si>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</si>
  <si>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</si>
  <si>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</si>
  <si>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</si>
  <si>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</si>
  <si>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</si>
  <si>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</si>
  <si>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</si>
  <si>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</si>
  <si>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</si>
  <si>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</si>
  <si>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</si>
  <si>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</si>
  <si>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</si>
  <si>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</si>
  <si>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</si>
  <si>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</si>
  <si>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</si>
  <si>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</si>
  <si>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</si>
  <si>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</si>
  <si>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</si>
  <si>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</si>
  <si>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</si>
  <si>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</si>
  <si>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</si>
  <si>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</si>
  <si>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</si>
  <si>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</si>
  <si>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</si>
  <si>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</si>
  <si>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</si>
  <si>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</si>
  <si>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</si>
  <si>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</si>
  <si>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</si>
  <si>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</si>
  <si>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</si>
  <si>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</si>
  <si>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</si>
  <si>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</si>
  <si>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</si>
  <si>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</si>
  <si>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</si>
  <si>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</si>
  <si>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</si>
  <si>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</si>
  <si>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</si>
  <si>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</si>
  <si>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</si>
  <si>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</si>
  <si>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</si>
  <si>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</si>
  <si>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</si>
  <si>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</si>
  <si>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</si>
  <si>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</si>
  <si>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</si>
  <si>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</si>
  <si>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</si>
  <si>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</si>
  <si>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</si>
  <si>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</si>
  <si>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</si>
  <si>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</si>
  <si>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</si>
  <si>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</si>
  <si>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</si>
  <si>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</si>
  <si>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</si>
  <si>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</si>
  <si>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</si>
  <si>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</si>
  <si>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</si>
  <si>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</si>
  <si>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</si>
  <si>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</si>
  <si>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</si>
  <si>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</si>
  <si>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</si>
  <si>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</si>
  <si>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</si>
  <si>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</si>
  <si>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</si>
  <si>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</si>
  <si>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</si>
  <si>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</si>
  <si>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</si>
  <si>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</si>
  <si>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</si>
  <si>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</si>
  <si>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</si>
  <si>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</si>
  <si>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</si>
  <si>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</si>
  <si>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</si>
  <si>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</si>
  <si>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</si>
  <si>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</si>
  <si>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</si>
  <si>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</si>
  <si>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</si>
  <si>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</si>
  <si>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</si>
  <si>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</si>
  <si>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</si>
  <si>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</si>
  <si>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</si>
  <si>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</si>
  <si>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</si>
  <si>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</si>
  <si>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</si>
  <si>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</si>
  <si>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</si>
  <si>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</si>
  <si>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</si>
  <si>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</si>
  <si>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</si>
  <si>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</si>
  <si>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</si>
  <si>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</si>
  <si>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</si>
  <si>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</si>
  <si>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</si>
  <si>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</si>
  <si>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</si>
  <si>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</si>
  <si>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</si>
  <si>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</si>
  <si>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</si>
  <si>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</si>
  <si>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</si>
  <si>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</si>
  <si>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</si>
  <si>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</si>
  <si>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</si>
  <si>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</si>
  <si>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</si>
  <si>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</si>
  <si>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</si>
  <si>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</si>
  <si>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</si>
  <si>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</si>
  <si>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</si>
  <si>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</si>
  <si>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</si>
  <si>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</si>
  <si>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</si>
  <si>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</si>
  <si>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</si>
  <si>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</si>
  <si>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</si>
  <si>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</si>
  <si>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</si>
  <si>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</si>
  <si>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</si>
  <si>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</si>
  <si>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</si>
  <si>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</si>
  <si>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</si>
  <si>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</si>
  <si>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</si>
  <si>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</si>
  <si>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</si>
  <si>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</si>
  <si>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</si>
  <si>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</si>
  <si>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</si>
  <si>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</si>
  <si>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</si>
  <si>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</si>
  <si>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</si>
  <si>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</si>
  <si>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</si>
  <si>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</si>
  <si>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</si>
  <si>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</si>
  <si>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</si>
  <si>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</si>
  <si>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</si>
  <si>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</si>
  <si>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</si>
  <si>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</si>
  <si>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</si>
  <si>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</si>
  <si>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</si>
  <si>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</si>
  <si>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</si>
  <si>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</si>
  <si>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</si>
  <si>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</si>
  <si>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</si>
  <si>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</si>
  <si>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</si>
  <si>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</si>
  <si>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</si>
  <si>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</si>
  <si>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</si>
  <si>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</si>
  <si>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</si>
  <si>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</si>
  <si>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</si>
  <si>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</si>
  <si>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</si>
  <si>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</si>
  <si>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</si>
  <si>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</si>
  <si>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</si>
  <si>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</si>
  <si>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</si>
  <si>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</si>
  <si>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</si>
  <si>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</si>
  <si>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</si>
  <si>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</si>
  <si>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</si>
  <si>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</si>
  <si>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</si>
  <si>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</si>
  <si>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</si>
  <si>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</si>
  <si>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</si>
  <si>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</si>
  <si>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</si>
  <si>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</si>
  <si>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</si>
  <si>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</si>
  <si>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</si>
  <si>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</si>
  <si>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</si>
  <si>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</si>
  <si>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</si>
  <si>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</si>
  <si>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</si>
  <si>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</si>
  <si>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</si>
  <si>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</si>
  <si>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</si>
  <si>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</si>
  <si>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</si>
  <si>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</si>
  <si>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</si>
  <si>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</si>
  <si>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</si>
  <si>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</si>
  <si>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</si>
  <si>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</si>
  <si>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</si>
  <si>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</si>
  <si>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</si>
  <si>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</si>
  <si>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</si>
  <si>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</si>
  <si>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</si>
  <si>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</si>
  <si>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</si>
  <si>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</si>
  <si>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</si>
  <si>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</si>
  <si>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</si>
  <si>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</si>
  <si>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</si>
  <si>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</si>
  <si>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</si>
  <si>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</si>
  <si>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</si>
  <si>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</si>
  <si>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</si>
  <si>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</si>
  <si>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</si>
  <si>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</si>
  <si>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</si>
  <si>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</si>
  <si>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</si>
  <si>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</si>
  <si>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</si>
  <si>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</si>
  <si>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</si>
  <si>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</si>
  <si>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</si>
  <si>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</si>
  <si>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</si>
  <si>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</si>
  <si>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</si>
  <si>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</si>
  <si>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</si>
  <si>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</si>
  <si>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</si>
  <si>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</si>
  <si>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</si>
  <si>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</si>
  <si>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</si>
  <si>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</si>
  <si>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</si>
  <si>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</si>
  <si>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</si>
  <si>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</si>
  <si>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</si>
  <si>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</si>
  <si>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</si>
  <si>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</si>
  <si>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</si>
  <si>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</si>
  <si>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</si>
  <si>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</si>
  <si>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</si>
  <si>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</si>
  <si>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</si>
  <si>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</si>
  <si>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</si>
  <si>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</si>
  <si>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</si>
  <si>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</si>
  <si>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</si>
  <si>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</si>
  <si>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</si>
  <si>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</si>
  <si>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</si>
  <si>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</si>
  <si>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</si>
  <si>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</si>
  <si>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</si>
  <si>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</si>
  <si>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</si>
  <si>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</si>
  <si>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</si>
  <si>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</si>
  <si>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</si>
  <si>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</si>
  <si>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</si>
  <si>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</si>
  <si>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</si>
  <si>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</si>
  <si>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</si>
  <si>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</si>
  <si>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</si>
  <si>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</si>
  <si>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</si>
  <si>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</si>
  <si>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</si>
  <si>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</si>
  <si>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</si>
  <si>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</si>
  <si>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</si>
  <si>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</si>
  <si>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</si>
  <si>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</si>
  <si>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</si>
  <si>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</si>
  <si>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</si>
  <si>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</si>
  <si>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</si>
  <si>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</si>
  <si>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</si>
  <si>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</si>
  <si>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</si>
  <si>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</si>
  <si>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</si>
  <si>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</si>
  <si>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</si>
  <si>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</si>
  <si>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</si>
  <si>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</si>
  <si>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</si>
  <si>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</si>
  <si>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</si>
  <si>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</si>
  <si>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</si>
  <si>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</si>
  <si>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</si>
  <si>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</si>
  <si>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</si>
  <si>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</si>
  <si>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</si>
  <si>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</si>
  <si>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</si>
  <si>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</si>
  <si>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</si>
  <si>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</si>
  <si>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</si>
  <si>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</si>
  <si>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</si>
  <si>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</si>
  <si>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</si>
  <si>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</si>
  <si>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</si>
  <si>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</si>
  <si>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</si>
  <si>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</si>
  <si>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</si>
  <si>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</si>
  <si>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</si>
  <si>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</si>
  <si>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</si>
  <si>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</si>
  <si>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</si>
  <si>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</si>
  <si>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</si>
  <si>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</si>
  <si>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</si>
  <si>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</si>
  <si>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</si>
  <si>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</si>
  <si>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</si>
  <si>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</si>
  <si>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</si>
  <si>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</si>
  <si>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</si>
  <si>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</si>
  <si>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</si>
  <si>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</si>
  <si>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</si>
  <si>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</si>
  <si>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</si>
  <si>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</si>
  <si>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</si>
  <si>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</si>
  <si>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</si>
  <si>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</si>
  <si>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</si>
  <si>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</si>
  <si>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</si>
  <si>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</si>
  <si>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</si>
  <si>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</si>
  <si>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</si>
  <si>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</si>
  <si>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</si>
  <si>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</si>
  <si>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</si>
  <si>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</si>
  <si>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</si>
  <si>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</si>
  <si>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</si>
  <si>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</si>
  <si>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</si>
  <si>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</si>
  <si>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</si>
  <si>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</si>
  <si>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</si>
  <si>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</si>
  <si>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</si>
  <si>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</si>
  <si>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</si>
  <si>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</si>
  <si>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</si>
  <si>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</si>
  <si>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</si>
  <si>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</si>
  <si>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</si>
  <si>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</si>
  <si>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</si>
  <si>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</si>
  <si>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</si>
  <si>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</si>
  <si>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</si>
  <si>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</si>
  <si>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</si>
  <si>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</si>
  <si>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</si>
  <si>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</si>
  <si>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</si>
  <si>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</si>
  <si>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</si>
  <si>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</si>
  <si>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</si>
  <si>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</si>
  <si>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</si>
  <si>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</si>
  <si>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</si>
  <si>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</si>
  <si>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</si>
  <si>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</si>
  <si>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</si>
  <si>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</si>
  <si>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</si>
  <si>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</si>
  <si>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</si>
  <si>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</si>
  <si>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</si>
  <si>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</si>
  <si>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</si>
  <si>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</si>
  <si>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</si>
  <si>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</si>
  <si>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</si>
  <si>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</si>
  <si>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</si>
  <si>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</si>
  <si>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</si>
  <si>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</si>
  <si>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</si>
  <si>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</si>
  <si>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</si>
  <si>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</si>
  <si>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</si>
  <si>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</si>
  <si>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</si>
  <si>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</si>
  <si>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</si>
  <si>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</si>
  <si>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</si>
  <si>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</si>
  <si>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</si>
  <si>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</si>
  <si>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</si>
  <si>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</si>
  <si>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</si>
  <si>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</si>
  <si>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</si>
  <si>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</si>
  <si>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</si>
  <si>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</si>
  <si>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</si>
  <si>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</si>
  <si>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</si>
  <si>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</si>
  <si>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</si>
  <si>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</si>
  <si>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</si>
  <si>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</si>
  <si>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</si>
  <si>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</si>
  <si>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</si>
  <si>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</si>
  <si>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</si>
  <si>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</si>
  <si>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</si>
  <si>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</si>
  <si>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</si>
  <si>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</si>
  <si>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</si>
  <si>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</si>
  <si>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</si>
  <si>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</si>
  <si>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</si>
  <si>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</si>
  <si>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</si>
  <si>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</si>
  <si>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</si>
  <si>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</si>
  <si>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</si>
  <si>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</si>
  <si>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</si>
  <si>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</si>
  <si>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</si>
  <si>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</si>
  <si>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</si>
  <si>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</si>
  <si>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</si>
  <si>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</si>
  <si>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</si>
  <si>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</si>
  <si>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</si>
  <si>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</si>
  <si>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</si>
  <si>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</si>
  <si>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</si>
  <si>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</si>
  <si>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</si>
  <si>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</si>
  <si>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</si>
  <si>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</si>
  <si>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</si>
  <si>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</si>
  <si>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</si>
  <si>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</si>
  <si>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</si>
  <si>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</si>
  <si>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</si>
  <si>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</si>
  <si>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</si>
  <si>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</si>
  <si>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</si>
  <si>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</si>
  <si>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</si>
  <si>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</si>
  <si>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</si>
  <si>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</si>
  <si>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</si>
  <si>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</si>
  <si>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</si>
  <si>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</si>
  <si>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</si>
  <si>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</si>
  <si>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</si>
  <si>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</si>
  <si>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</si>
  <si>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</si>
  <si>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</si>
  <si>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</si>
  <si>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</si>
  <si>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</si>
  <si>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</si>
  <si>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</si>
  <si>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</si>
  <si>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</si>
  <si>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</si>
  <si>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</si>
  <si>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</si>
  <si>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</si>
  <si>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</si>
  <si>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</si>
  <si>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</si>
  <si>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</si>
  <si>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</si>
  <si>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</si>
  <si>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</si>
  <si>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</si>
  <si>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</si>
  <si>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</si>
  <si>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</si>
  <si>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</si>
  <si>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</si>
  <si>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</si>
  <si>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</si>
  <si>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</si>
  <si>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</si>
  <si>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</si>
  <si>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</si>
  <si>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</si>
  <si>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</si>
  <si>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</si>
  <si>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</si>
  <si>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</si>
  <si>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</si>
  <si>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</si>
  <si>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</si>
  <si>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</si>
  <si>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</si>
  <si>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</si>
  <si>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</si>
  <si>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</si>
  <si>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</si>
  <si>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</si>
  <si>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</si>
  <si>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</si>
  <si>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</si>
  <si>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</si>
  <si>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</si>
  <si>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</si>
  <si>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</si>
  <si>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</si>
  <si>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</si>
  <si>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</si>
  <si>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</si>
  <si>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</si>
  <si>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</si>
  <si>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</si>
  <si>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</si>
  <si>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</si>
  <si>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</si>
  <si>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</si>
  <si>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</si>
  <si>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</si>
  <si>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</si>
  <si>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</si>
  <si>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</si>
  <si>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</si>
  <si>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</si>
  <si>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</si>
  <si>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</si>
  <si>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</si>
  <si>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</si>
  <si>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</si>
  <si>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</si>
  <si>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</si>
  <si>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</si>
  <si>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</si>
  <si>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</si>
  <si>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</si>
  <si>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</si>
  <si>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</si>
  <si>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</si>
  <si>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</si>
  <si>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</si>
  <si>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</si>
  <si>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</si>
  <si>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</si>
  <si>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</si>
  <si>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</si>
  <si>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</si>
  <si>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</si>
  <si>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</si>
  <si>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</si>
  <si>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</si>
  <si>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</si>
  <si>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</si>
  <si>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</si>
  <si>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</si>
  <si>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</si>
  <si>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</si>
  <si>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</si>
  <si>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</si>
  <si>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</si>
  <si>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</si>
  <si>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</si>
  <si>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</si>
  <si>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</si>
  <si>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</si>
  <si>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</si>
  <si>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</si>
  <si>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</si>
  <si>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</si>
  <si>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</si>
  <si>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</si>
  <si>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</si>
  <si>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</si>
  <si>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</si>
  <si>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</si>
  <si>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</si>
  <si>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</si>
  <si>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</si>
  <si>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</si>
  <si>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</si>
  <si>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</si>
  <si>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</si>
  <si>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</si>
  <si>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</si>
  <si>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</si>
  <si>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</si>
  <si>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</si>
  <si>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</si>
  <si>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</si>
  <si>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</si>
  <si>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</si>
  <si>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</si>
  <si>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</si>
  <si>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</si>
  <si>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</si>
  <si>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</si>
  <si>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</si>
  <si>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</si>
  <si>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</si>
  <si>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</si>
  <si>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</si>
  <si>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</si>
  <si>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</si>
  <si>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</si>
  <si>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</si>
  <si>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</si>
  <si>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</si>
  <si>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</si>
  <si>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</si>
  <si>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</si>
  <si>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</si>
  <si>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</si>
  <si>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</si>
  <si>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</si>
  <si>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</si>
  <si>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</si>
  <si>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</si>
  <si>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</si>
  <si>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</si>
  <si>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</si>
  <si>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</si>
  <si>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</si>
  <si>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</si>
  <si>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</si>
  <si>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</si>
  <si>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</si>
  <si>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</si>
  <si>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</si>
  <si>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</si>
  <si>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</si>
  <si>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</si>
  <si>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</si>
  <si>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</si>
  <si>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</si>
  <si>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</si>
  <si>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</si>
  <si>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</si>
  <si>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</si>
  <si>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</si>
  <si>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</si>
  <si>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</si>
  <si>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</si>
  <si>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</si>
  <si>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</si>
  <si>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</si>
  <si>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</si>
  <si>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</si>
  <si>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</si>
  <si>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</si>
  <si>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</si>
  <si>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</si>
  <si>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</si>
  <si>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</si>
  <si>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</si>
  <si>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</si>
  <si>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</si>
  <si>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</si>
  <si>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</si>
  <si>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</si>
  <si>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</si>
  <si>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</si>
  <si>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</si>
  <si>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</si>
  <si>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</si>
  <si>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</si>
  <si>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</si>
  <si>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</si>
  <si>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</si>
  <si>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</si>
  <si>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</si>
  <si>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</si>
  <si>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</si>
  <si>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</si>
  <si>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</si>
  <si>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</si>
  <si>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</si>
  <si>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</si>
  <si>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</si>
  <si>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</si>
  <si>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</si>
  <si>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</si>
  <si>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</si>
  <si>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</si>
  <si>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</si>
  <si>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</si>
  <si>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</si>
  <si>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</si>
  <si>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</si>
  <si>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</si>
  <si>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</si>
  <si>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</si>
  <si>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</si>
  <si>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</si>
  <si>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</si>
  <si>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</si>
  <si>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</si>
  <si>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</si>
  <si>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</si>
  <si>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</si>
  <si>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</si>
  <si>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</si>
  <si>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</si>
  <si>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</si>
  <si>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</si>
  <si>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</si>
  <si>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</si>
  <si>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</si>
  <si>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</si>
  <si>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</si>
  <si>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</si>
  <si>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</si>
  <si>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</si>
  <si>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</si>
  <si>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</si>
  <si>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</si>
  <si>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</si>
  <si>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</si>
  <si>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</si>
  <si>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</si>
  <si>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</si>
  <si>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</si>
  <si>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</si>
  <si>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</si>
  <si>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</si>
  <si>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</si>
  <si>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</si>
  <si>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</si>
  <si>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</si>
  <si>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</si>
  <si>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</si>
  <si>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</si>
  <si>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</si>
  <si>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</si>
  <si>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</si>
  <si>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</si>
  <si>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</si>
  <si>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</si>
  <si>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</si>
  <si>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</si>
  <si>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</si>
  <si>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</si>
  <si>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</si>
  <si>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</si>
  <si>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</si>
  <si>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</si>
  <si>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</si>
  <si>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</si>
  <si>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</si>
  <si>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</si>
  <si>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</si>
  <si>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</si>
  <si>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</si>
  <si>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</si>
  <si>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</si>
  <si>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</si>
  <si>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</si>
  <si>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</si>
  <si>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</si>
  <si>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</si>
  <si>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</si>
  <si>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</si>
  <si>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</si>
  <si>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</si>
  <si>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</si>
  <si>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</si>
  <si>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</si>
  <si>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</si>
  <si>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</si>
  <si>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</si>
  <si>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</si>
  <si>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</si>
  <si>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</si>
  <si>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</si>
  <si>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</si>
  <si>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</si>
  <si>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</si>
  <si>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</si>
  <si>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</si>
  <si>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</si>
  <si>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</si>
  <si>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</si>
  <si>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</si>
  <si>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</si>
  <si>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</si>
  <si>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</si>
  <si>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</si>
  <si>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</si>
  <si>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</si>
  <si>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</si>
  <si>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</si>
  <si>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</si>
  <si>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</si>
  <si>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</si>
  <si>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</si>
  <si>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</si>
  <si>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</si>
  <si>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</si>
  <si>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</si>
  <si>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</si>
  <si>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</si>
  <si>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</si>
  <si>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</si>
  <si>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</si>
  <si>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</si>
  <si>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</si>
  <si>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</si>
  <si>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</si>
  <si>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</si>
  <si>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</si>
  <si>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</si>
  <si>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</si>
  <si>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</si>
  <si>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</si>
  <si>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</si>
  <si>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</si>
  <si>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</si>
  <si>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</si>
  <si>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</si>
  <si>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</si>
  <si>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</si>
  <si>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</si>
  <si>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</si>
  <si>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</si>
  <si>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</si>
  <si>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</si>
  <si>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</si>
  <si>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</si>
  <si>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</si>
  <si>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</si>
  <si>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</si>
  <si>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</si>
  <si>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</si>
  <si>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</si>
  <si>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</si>
  <si>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</si>
  <si>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</si>
  <si>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</si>
  <si>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</si>
  <si>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</si>
  <si>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</si>
  <si>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</si>
  <si>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</si>
  <si>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</si>
  <si>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</si>
  <si>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</si>
  <si>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</si>
  <si>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</si>
  <si>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</si>
  <si>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</si>
  <si>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</si>
  <si>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</si>
  <si>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</si>
  <si>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</si>
  <si>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</si>
  <si>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</si>
  <si>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</si>
  <si>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</si>
  <si>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</si>
  <si>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</si>
  <si>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</si>
  <si>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</si>
  <si>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</si>
  <si>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</si>
  <si>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</si>
  <si>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</si>
  <si>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</si>
  <si>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</si>
  <si>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</si>
  <si>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</si>
  <si>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</si>
  <si>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</si>
  <si>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</si>
  <si>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</si>
  <si>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</si>
  <si>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</si>
  <si>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</si>
  <si>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</si>
  <si>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</si>
  <si>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</si>
  <si>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</si>
  <si>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</si>
  <si>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</si>
  <si>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</si>
  <si>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</si>
  <si>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</si>
  <si>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</si>
  <si>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</si>
  <si>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</si>
  <si>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</si>
  <si>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</si>
  <si>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</si>
  <si>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</si>
  <si>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</si>
  <si>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</si>
  <si>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</si>
  <si>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</si>
  <si>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</si>
  <si>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</si>
  <si>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</si>
  <si>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</si>
  <si>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</si>
  <si>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</si>
  <si>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</si>
  <si>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</si>
  <si>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</si>
  <si>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</si>
  <si>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</si>
  <si>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</si>
  <si>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</si>
  <si>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</si>
  <si>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</si>
  <si>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</si>
  <si>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</si>
  <si>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</si>
  <si>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</si>
  <si>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</si>
  <si>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</si>
  <si>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</si>
  <si>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</si>
  <si>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</si>
  <si>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</si>
  <si>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</si>
  <si>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</si>
  <si>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</si>
  <si>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</si>
  <si>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</si>
  <si>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</si>
  <si>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</si>
  <si>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</si>
  <si>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</si>
  <si>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</si>
  <si>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</si>
  <si>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</si>
  <si>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</si>
  <si>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</si>
  <si>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</si>
  <si>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</si>
  <si>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</si>
  <si>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</si>
  <si>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</si>
  <si>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</si>
  <si>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</si>
  <si>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</si>
  <si>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</si>
  <si>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</si>
  <si>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</si>
  <si>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</si>
  <si>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</si>
  <si>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</si>
  <si>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</si>
  <si>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</si>
  <si>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</si>
  <si>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</si>
  <si>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</si>
  <si>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</si>
  <si>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</si>
  <si>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</si>
  <si>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</si>
  <si>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</si>
  <si>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</si>
  <si>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</si>
  <si>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</si>
  <si>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</si>
  <si>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</si>
  <si>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</si>
  <si>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</si>
  <si>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</si>
  <si>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</si>
  <si>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</si>
  <si>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</si>
  <si>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</si>
  <si>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</si>
  <si>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</si>
  <si>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</si>
  <si>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</si>
  <si>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</si>
  <si>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</si>
  <si>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</si>
  <si>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</si>
  <si>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</si>
  <si>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</si>
  <si>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</si>
  <si>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</si>
  <si>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</si>
  <si>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</si>
  <si>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</si>
  <si>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</si>
  <si>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</si>
  <si>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</si>
  <si>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</si>
  <si>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</si>
  <si>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</si>
  <si>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</si>
  <si>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</si>
  <si>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</si>
  <si>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</si>
  <si>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</si>
  <si>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</si>
  <si>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</si>
  <si>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</si>
  <si>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</si>
  <si>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</si>
  <si>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</si>
  <si>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</si>
  <si>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</si>
  <si>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</si>
  <si>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</si>
  <si>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</si>
  <si>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</si>
  <si>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</si>
  <si>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</si>
  <si>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</si>
  <si>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</si>
  <si>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</si>
  <si>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</si>
  <si>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</si>
  <si>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</si>
  <si>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</si>
  <si>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</si>
  <si>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</si>
  <si>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</si>
  <si>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</si>
  <si>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</si>
  <si>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</si>
  <si>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</si>
  <si>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</si>
  <si>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</si>
  <si>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</si>
  <si>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</si>
  <si>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</si>
  <si>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</si>
  <si>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</si>
  <si>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</si>
  <si>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</si>
  <si>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</si>
  <si>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</si>
  <si>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</si>
  <si>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</si>
  <si>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</si>
  <si>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</si>
  <si>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</si>
  <si>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</si>
  <si>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</si>
  <si>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</si>
  <si>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</si>
  <si>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</si>
  <si>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</si>
  <si>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</si>
  <si>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</si>
  <si>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</si>
  <si>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</si>
  <si>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</si>
  <si>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</si>
  <si>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</si>
  <si>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</si>
  <si>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</si>
  <si>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</si>
  <si>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</si>
  <si>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</si>
  <si>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</si>
  <si>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</si>
  <si>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</si>
  <si>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</si>
  <si>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</si>
  <si>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</si>
  <si>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</si>
  <si>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</si>
  <si>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</si>
  <si>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</si>
  <si>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</si>
  <si>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</si>
  <si>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</si>
  <si>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</si>
  <si>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</si>
  <si>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</si>
  <si>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</si>
  <si>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</si>
  <si>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</si>
  <si>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</si>
  <si>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</si>
  <si>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</si>
  <si>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</si>
  <si>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</si>
  <si>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</si>
  <si>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</si>
  <si>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</si>
  <si>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</si>
  <si>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</si>
  <si>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</si>
  <si>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</si>
  <si>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</si>
  <si>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</si>
  <si>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</si>
  <si>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</si>
  <si>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</si>
  <si>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</si>
  <si>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</si>
  <si>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</si>
  <si>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</si>
  <si>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</si>
  <si>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</si>
  <si>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</si>
  <si>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</si>
  <si>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</si>
  <si>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</si>
  <si>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</si>
  <si>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</si>
  <si>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</si>
  <si>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</si>
  <si>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</si>
  <si>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</si>
  <si>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</si>
  <si>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</si>
  <si>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</si>
  <si>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</si>
  <si>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</si>
  <si>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</si>
  <si>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</si>
  <si>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</si>
  <si>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</si>
  <si>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</si>
  <si>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</si>
  <si>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</si>
  <si>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</si>
  <si>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</si>
  <si>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Yes</t>
  </si>
  <si>
    <t>Competitive Round</t>
  </si>
  <si>
    <t>Dave Loeffel</t>
  </si>
  <si>
    <t>dloeffel@waltoncommunities.com</t>
  </si>
  <si>
    <t>2181 Newmarket Parkway</t>
  </si>
  <si>
    <t>Poplar Pointe</t>
  </si>
  <si>
    <t>Yes- w/Master Plan</t>
  </si>
  <si>
    <t>GA Hwy 278</t>
  </si>
  <si>
    <t>No</t>
  </si>
  <si>
    <t>City of Hiram</t>
  </si>
  <si>
    <t>217 Main Street</t>
  </si>
  <si>
    <t>HFOP</t>
  </si>
  <si>
    <t>Keith A. Davidson</t>
  </si>
  <si>
    <t>Co-Manager of GP</t>
  </si>
  <si>
    <t>Poplar Pointe, L.P.</t>
  </si>
  <si>
    <t>kdavidson@waltoncommunities.com</t>
  </si>
  <si>
    <t>Poplar Pointe GP LLC</t>
  </si>
  <si>
    <t>KDTA Development, Inc.</t>
  </si>
  <si>
    <t>Co-Manager</t>
  </si>
  <si>
    <t>Paladin, Inc.</t>
  </si>
  <si>
    <t>Phil Ellen</t>
  </si>
  <si>
    <t>745 Ponce de Leon Terrace</t>
  </si>
  <si>
    <t>Executive Director</t>
  </si>
  <si>
    <t>phillipellen@aol.com</t>
  </si>
  <si>
    <t>Walton Construction Services</t>
  </si>
  <si>
    <t>6640 Akers Mill Road; Bldg 1700</t>
  </si>
  <si>
    <t>Mark Stovall</t>
  </si>
  <si>
    <t>President</t>
  </si>
  <si>
    <t>Walton Communities, LLC</t>
  </si>
  <si>
    <t>Arnall Golden Gregory</t>
  </si>
  <si>
    <t>171 17th Street NW; Suite 2100</t>
  </si>
  <si>
    <t>Jeff Adams</t>
  </si>
  <si>
    <t>Attorney</t>
  </si>
  <si>
    <t>The Reznick Group</t>
  </si>
  <si>
    <t>5607 Glenridge Drive</t>
  </si>
  <si>
    <t>Galier.Tolson.French Design Associates, LLC</t>
  </si>
  <si>
    <t>2344 Hwy 121, Suite 100</t>
  </si>
  <si>
    <t>Bedford</t>
  </si>
  <si>
    <t>Marc Tolson</t>
  </si>
  <si>
    <t>marc@gtfdesign.com</t>
  </si>
  <si>
    <t>Suntrust</t>
  </si>
  <si>
    <t>Amortizing</t>
  </si>
  <si>
    <t>Blue prints/Federal Express Fees</t>
  </si>
  <si>
    <t>Electric Heat Pump</t>
  </si>
  <si>
    <t>3+ Story</t>
  </si>
  <si>
    <t>For Profit</t>
  </si>
  <si>
    <t>Agree</t>
  </si>
  <si>
    <t>Real Property Research Group - Tad Scepaniak</t>
  </si>
  <si>
    <t>NA</t>
  </si>
  <si>
    <t>Covered Porch</t>
  </si>
  <si>
    <t>On-site laundry</t>
  </si>
  <si>
    <t>Fitness Center</t>
  </si>
  <si>
    <t>Furnished Arts and Crafts/ Activity Center</t>
  </si>
  <si>
    <t>Qualified without Conditions</t>
  </si>
  <si>
    <t>Earth Craft House Multifamily</t>
  </si>
  <si>
    <t>Pass</t>
  </si>
  <si>
    <t>Stable Communities &lt; 10%</t>
  </si>
  <si>
    <t>Poplar Pointe Walton State Credit, LLC</t>
  </si>
  <si>
    <t>TBD</t>
  </si>
  <si>
    <t>HUD &amp; DCA Cost Review as a result of GC / GP Identity of Interest</t>
  </si>
  <si>
    <t>Blue Prints, Copes, FedEx</t>
  </si>
  <si>
    <t>GP Legal Fees</t>
  </si>
  <si>
    <t>Georgia Department of Community Affairs</t>
  </si>
  <si>
    <t>MF</t>
  </si>
  <si>
    <t>PA12-71</t>
  </si>
  <si>
    <t>1 Barry Teague</t>
  </si>
  <si>
    <t>2 Lynda Ausburn</t>
  </si>
  <si>
    <t>3 David Knight</t>
  </si>
  <si>
    <t>4 Keith Davidson</t>
  </si>
  <si>
    <t>5 Tom Wilkes</t>
  </si>
  <si>
    <t>6 Dave Loeffel</t>
  </si>
  <si>
    <t>Walton Oaks Family 2</t>
  </si>
  <si>
    <t>Mayor</t>
  </si>
  <si>
    <t>Doris Devey</t>
  </si>
  <si>
    <t>745 Ponce De Leon Terrace</t>
  </si>
  <si>
    <t>Walton Pointe State Credit, LLC</t>
  </si>
  <si>
    <t>Keith Davidson</t>
  </si>
  <si>
    <t>mstovall@waltoncommunities.com</t>
  </si>
  <si>
    <t>Jeffrey.Adams@AGG.com</t>
  </si>
  <si>
    <t>wendy.langlais@reznickgroup.com</t>
  </si>
  <si>
    <t>Wendy R. Langlais</t>
  </si>
  <si>
    <t>Tax Principal</t>
  </si>
  <si>
    <t>The entities above share some of the same partners.  The partners in the entities indicated above to have an identity of interest are:
Walton Members of the GP: L. Barry Teague, Lynda T. Ausburn, W. David Knight, Keith A. Davidson, David K. Loeffel
Co-Developer: L. Barry Teague, Lynda T. Ausburn, W. David Knight, Keith A. Davidson
Contractor: L. Barry Teague, Lynda T. Ausburn, W. David Knight, Keith A. Davidson, Mark Stovall
Management Company: L. Barry Teague, Lynda T. Ausburn, W. David Knight, Keith A. Davidson</t>
  </si>
  <si>
    <t>Enercon</t>
  </si>
  <si>
    <t>Ground lease/Option</t>
  </si>
  <si>
    <t>Please see the Master Declaration of Easements and Covenants in tab 10.  Sections 3.1 and 3.2 provide access.</t>
  </si>
  <si>
    <t>Not applicable</t>
  </si>
  <si>
    <t>Greystone Power Corporation</t>
  </si>
  <si>
    <t>This is the redevelopment of an office condo deal.  Much of the infrastructure will be reused including substantially all of the storm sewer and detention facilities.  In addition, this development leverages the locations ample amenities, including adjacent public transportation and a multitude of jobs, shopping, medical, and entertainment options.</t>
  </si>
  <si>
    <t>Room</t>
  </si>
  <si>
    <t>Temporary: Phillip Ellen</t>
  </si>
  <si>
    <t>The land is being leased at a nominal value to the partnership, therefore there is no appraisal included.</t>
  </si>
  <si>
    <t>9 to 10 months at 10 units per month</t>
  </si>
  <si>
    <t>Harry Walls Environmental Consulting</t>
  </si>
  <si>
    <t>Road, Rail and Airport Noise</t>
  </si>
  <si>
    <t>Racially mixed</t>
  </si>
  <si>
    <t>1202.02, 0315.01, 0802.01, 0803.01, 0804.01, 1204.00, 1205.00</t>
  </si>
  <si>
    <t>There is a creek on the site.  New construction will not be done within 100' of the creek.  There has been construction done in the past within the 100' buffer, but this will be reused.
In regard to the 8-step process, according to http://www.fema.gov/plan/ehp/regionviii/8steps.shtm, if no floodplain or wetlands are identified, you are done after the first step.</t>
  </si>
  <si>
    <t>Office Condo Development</t>
  </si>
  <si>
    <t>While there are no buildings on the site, the project will be built on and reuse vast amount of the development work done for the office condos.  This includes, the detention facility, sewer and water infrastructure, and parking.</t>
  </si>
  <si>
    <t>The Poplar Pointe project presents a unique opportunity to reclaim an abandoned section of an office condominium project by reusing drives and infrastructure.  This Greyfield land will be repurposed for a senior community that will offer walkable public transportation and shopping.  The community will leverage the strong reputation of Walton Communities who have developed over 29 communities and 6,800 units and the non-profit partner Paladin Inc. who has over 28 communities and 1,300 affordable units.  This partnership leverages the experience of two qualified developers, both an experienced non-profit and a financially strong and experienced for-profit developer.</t>
  </si>
  <si>
    <t>The Poplar Pointe project presents a unique opportunity to reclaim an abandoned section of an office condominium project by reusing drives and infrastructure.  This Greyfield land will be repurposed for a senior community that will offer walkable public transportation and shopping.  The community will leverage the strong reputation of Walton Communities who have developed over 29 communities and 6,800 units and the non-profit partner Paladin Inc. who has over 28 communities and 1,300 affordable units.  This partnership leverages the experience of two qualified developers, both an experienced non-profit and a financially strong and experienced for-profit developer.
Description of Proposed Project
Overview
Poplar Pointe is a 7-acre community developed and built by Walton Communities, LLC in partnership with Paladin, Inc.  The community consists of:
• Senior Phase – 105 age-restricted (55+) apartments (100% Affordable)
Description of Proposed Project
General Description
The Senior Apartments of Poplar Pointe will target an age restricted resident population that will provide Class A apartments for seniors with limited incomes.  Many will depend solely upon income from Social Security, while others may utilize pension and/or investment income to supplement Social Security.  Most residents will be retirees and some may work part time.  Many will have children and other family members living nearby.
The Developers seek out senior residents through a variety of sources including our existing waiting lists and print advertising in publications targeted toward this market (Senior Outlook, Mature Living, Senior News).  Additionally, our involvement with civic organizations which focus on seniors brings us in touch with potential residents.   A significant number of seniors find the community through word-of-mouth (churches, family members).
Poplar Pointe will serve our senior adult residents by sponsoring programs such as the Fifty+ Club.  These residents will enjoy cultural activities, field trips, and social functions throughout the year.  Many residents will use these functions as their primary opportunity for social interaction.
Additionally, Poplar Pointe will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services.
Description of Proposed Project
Architectural and Landscaping
Architectural Design
The project will be designed in a high quality architectural style consistent with other Walton Communities, utilizing features which compliment the neighborhood with which we are integrating.  These include the use of brick and hardi exteriors, standing seam metal roof accents, and attractive decks and patios with enlarged columns.  
Construction materials will include hardi siding in a neutral palette, accented with brick and masonry.  Tilt-out insulated aluminum windows will provide an attractive exterior appearance as well as excellent energy efficiency.  All units will be handicap accessible and as such will be fitted with all appropriate handicap features as required by local and federal building codes.  Several apartment units will be handicap adaptable and some will have features specifically designed for those with audio &amp;/or visual impairments.  
Landscaping and Site Design
Walton Communities places great emphasis on landscaping to provide lush streetscapes, mature trees and shrubs, colorful seasonal annual and perennial beds and impressive community entrances.  The community will continue this tradition by insuring that all planted areas contain landscape materials of high-quality and above-average size.  All trees will be a minimum caliper size of 2” in diameter and shrubs shall have a minimum height of 24”.  Ground covers shall be a minimum size of 1 gallon and placed a minimum of 18” on center.  
Areas of central focal point will include the amazingly preserved large caliper oaks on the site, sodded lawns, seasonal planting beds and attractive fencing.  High-end entry signage will be comparable to other Walton communities.
Projected Unit Mix   # Units  Unit Size     
1-BR/1-BA         40       ± 811 sq. ft.  
2-BR/2-BA         65  ± 1200 sq. ft.  
Description of Proposed Project
DCA Required Amenities
Standard Site Amenities
1. Community Room
2. Covered Porch Located in a central area
3. On-site laundry with a minimum of 3 washers and 3 dryers
4. Washer / Dryer Hookups in each unit
Additional Site Amenities
1. Furnished Exercise / Fitness Center
2. Arts &amp; Crafts / Activity Center
Unit Amenities
1. HVAC Systems
2. Energy Star Refrigerators
3. Built in Energy Star Dishwasher
4. Stoves
5. Powder-based stovetop fire suppression canisters installed above the range cook top
Additional Amenities for Seniors
1. Elevators
2. Gathering areas throughout the buildings
3. Senior Units to be 100% accessible and adaptable, as defined by the Fair Housing Amendments Act
Description of Proposed Project
Additional Amenities
Additional Amenities Descriptions
• Fully-equipped kitchens featuring Whirlpool electric range, dishwasher, refrigerator with icemaker and disposal
• Traditional oak cabinetry with generous counter space
• Breakfast bar
• Double bowl stainless steel kitchen sink with spray
• Separate utility room with washer/dryer connections and pantry
• Spacious walk-in closets with double rods for maximum efficiency
• Roomy master bath with linen closet
• Ceiling fan
• Six-panel doors and 9’ ceilings
• Cable outlets in living room and all bedrooms
• Energy-efficient double-pane windows
• Computer desk with pre-wiring for home office technology and high-speed internet and fax capabilities
• In-sink disposal</t>
  </si>
  <si>
    <t>* To all applicants: please provide methodology for determining applicable construction hard costs.
X) Although an appraisal is not needed for the applictation, the bank still requires an appraisal even though this is a nominal land lease deal.
X) Insurance is based on a quote which can be found in Tab 8 of our application.
X) Building permit costs are estimated based on fee schedules found on Paulding County's web site. 
X) Water meters are already installed, so their cost is zero.  It's not waived, it's been paid when the site was developed.
X) Sewer fees are paid based on estimated usage. Here we are basing the fee on Paulding County's fee of $5,100 per unit and then subtracting the fees that have already been paid.  See Tab 8 for details.
X) Reserves are listed as the amounts required in the Equity commitment letter.</t>
  </si>
  <si>
    <t>23.0 percent</t>
  </si>
  <si>
    <t xml:space="preserve">*To all Applicants: Real estate taxes shown in Operating Budget should be prior to any tax abatement.  Please provide methodology for real estate tax calculation. 
**To all Applicants: Please provide methodology for insurance calculation.
X) Proeprty Taxes are estimated by Shane Moncrief of ONESOURCE(tm) Property Tax who does all of Walton Communities property tax consulting work.  The quote from ONESOURCE is included in Tab 8.
X) Insurance is quoted at $200 per unit per year, which is the average insurance expense level of the Walton Communities portfolio.  The quote from JSL is included in Tab 8.
</t>
  </si>
  <si>
    <t>2012-018</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</si>
</sst>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2">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
      <u/>
      <sz val="10"/>
      <color theme="11"/>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right style="medium">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cellStyleXfs>
  <cellXfs count="171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95" xfId="0" applyFont="1" applyFill="1" applyBorder="1" applyAlignment="1" applyProtection="1">
      <alignment horizontal="left" vertical="center"/>
    </xf>
    <xf numFmtId="0" fontId="53" fillId="5" borderId="96"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0" fontId="57" fillId="5" borderId="97" xfId="0" applyFont="1" applyFill="1" applyBorder="1" applyAlignment="1" applyProtection="1">
      <alignment horizont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49" fontId="1" fillId="5" borderId="84" xfId="0" applyNumberFormat="1" applyFont="1" applyFill="1" applyBorder="1" applyAlignment="1" applyProtection="1">
      <alignment horizontal="left" vertical="center"/>
    </xf>
    <xf numFmtId="49" fontId="1" fillId="5" borderId="88" xfId="0" applyNumberFormat="1" applyFont="1" applyFill="1" applyBorder="1" applyAlignment="1" applyProtection="1">
      <alignment horizontal="left" vertical="center"/>
    </xf>
    <xf numFmtId="49" fontId="1" fillId="5" borderId="85" xfId="0" applyNumberFormat="1" applyFont="1" applyFill="1" applyBorder="1" applyAlignment="1" applyProtection="1">
      <alignment horizontal="left" vertical="center"/>
    </xf>
    <xf numFmtId="0" fontId="1" fillId="5" borderId="84" xfId="0" applyFont="1" applyFill="1" applyBorder="1" applyAlignment="1" applyProtection="1">
      <alignment horizontal="left" vertical="center"/>
    </xf>
    <xf numFmtId="0" fontId="0" fillId="0" borderId="88" xfId="0" applyBorder="1" applyProtection="1"/>
    <xf numFmtId="0" fontId="0" fillId="0" borderId="85" xfId="0" applyBorder="1" applyProtection="1"/>
    <xf numFmtId="167" fontId="1" fillId="5" borderId="84" xfId="0" applyNumberFormat="1" applyFont="1" applyFill="1" applyBorder="1" applyAlignment="1" applyProtection="1">
      <alignment horizontal="left" vertical="center"/>
    </xf>
    <xf numFmtId="167" fontId="1" fillId="5" borderId="88" xfId="0" applyNumberFormat="1" applyFont="1" applyFill="1" applyBorder="1" applyAlignment="1" applyProtection="1">
      <alignment horizontal="left" vertical="center"/>
    </xf>
    <xf numFmtId="167" fontId="1" fillId="5" borderId="85" xfId="0" applyNumberFormat="1" applyFont="1" applyFill="1" applyBorder="1" applyAlignment="1" applyProtection="1">
      <alignment horizontal="left" vertical="center"/>
    </xf>
    <xf numFmtId="0" fontId="0" fillId="5" borderId="84" xfId="0" applyFont="1" applyFill="1" applyBorder="1" applyAlignment="1" applyProtection="1">
      <alignment horizontal="left" vertical="center"/>
    </xf>
    <xf numFmtId="0" fontId="57" fillId="0" borderId="0" xfId="0" applyFont="1" applyBorder="1" applyProtection="1"/>
    <xf numFmtId="0" fontId="57" fillId="5" borderId="84" xfId="0" applyFont="1" applyFill="1" applyBorder="1" applyAlignment="1" applyProtection="1">
      <alignment horizontal="left" vertical="center"/>
    </xf>
    <xf numFmtId="0" fontId="57" fillId="0" borderId="88" xfId="0" applyFont="1" applyBorder="1" applyProtection="1"/>
    <xf numFmtId="0" fontId="57" fillId="0" borderId="85" xfId="0" applyFont="1" applyBorder="1" applyProtection="1"/>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167" fontId="1" fillId="5" borderId="84" xfId="0" applyNumberFormat="1" applyFont="1" applyFill="1" applyBorder="1" applyAlignment="1" applyProtection="1">
      <alignment horizontal="center"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4" xfId="0" applyNumberFormat="1" applyFont="1" applyFill="1" applyBorder="1" applyAlignment="1" applyProtection="1">
      <alignment horizontal="right" vertical="center"/>
    </xf>
    <xf numFmtId="38" fontId="57" fillId="5" borderId="85"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 fillId="6"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21">
    <cellStyle name="Comma" xfId="1" builtinId="3"/>
    <cellStyle name="Currency" xfId="2" builtinId="4"/>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enableFormatConditionsCalculation="0">
    <pageSetUpPr fitToPage="1"/>
  </sheetPr>
  <dimension ref="A1:I244"/>
  <sheetViews>
    <sheetView showGridLines="0" zoomScale="115" zoomScaleNormal="115" zoomScalePageLayoutView="150" workbookViewId="0">
      <selection sqref="A1:XFD1048576"/>
    </sheetView>
  </sheetViews>
  <sheetFormatPr defaultColWidth="8.7109375" defaultRowHeight="12.75"/>
  <cols>
    <col min="1" max="1" width="3.42578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8.7109375" style="31"/>
  </cols>
  <sheetData>
    <row r="1" spans="1:9" s="40" customFormat="1" ht="14.65" customHeight="1">
      <c r="A1" s="869" t="str">
        <f>CONCATENATE("2012 Application Binder Tabs Checklist For: ",'Part I-Project Information'!$O$4,", ",'Part I-Project Information'!$F$22,", ",'Part I-Project Information'!$J$25," County")</f>
        <v>2012 Application Binder Tabs Checklist For: 2012-018, Poplar Pointe, Paulding County</v>
      </c>
      <c r="B1" s="869"/>
      <c r="C1" s="869"/>
      <c r="D1" s="869"/>
      <c r="E1" s="869"/>
      <c r="F1" s="869"/>
      <c r="G1" s="869"/>
    </row>
    <row r="2" spans="1:9" s="40" customFormat="1" ht="11.65" customHeight="1">
      <c r="A2" s="870" t="s">
        <v>669</v>
      </c>
      <c r="B2" s="871"/>
      <c r="C2" s="871"/>
      <c r="D2" s="871"/>
      <c r="E2" s="871"/>
      <c r="F2" s="871"/>
      <c r="G2" s="871"/>
    </row>
    <row r="3" spans="1:9" s="40" customFormat="1" ht="25.15" customHeight="1">
      <c r="A3" s="883" t="s">
        <v>3554</v>
      </c>
      <c r="B3" s="883"/>
      <c r="C3" s="883"/>
      <c r="D3" s="883"/>
      <c r="E3" s="883"/>
      <c r="F3" s="883"/>
      <c r="G3" s="883"/>
    </row>
    <row r="4" spans="1:9" s="40" customFormat="1" ht="8.25" customHeight="1">
      <c r="A4" s="95"/>
      <c r="B4" s="872" t="s">
        <v>1243</v>
      </c>
      <c r="C4" s="873"/>
      <c r="D4" s="873"/>
      <c r="E4" s="873" t="s">
        <v>3619</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4" customHeight="1">
      <c r="A8" s="101"/>
      <c r="B8" s="789"/>
      <c r="C8" s="390"/>
      <c r="D8" s="390"/>
      <c r="E8" s="789" t="s">
        <v>993</v>
      </c>
      <c r="F8" s="390"/>
      <c r="G8" s="1234" t="s">
        <v>3976</v>
      </c>
      <c r="I8" s="1235"/>
    </row>
    <row r="9" spans="1:9" s="40" customFormat="1" ht="12.4" customHeight="1" thickBot="1">
      <c r="A9" s="101"/>
      <c r="B9" s="789"/>
      <c r="C9" s="390"/>
      <c r="D9" s="390"/>
      <c r="E9" s="391" t="s">
        <v>3942</v>
      </c>
      <c r="F9" s="391"/>
      <c r="G9" s="1234" t="s">
        <v>3976</v>
      </c>
      <c r="I9" s="1235"/>
    </row>
    <row r="10" spans="1:9" s="40" customFormat="1" ht="12.4"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3976</v>
      </c>
    </row>
    <row r="12" spans="1:9" s="40" customFormat="1" ht="12.4" customHeight="1">
      <c r="A12" s="386"/>
      <c r="B12" s="1237"/>
      <c r="C12" s="1237"/>
      <c r="D12" s="1237"/>
      <c r="E12" s="1236" t="s">
        <v>3943</v>
      </c>
      <c r="F12" s="395"/>
      <c r="G12" s="1234" t="s">
        <v>2104</v>
      </c>
    </row>
    <row r="13" spans="1:9" s="40" customFormat="1" ht="12.4"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3976</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3976</v>
      </c>
    </row>
    <row r="17" spans="1:7" s="40" customFormat="1" ht="12" customHeight="1">
      <c r="A17" s="101"/>
      <c r="B17" s="239"/>
      <c r="C17" s="789"/>
      <c r="D17" s="391"/>
      <c r="E17" s="391" t="s">
        <v>3930</v>
      </c>
      <c r="F17" s="391"/>
      <c r="G17" s="1234" t="s">
        <v>3976</v>
      </c>
    </row>
    <row r="18" spans="1:7" s="40" customFormat="1" ht="12" customHeight="1">
      <c r="A18" s="101"/>
      <c r="B18" s="239"/>
      <c r="C18" s="789"/>
      <c r="D18" s="391"/>
      <c r="E18" s="391" t="s">
        <v>3970</v>
      </c>
      <c r="F18" s="391"/>
      <c r="G18" s="1234" t="s">
        <v>3976</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3976</v>
      </c>
    </row>
    <row r="36" spans="1:7" s="40" customFormat="1" ht="12" customHeight="1">
      <c r="A36" s="97"/>
      <c r="B36" s="393"/>
      <c r="C36" s="393"/>
      <c r="D36" s="393"/>
      <c r="E36" s="395" t="s">
        <v>3336</v>
      </c>
      <c r="F36" s="394"/>
      <c r="G36" s="1234" t="s">
        <v>3976</v>
      </c>
    </row>
    <row r="37" spans="1:7" s="40" customFormat="1" ht="12" customHeight="1">
      <c r="A37" s="97"/>
      <c r="B37" s="393"/>
      <c r="C37" s="393"/>
      <c r="D37" s="393"/>
      <c r="E37" s="395" t="s">
        <v>168</v>
      </c>
      <c r="F37" s="394"/>
      <c r="G37" s="1234" t="s">
        <v>3976</v>
      </c>
    </row>
    <row r="38" spans="1:7" s="40" customFormat="1" ht="26.25" customHeight="1">
      <c r="A38" s="97"/>
      <c r="B38" s="393"/>
      <c r="C38" s="393"/>
      <c r="D38" s="393"/>
      <c r="E38" s="865" t="s">
        <v>3697</v>
      </c>
      <c r="F38" s="866"/>
      <c r="G38" s="1234" t="s">
        <v>3976</v>
      </c>
    </row>
    <row r="39" spans="1:7" s="40" customFormat="1" ht="12" customHeight="1">
      <c r="A39" s="101"/>
      <c r="B39" s="239"/>
      <c r="C39" s="391"/>
      <c r="D39" s="391"/>
      <c r="E39" s="395" t="s">
        <v>3275</v>
      </c>
      <c r="F39" s="391"/>
      <c r="G39" s="1234" t="s">
        <v>3976</v>
      </c>
    </row>
    <row r="40" spans="1:7" s="40" customFormat="1" ht="12" customHeight="1">
      <c r="A40" s="101"/>
      <c r="B40" s="239"/>
      <c r="C40" s="391"/>
      <c r="D40" s="391"/>
      <c r="E40" s="395" t="s">
        <v>3635</v>
      </c>
      <c r="F40" s="391"/>
      <c r="G40" s="1234" t="s">
        <v>3976</v>
      </c>
    </row>
    <row r="41" spans="1:7" s="40" customFormat="1" ht="12" customHeight="1">
      <c r="A41" s="97"/>
      <c r="B41" s="393"/>
      <c r="C41" s="393"/>
      <c r="D41" s="393"/>
      <c r="E41" s="395" t="s">
        <v>1782</v>
      </c>
      <c r="F41" s="394"/>
      <c r="G41" s="1234" t="s">
        <v>3976</v>
      </c>
    </row>
    <row r="42" spans="1:7" s="40" customFormat="1" ht="12" customHeight="1">
      <c r="A42" s="97"/>
      <c r="B42" s="393"/>
      <c r="C42" s="393"/>
      <c r="D42" s="393"/>
      <c r="E42" s="395" t="s">
        <v>1781</v>
      </c>
      <c r="F42" s="394"/>
      <c r="G42" s="1234" t="s">
        <v>3976</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65" t="s">
        <v>3698</v>
      </c>
      <c r="F47" s="866"/>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3976</v>
      </c>
    </row>
    <row r="50" spans="1:7" s="40" customFormat="1" ht="13.5">
      <c r="A50" s="386"/>
      <c r="B50" s="406"/>
      <c r="C50" s="1245" t="s">
        <v>3931</v>
      </c>
      <c r="D50" s="391"/>
      <c r="E50" s="865" t="s">
        <v>3969</v>
      </c>
      <c r="F50" s="866"/>
      <c r="G50" s="1234" t="s">
        <v>3976</v>
      </c>
    </row>
    <row r="51" spans="1:7" s="40" customFormat="1" ht="12" customHeight="1">
      <c r="A51" s="101"/>
      <c r="B51" s="239"/>
      <c r="C51" s="789"/>
      <c r="D51" s="391"/>
      <c r="E51" s="391" t="s">
        <v>3260</v>
      </c>
      <c r="F51" s="391"/>
      <c r="G51" s="1234" t="s">
        <v>3976</v>
      </c>
    </row>
    <row r="52" spans="1:7" s="40" customFormat="1" ht="12" customHeight="1">
      <c r="A52" s="101"/>
      <c r="B52" s="239"/>
      <c r="C52" s="789"/>
      <c r="D52" s="391"/>
      <c r="E52" s="391" t="s">
        <v>3918</v>
      </c>
      <c r="F52" s="391"/>
      <c r="G52" s="1234" t="s">
        <v>3976</v>
      </c>
    </row>
    <row r="53" spans="1:7" s="40" customFormat="1" ht="12" customHeight="1">
      <c r="A53" s="101"/>
      <c r="B53" s="239"/>
      <c r="C53" s="391"/>
      <c r="D53" s="391"/>
      <c r="E53" s="395" t="s">
        <v>3201</v>
      </c>
      <c r="F53" s="395"/>
      <c r="G53" s="1234" t="s">
        <v>3976</v>
      </c>
    </row>
    <row r="54" spans="1:7" s="40" customFormat="1" ht="12" customHeight="1">
      <c r="A54" s="101"/>
      <c r="B54" s="239"/>
      <c r="C54" s="391"/>
      <c r="D54" s="391"/>
      <c r="E54" s="865" t="s">
        <v>3920</v>
      </c>
      <c r="F54" s="866"/>
      <c r="G54" s="1234" t="s">
        <v>3976</v>
      </c>
    </row>
    <row r="55" spans="1:7" s="40" customFormat="1" ht="3" customHeight="1">
      <c r="A55" s="97"/>
      <c r="B55" s="393"/>
      <c r="C55" s="393"/>
      <c r="D55" s="393"/>
      <c r="E55" s="393"/>
      <c r="F55" s="394"/>
      <c r="G55" s="311"/>
    </row>
    <row r="56" spans="1:7" s="40" customFormat="1" ht="12" customHeight="1">
      <c r="A56" s="101"/>
      <c r="B56" s="395"/>
      <c r="C56" s="868" t="s">
        <v>3923</v>
      </c>
      <c r="D56" s="868"/>
      <c r="E56" s="395" t="s">
        <v>3288</v>
      </c>
      <c r="F56" s="395"/>
      <c r="G56" s="1234" t="s">
        <v>3976</v>
      </c>
    </row>
    <row r="57" spans="1:7" s="40" customFormat="1" ht="12" customHeight="1">
      <c r="A57" s="101"/>
      <c r="B57" s="395"/>
      <c r="C57" s="868"/>
      <c r="D57" s="868"/>
      <c r="E57" s="395" t="s">
        <v>3289</v>
      </c>
      <c r="F57" s="395"/>
      <c r="G57" s="1234" t="s">
        <v>3976</v>
      </c>
    </row>
    <row r="58" spans="1:7" s="1246" customFormat="1" ht="12" customHeight="1">
      <c r="A58" s="101"/>
      <c r="B58" s="395"/>
      <c r="C58" s="395"/>
      <c r="D58" s="414"/>
      <c r="E58" s="395" t="s">
        <v>3309</v>
      </c>
      <c r="F58" s="395"/>
      <c r="G58" s="1234" t="s">
        <v>3976</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65" t="s">
        <v>3690</v>
      </c>
      <c r="F61" s="866"/>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65" t="s">
        <v>3693</v>
      </c>
      <c r="F65" s="866"/>
      <c r="G65" s="1234" t="s">
        <v>2104</v>
      </c>
    </row>
    <row r="66" spans="1:7" s="40" customFormat="1" ht="12" customHeight="1">
      <c r="A66" s="101"/>
      <c r="D66" s="391"/>
      <c r="E66" s="867" t="s">
        <v>3694</v>
      </c>
      <c r="F66" s="866"/>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2104</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3976</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3976</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3976</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3976</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3684</v>
      </c>
      <c r="F112" s="866"/>
      <c r="G112" s="1234" t="s">
        <v>3976</v>
      </c>
    </row>
    <row r="113" spans="1:7" s="40" customFormat="1" ht="12" customHeight="1">
      <c r="A113" s="101"/>
      <c r="B113" s="395"/>
      <c r="C113" s="239"/>
      <c r="D113" s="395"/>
      <c r="E113" s="395" t="s">
        <v>680</v>
      </c>
      <c r="F113" s="401"/>
      <c r="G113" s="1234" t="s">
        <v>3976</v>
      </c>
    </row>
    <row r="114" spans="1:7" s="40" customFormat="1" ht="12" customHeight="1">
      <c r="A114" s="101"/>
      <c r="B114" s="391"/>
      <c r="C114" s="239"/>
      <c r="D114" s="391"/>
      <c r="E114" s="395" t="s">
        <v>3607</v>
      </c>
      <c r="F114" s="397"/>
      <c r="G114" s="1234" t="s">
        <v>3976</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3976</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3976</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3687</v>
      </c>
      <c r="F121" s="865"/>
      <c r="G121" s="1234" t="s">
        <v>3976</v>
      </c>
    </row>
    <row r="122" spans="1:7" s="40" customFormat="1" ht="12" customHeight="1">
      <c r="A122" s="104"/>
      <c r="B122" s="390"/>
      <c r="C122" s="239"/>
      <c r="D122" s="395"/>
      <c r="E122" s="865" t="s">
        <v>3686</v>
      </c>
      <c r="F122" s="866"/>
      <c r="G122" s="1234" t="s">
        <v>3976</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3976</v>
      </c>
    </row>
    <row r="128" spans="1:7" s="40" customFormat="1" ht="12" customHeight="1">
      <c r="A128" s="101"/>
      <c r="B128" s="390"/>
      <c r="C128" s="239"/>
      <c r="D128" s="391"/>
      <c r="E128" s="391" t="s">
        <v>1537</v>
      </c>
      <c r="F128" s="391"/>
      <c r="G128" s="1234" t="s">
        <v>3976</v>
      </c>
    </row>
    <row r="129" spans="1:7" s="40" customFormat="1" ht="12" customHeight="1">
      <c r="A129" s="101"/>
      <c r="B129" s="391"/>
      <c r="C129" s="239"/>
      <c r="D129" s="391"/>
      <c r="E129" s="395" t="s">
        <v>1538</v>
      </c>
      <c r="F129" s="401"/>
      <c r="G129" s="1234" t="s">
        <v>3976</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3976</v>
      </c>
    </row>
    <row r="133" spans="1:7" s="40" customFormat="1" ht="12" customHeight="1">
      <c r="A133" s="101"/>
      <c r="B133" s="884"/>
      <c r="C133" s="885"/>
      <c r="D133" s="885"/>
      <c r="E133" s="395" t="s">
        <v>1785</v>
      </c>
      <c r="F133" s="395"/>
      <c r="G133" s="1234" t="s">
        <v>3976</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67" t="s">
        <v>3935</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3976</v>
      </c>
    </row>
    <row r="140" spans="1:7" s="40" customFormat="1" ht="12" customHeight="1">
      <c r="A140" s="386"/>
      <c r="B140" s="587" t="s">
        <v>3178</v>
      </c>
      <c r="C140" s="404"/>
      <c r="D140" s="391"/>
      <c r="E140" s="392" t="s">
        <v>2373</v>
      </c>
      <c r="F140" s="391"/>
      <c r="G140" s="1234" t="s">
        <v>3976</v>
      </c>
    </row>
    <row r="141" spans="1:7" s="40" customFormat="1" ht="12" customHeight="1">
      <c r="A141" s="101"/>
      <c r="B141" s="239"/>
      <c r="C141" s="391"/>
      <c r="D141" s="391"/>
      <c r="E141" s="391" t="s">
        <v>3092</v>
      </c>
      <c r="F141" s="391"/>
      <c r="G141" s="1234" t="s">
        <v>3976</v>
      </c>
    </row>
    <row r="142" spans="1:7" s="40" customFormat="1" ht="12" customHeight="1">
      <c r="A142" s="101"/>
      <c r="B142" s="391"/>
      <c r="C142" s="391"/>
      <c r="D142" s="391"/>
      <c r="E142" s="391" t="s">
        <v>3608</v>
      </c>
      <c r="F142" s="391"/>
      <c r="G142" s="1234" t="s">
        <v>3976</v>
      </c>
    </row>
    <row r="143" spans="1:7" s="40" customFormat="1" ht="3" customHeight="1">
      <c r="A143" s="101"/>
      <c r="B143" s="415"/>
      <c r="C143" s="1252"/>
      <c r="D143" s="1252"/>
      <c r="E143" s="1253"/>
      <c r="F143" s="103"/>
      <c r="G143" s="103"/>
    </row>
    <row r="144" spans="1:7" s="40" customFormat="1" ht="12.4" customHeight="1">
      <c r="A144" s="386">
        <v>16</v>
      </c>
      <c r="B144" s="412" t="s">
        <v>766</v>
      </c>
      <c r="C144" s="1236"/>
      <c r="D144" s="1236"/>
      <c r="E144" s="395" t="s">
        <v>438</v>
      </c>
      <c r="F144" s="395"/>
      <c r="G144" s="1234" t="s">
        <v>3976</v>
      </c>
    </row>
    <row r="145" spans="1:7" s="40" customFormat="1" ht="12" customHeight="1">
      <c r="A145" s="101"/>
      <c r="B145" s="395"/>
      <c r="C145" s="390"/>
      <c r="D145" s="395"/>
      <c r="E145" s="395" t="s">
        <v>3401</v>
      </c>
      <c r="F145" s="395"/>
      <c r="G145" s="1234" t="s">
        <v>3976</v>
      </c>
    </row>
    <row r="146" spans="1:7" s="40" customFormat="1" ht="12" customHeight="1">
      <c r="A146" s="101"/>
      <c r="B146" s="395"/>
      <c r="C146" s="413"/>
      <c r="D146" s="395"/>
      <c r="E146" s="395" t="s">
        <v>678</v>
      </c>
      <c r="F146" s="395"/>
      <c r="G146" s="1234" t="s">
        <v>3976</v>
      </c>
    </row>
    <row r="147" spans="1:7" s="40" customFormat="1" ht="12" customHeight="1">
      <c r="A147" s="101"/>
      <c r="B147" s="395"/>
      <c r="C147" s="395"/>
      <c r="D147" s="414"/>
      <c r="E147" s="395" t="s">
        <v>679</v>
      </c>
      <c r="F147" s="395"/>
      <c r="G147" s="1234" t="s">
        <v>3976</v>
      </c>
    </row>
    <row r="148" spans="1:7" s="40" customFormat="1" ht="12" customHeight="1">
      <c r="A148" s="101"/>
      <c r="B148" s="395"/>
      <c r="C148" s="395"/>
      <c r="D148" s="414"/>
      <c r="E148" s="395" t="s">
        <v>911</v>
      </c>
      <c r="F148" s="395"/>
      <c r="G148" s="1234" t="s">
        <v>3976</v>
      </c>
    </row>
    <row r="149" spans="1:7" s="1246" customFormat="1" ht="12" customHeight="1">
      <c r="A149" s="101"/>
      <c r="B149" s="395"/>
      <c r="C149" s="395"/>
      <c r="D149" s="414"/>
      <c r="E149" s="395" t="s">
        <v>2142</v>
      </c>
      <c r="F149" s="395"/>
      <c r="G149" s="1234" t="s">
        <v>3976</v>
      </c>
    </row>
    <row r="150" spans="1:7" s="40" customFormat="1" ht="12" customHeight="1">
      <c r="A150" s="101"/>
      <c r="B150" s="395"/>
      <c r="C150" s="395"/>
      <c r="D150" s="395"/>
      <c r="E150" s="789" t="s">
        <v>3334</v>
      </c>
      <c r="F150" s="401"/>
      <c r="G150" s="1234" t="s">
        <v>3976</v>
      </c>
    </row>
    <row r="151" spans="1:7" s="40" customFormat="1" ht="12" customHeight="1">
      <c r="A151" s="101"/>
      <c r="B151" s="395"/>
      <c r="C151" s="395"/>
      <c r="D151" s="395"/>
      <c r="E151" s="789" t="s">
        <v>3699</v>
      </c>
      <c r="F151" s="401"/>
      <c r="G151" s="1234" t="s">
        <v>3976</v>
      </c>
    </row>
    <row r="152" spans="1:7" s="40" customFormat="1" ht="6" customHeight="1">
      <c r="A152" s="97"/>
      <c r="B152" s="393"/>
      <c r="C152" s="393"/>
      <c r="D152" s="393"/>
      <c r="E152" s="393"/>
      <c r="F152" s="394"/>
      <c r="G152" s="312"/>
    </row>
    <row r="153" spans="1:7" ht="11.65" customHeight="1">
      <c r="A153" s="386">
        <v>17</v>
      </c>
      <c r="B153" s="412" t="s">
        <v>2375</v>
      </c>
      <c r="C153" s="1236"/>
      <c r="D153" s="1236"/>
      <c r="E153" s="395" t="s">
        <v>2662</v>
      </c>
      <c r="F153" s="395"/>
      <c r="G153" s="1234" t="s">
        <v>2104</v>
      </c>
    </row>
    <row r="154" spans="1:7" ht="11.65" customHeight="1">
      <c r="A154" s="386"/>
      <c r="B154" s="412"/>
      <c r="C154" s="1236"/>
      <c r="D154" s="1236"/>
      <c r="E154" s="395" t="s">
        <v>2994</v>
      </c>
      <c r="F154" s="395"/>
      <c r="G154" s="1234" t="s">
        <v>2104</v>
      </c>
    </row>
    <row r="155" spans="1:7" s="40" customFormat="1" ht="11.65" customHeight="1">
      <c r="A155" s="101"/>
      <c r="B155" s="395"/>
      <c r="C155" s="395"/>
      <c r="D155" s="395"/>
      <c r="E155" s="395" t="s">
        <v>1789</v>
      </c>
      <c r="F155" s="395"/>
      <c r="G155" s="1234" t="s">
        <v>2104</v>
      </c>
    </row>
    <row r="156" spans="1:7" s="40" customFormat="1" ht="11.6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3976</v>
      </c>
    </row>
    <row r="167" spans="1:7" s="40" customFormat="1" ht="6" customHeight="1">
      <c r="A167" s="97"/>
      <c r="B167" s="393"/>
      <c r="C167" s="393"/>
      <c r="D167" s="393"/>
      <c r="E167" s="393"/>
      <c r="F167" s="394"/>
      <c r="G167" s="312"/>
    </row>
    <row r="168" spans="1:7" s="40" customFormat="1" ht="12.4"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3976</v>
      </c>
    </row>
    <row r="170" spans="1:7" s="40" customFormat="1" ht="12" customHeight="1">
      <c r="A170" s="101"/>
      <c r="B170" s="239"/>
      <c r="C170" s="789"/>
      <c r="D170" s="1236"/>
      <c r="E170" s="867" t="s">
        <v>807</v>
      </c>
      <c r="F170" s="866"/>
      <c r="G170" s="1234" t="s">
        <v>3976</v>
      </c>
    </row>
    <row r="171" spans="1:7" s="40" customFormat="1" ht="12" customHeight="1">
      <c r="A171" s="101"/>
      <c r="B171" s="400"/>
      <c r="C171" s="1236"/>
      <c r="D171" s="1236"/>
      <c r="E171" s="397" t="s">
        <v>36</v>
      </c>
      <c r="F171" s="391"/>
      <c r="G171" s="1234" t="s">
        <v>3976</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3700</v>
      </c>
      <c r="F173" s="882"/>
      <c r="G173" s="1234" t="s">
        <v>2104</v>
      </c>
    </row>
    <row r="174" spans="1:7" s="40" customFormat="1" ht="5.65" customHeight="1">
      <c r="A174" s="101"/>
      <c r="B174" s="400"/>
      <c r="C174" s="1236"/>
      <c r="D174" s="1236"/>
      <c r="E174" s="823"/>
      <c r="F174" s="823"/>
      <c r="G174" s="1256"/>
    </row>
    <row r="175" spans="1:7" s="40" customFormat="1" ht="13.9" customHeight="1">
      <c r="A175" s="386">
        <v>20</v>
      </c>
      <c r="B175" s="1257" t="s">
        <v>589</v>
      </c>
      <c r="C175" s="239"/>
      <c r="D175" s="1237"/>
      <c r="E175" s="867" t="s">
        <v>3910</v>
      </c>
      <c r="F175" s="866"/>
      <c r="G175" s="1234" t="s">
        <v>3976</v>
      </c>
    </row>
    <row r="176" spans="1:7" s="40" customFormat="1" ht="11.25" customHeight="1">
      <c r="A176" s="386"/>
      <c r="B176" s="1257"/>
      <c r="C176" s="239"/>
      <c r="D176" s="1237"/>
      <c r="E176" s="867" t="s">
        <v>590</v>
      </c>
      <c r="F176" s="866"/>
      <c r="G176" s="1234" t="s">
        <v>3976</v>
      </c>
    </row>
    <row r="177" spans="1:7" s="40" customFormat="1" ht="5.6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3976</v>
      </c>
    </row>
    <row r="179" spans="1:7" s="40" customFormat="1" ht="12" customHeight="1">
      <c r="A179" s="101"/>
      <c r="B179" s="1237"/>
      <c r="C179" s="239"/>
      <c r="E179" s="823" t="s">
        <v>3661</v>
      </c>
      <c r="F179" s="824"/>
      <c r="G179" s="1234" t="s">
        <v>3976</v>
      </c>
    </row>
    <row r="180" spans="1:7" s="40" customFormat="1" ht="12" customHeight="1">
      <c r="A180" s="101"/>
      <c r="B180" s="406"/>
      <c r="C180" s="239"/>
      <c r="D180" s="1237"/>
      <c r="E180" s="867" t="s">
        <v>591</v>
      </c>
      <c r="F180" s="866"/>
      <c r="G180" s="1234" t="s">
        <v>3976</v>
      </c>
    </row>
    <row r="181" spans="1:7" s="40" customFormat="1" ht="12" customHeight="1">
      <c r="A181" s="101"/>
      <c r="B181" s="406"/>
      <c r="C181" s="239"/>
      <c r="D181" s="1237"/>
      <c r="E181" s="867" t="s">
        <v>592</v>
      </c>
      <c r="F181" s="866"/>
      <c r="G181" s="1234" t="s">
        <v>3976</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3675</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3912</v>
      </c>
      <c r="F189" s="866"/>
      <c r="G189" s="1234" t="s">
        <v>2104</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67" t="s">
        <v>3913</v>
      </c>
      <c r="F191" s="1167"/>
      <c r="G191" s="1234" t="s">
        <v>2104</v>
      </c>
    </row>
    <row r="192" spans="1:7" s="40" customFormat="1" ht="12" customHeight="1">
      <c r="A192" s="388"/>
      <c r="B192" s="1258"/>
      <c r="C192" s="1237"/>
      <c r="D192" s="1237"/>
      <c r="E192" s="867" t="s">
        <v>3677</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3976</v>
      </c>
    </row>
    <row r="195" spans="1:7" s="40" customFormat="1" ht="26.25" customHeight="1">
      <c r="A195" s="101"/>
      <c r="B195" s="1237"/>
      <c r="C195" s="239"/>
      <c r="D195" s="1237"/>
      <c r="E195" s="1260" t="s">
        <v>3911</v>
      </c>
      <c r="F195" s="1261"/>
      <c r="G195" s="1234" t="s">
        <v>3976</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3976</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6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6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6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6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4"/>
      <c r="G227" s="1234" t="s">
        <v>2104</v>
      </c>
    </row>
    <row r="228" spans="1:7" s="40" customFormat="1" ht="26.25" customHeight="1">
      <c r="A228" s="388"/>
      <c r="B228" s="239"/>
      <c r="C228" s="239"/>
      <c r="D228" s="1237"/>
      <c r="E228" s="867" t="s">
        <v>3683</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4" customHeight="1">
      <c r="A231" s="101"/>
      <c r="C231" s="1272" t="s">
        <v>946</v>
      </c>
      <c r="D231" s="1167"/>
      <c r="E231" s="1273"/>
      <c r="F231" s="1273"/>
      <c r="G231" s="1274" t="s">
        <v>2104</v>
      </c>
    </row>
    <row r="232" spans="1:7" s="40" customFormat="1" ht="12.4" customHeight="1">
      <c r="A232" s="101"/>
      <c r="C232" s="1272"/>
      <c r="D232" s="1167"/>
      <c r="E232" s="1273"/>
      <c r="F232" s="1273"/>
      <c r="G232" s="1274" t="s">
        <v>2104</v>
      </c>
    </row>
    <row r="233" spans="1:7" s="40" customFormat="1" ht="12.4" customHeight="1">
      <c r="A233" s="101"/>
      <c r="C233" s="1272"/>
      <c r="D233" s="1167"/>
      <c r="E233" s="1273"/>
      <c r="F233" s="1273"/>
      <c r="G233" s="1274" t="s">
        <v>2104</v>
      </c>
    </row>
    <row r="234" spans="1:7" s="40" customFormat="1" ht="12.4" customHeight="1">
      <c r="A234" s="101"/>
      <c r="C234" s="1272"/>
      <c r="D234" s="1167"/>
      <c r="E234" s="1273"/>
      <c r="F234" s="1273"/>
      <c r="G234" s="1274" t="s">
        <v>2104</v>
      </c>
    </row>
    <row r="235" spans="1:7" s="40" customFormat="1" ht="12.4" customHeight="1">
      <c r="A235" s="101"/>
      <c r="C235" s="1166"/>
      <c r="D235" s="1167"/>
      <c r="E235" s="1275"/>
      <c r="F235" s="1275"/>
      <c r="G235" s="1274" t="s">
        <v>2104</v>
      </c>
    </row>
    <row r="236" spans="1:7" s="40" customFormat="1" ht="5.6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3976</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3611</v>
      </c>
      <c r="F241" s="991"/>
      <c r="G241" s="1234" t="s">
        <v>3976</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65" customHeight="1">
      <c r="A244" s="1276" t="s">
        <v>3914</v>
      </c>
      <c r="B244" s="1277"/>
      <c r="C244" s="1277"/>
      <c r="D244" s="1277"/>
      <c r="E244" s="1277"/>
      <c r="F244" s="1277"/>
      <c r="G244" s="1278"/>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showGridLines="0" showZeros="0" zoomScale="85" zoomScaleNormal="85"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42578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2012-018 Poplar Pointe, Hiram, Paulding County</v>
      </c>
      <c r="B1" s="994"/>
      <c r="C1" s="994"/>
      <c r="D1" s="994"/>
      <c r="E1" s="994"/>
      <c r="F1" s="994"/>
      <c r="G1" s="994"/>
      <c r="H1" s="994"/>
      <c r="I1" s="994"/>
      <c r="J1" s="994"/>
      <c r="K1" s="994"/>
      <c r="L1" s="994"/>
      <c r="M1" s="994"/>
      <c r="N1" s="994"/>
      <c r="O1" s="994"/>
      <c r="P1" s="995"/>
      <c r="T1" s="1103" t="str">
        <f>A1</f>
        <v>PART SIX - PROJECTED REVENUES &amp; EXPENSES  -  2012-018 Poplar Pointe, Hiram, Paulding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4"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3413</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3538</v>
      </c>
      <c r="GQ4" s="1082" t="s">
        <v>3539</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32"/>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33" t="s">
        <v>3984</v>
      </c>
      <c r="J6" s="848" t="s">
        <v>3386</v>
      </c>
      <c r="N6" s="1100" t="str">
        <f>'Part I-Project Information'!$J$26</f>
        <v>Atlanta-Sandy Springs-Marietta</v>
      </c>
      <c r="O6" s="1100"/>
      <c r="P6" s="672">
        <f>VLOOKUP('Part I-Project Information'!$J$26,'DCA Underwriting Assumptions'!$C$84:$D$194,2)</f>
        <v>69300</v>
      </c>
      <c r="Q6" s="769"/>
      <c r="R6" s="1102" t="s">
        <v>3975</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3387</v>
      </c>
      <c r="K7" s="2"/>
      <c r="L7" s="2"/>
      <c r="M7" s="2"/>
      <c r="N7" s="37"/>
      <c r="O7" s="37"/>
      <c r="P7" s="817"/>
      <c r="Q7" s="817"/>
      <c r="R7" s="818"/>
      <c r="S7" s="819" t="s">
        <v>3972</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3362</v>
      </c>
      <c r="H8" s="848" t="s">
        <v>3360</v>
      </c>
      <c r="I8" s="848" t="s">
        <v>1284</v>
      </c>
      <c r="J8" s="848" t="s">
        <v>3388</v>
      </c>
      <c r="K8" s="1098" t="s">
        <v>170</v>
      </c>
      <c r="L8" s="1098"/>
      <c r="M8" s="848" t="s">
        <v>3333</v>
      </c>
      <c r="N8" s="848" t="s">
        <v>768</v>
      </c>
      <c r="O8" s="848" t="s">
        <v>457</v>
      </c>
      <c r="P8" s="1101" t="s">
        <v>1551</v>
      </c>
      <c r="Q8" s="1101"/>
      <c r="R8" s="849" t="s">
        <v>3971</v>
      </c>
      <c r="S8" s="849" t="s">
        <v>3973</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3424</v>
      </c>
      <c r="EX8" s="776" t="s">
        <v>3425</v>
      </c>
      <c r="EY8" s="776" t="s">
        <v>3426</v>
      </c>
      <c r="EZ8" s="776" t="s">
        <v>3427</v>
      </c>
      <c r="FA8" s="1082" t="s">
        <v>3504</v>
      </c>
      <c r="FB8" s="1082" t="s">
        <v>3504</v>
      </c>
      <c r="FC8" s="1082" t="s">
        <v>3504</v>
      </c>
      <c r="FD8" s="1082" t="s">
        <v>3504</v>
      </c>
      <c r="FE8" s="1082" t="s">
        <v>3504</v>
      </c>
      <c r="FF8" s="776" t="s">
        <v>673</v>
      </c>
      <c r="FG8" s="776" t="s">
        <v>3424</v>
      </c>
      <c r="FH8" s="776" t="s">
        <v>3425</v>
      </c>
      <c r="FI8" s="776" t="s">
        <v>3426</v>
      </c>
      <c r="FJ8" s="776" t="s">
        <v>3427</v>
      </c>
      <c r="FK8" s="1082" t="s">
        <v>3506</v>
      </c>
      <c r="FL8" s="1082" t="s">
        <v>3506</v>
      </c>
      <c r="FM8" s="1082" t="s">
        <v>3506</v>
      </c>
      <c r="FN8" s="1082" t="s">
        <v>3506</v>
      </c>
      <c r="FO8" s="1082" t="s">
        <v>3506</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3361</v>
      </c>
      <c r="I9" s="848" t="s">
        <v>1285</v>
      </c>
      <c r="J9" s="758" t="s">
        <v>422</v>
      </c>
      <c r="K9" s="848" t="s">
        <v>2131</v>
      </c>
      <c r="L9" s="848" t="s">
        <v>775</v>
      </c>
      <c r="M9" s="848" t="s">
        <v>2068</v>
      </c>
      <c r="N9" s="848" t="s">
        <v>1863</v>
      </c>
      <c r="O9" s="848" t="s">
        <v>458</v>
      </c>
      <c r="P9" s="849" t="s">
        <v>1549</v>
      </c>
      <c r="Q9" s="849" t="s">
        <v>1550</v>
      </c>
      <c r="R9" s="849" t="s">
        <v>2070</v>
      </c>
      <c r="S9" s="849" t="s">
        <v>3974</v>
      </c>
      <c r="T9" s="976" t="s">
        <v>2716</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3503</v>
      </c>
      <c r="EX9" s="776" t="s">
        <v>3503</v>
      </c>
      <c r="EY9" s="776" t="s">
        <v>3503</v>
      </c>
      <c r="EZ9" s="776" t="s">
        <v>3503</v>
      </c>
      <c r="FA9" s="1082"/>
      <c r="FB9" s="1082"/>
      <c r="FC9" s="1082"/>
      <c r="FD9" s="1082"/>
      <c r="FE9" s="1082"/>
      <c r="FF9" s="776" t="s">
        <v>3505</v>
      </c>
      <c r="FG9" s="776" t="s">
        <v>3505</v>
      </c>
      <c r="FH9" s="776" t="s">
        <v>3505</v>
      </c>
      <c r="FI9" s="776" t="s">
        <v>3505</v>
      </c>
      <c r="FJ9" s="776" t="s">
        <v>3505</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34" t="s">
        <v>127</v>
      </c>
      <c r="C10" s="1535">
        <v>1</v>
      </c>
      <c r="D10" s="1536">
        <v>1</v>
      </c>
      <c r="E10" s="1537">
        <v>5</v>
      </c>
      <c r="F10" s="1537">
        <v>811</v>
      </c>
      <c r="G10" s="1537">
        <v>767</v>
      </c>
      <c r="H10" s="1537">
        <v>621</v>
      </c>
      <c r="I10" s="1537">
        <v>133</v>
      </c>
      <c r="J10" s="1538"/>
      <c r="K10" s="224">
        <f>MAX(0,H10-I10)</f>
        <v>488</v>
      </c>
      <c r="L10" s="224">
        <f t="shared" ref="L10:L47" si="0">MAX(0,E10*K10)</f>
        <v>2440</v>
      </c>
      <c r="M10" s="1539" t="s">
        <v>3984</v>
      </c>
      <c r="N10" s="1539" t="s">
        <v>4020</v>
      </c>
      <c r="O10" s="1539" t="s">
        <v>3213</v>
      </c>
      <c r="P10" s="673">
        <f>IF(H10="","",H10*12/0.3)</f>
        <v>24840</v>
      </c>
      <c r="Q10" s="674">
        <f>IF(H10="","",P10/($P$6*VLOOKUP(C10,'DCA Underwriting Assumptions'!$J$84:$K$89,2,FALSE)))</f>
        <v>0.47792207792207791</v>
      </c>
      <c r="R10" s="820"/>
      <c r="S10" s="674"/>
      <c r="T10" s="1480"/>
      <c r="U10" s="148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5</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4055</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5</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5</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5</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40" t="s">
        <v>127</v>
      </c>
      <c r="C11" s="1541">
        <v>2</v>
      </c>
      <c r="D11" s="1542">
        <v>2</v>
      </c>
      <c r="E11" s="1543">
        <v>6</v>
      </c>
      <c r="F11" s="1543">
        <v>1227</v>
      </c>
      <c r="G11" s="1543">
        <v>920</v>
      </c>
      <c r="H11" s="1543">
        <v>733</v>
      </c>
      <c r="I11" s="1543">
        <v>163</v>
      </c>
      <c r="J11" s="1544"/>
      <c r="K11" s="225">
        <f t="shared" ref="K11:K27" si="172">MAX(0,H11-I11)</f>
        <v>570</v>
      </c>
      <c r="L11" s="225">
        <f t="shared" si="0"/>
        <v>3420</v>
      </c>
      <c r="M11" s="1545" t="s">
        <v>3984</v>
      </c>
      <c r="N11" s="1545" t="s">
        <v>4020</v>
      </c>
      <c r="O11" s="1545" t="s">
        <v>3213</v>
      </c>
      <c r="P11" s="673">
        <f>IF(H11="","",H11*12/0.3)</f>
        <v>29320</v>
      </c>
      <c r="Q11" s="674">
        <f>IF(H11="","",P11/($P$6*VLOOKUP(C11,'DCA Underwriting Assumptions'!$J$84:$K$89,2,FALSE)))</f>
        <v>0.47009780343113677</v>
      </c>
      <c r="R11" s="820"/>
      <c r="S11" s="674"/>
      <c r="T11" s="1482"/>
      <c r="U11" s="1483"/>
      <c r="V11" s="757" t="str">
        <f t="shared" si="1"/>
        <v/>
      </c>
      <c r="W11" s="757" t="str">
        <f t="shared" si="2"/>
        <v/>
      </c>
      <c r="X11" s="757" t="str">
        <f t="shared" si="3"/>
        <v/>
      </c>
      <c r="Y11" s="757" t="str">
        <f t="shared" si="4"/>
        <v/>
      </c>
      <c r="Z11" s="757" t="str">
        <f t="shared" si="5"/>
        <v/>
      </c>
      <c r="AA11" s="757" t="str">
        <f t="shared" si="6"/>
        <v/>
      </c>
      <c r="AB11" s="757" t="str">
        <f t="shared" si="7"/>
        <v/>
      </c>
      <c r="AC11" s="757">
        <f t="shared" si="8"/>
        <v>6</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7362</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6</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6</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6</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40" t="s">
        <v>127</v>
      </c>
      <c r="C12" s="1541">
        <v>2</v>
      </c>
      <c r="D12" s="1542">
        <v>2</v>
      </c>
      <c r="E12" s="1543">
        <v>5</v>
      </c>
      <c r="F12" s="1543">
        <v>1181</v>
      </c>
      <c r="G12" s="1543">
        <v>920</v>
      </c>
      <c r="H12" s="1543">
        <v>733</v>
      </c>
      <c r="I12" s="1543">
        <v>163</v>
      </c>
      <c r="J12" s="1544"/>
      <c r="K12" s="225">
        <f t="shared" si="172"/>
        <v>570</v>
      </c>
      <c r="L12" s="225">
        <f t="shared" si="0"/>
        <v>2850</v>
      </c>
      <c r="M12" s="1545" t="s">
        <v>3984</v>
      </c>
      <c r="N12" s="1545" t="s">
        <v>4020</v>
      </c>
      <c r="O12" s="1545" t="s">
        <v>3213</v>
      </c>
      <c r="P12" s="673">
        <f>IF(H12="","",H12*12/0.3)</f>
        <v>29320</v>
      </c>
      <c r="Q12" s="674">
        <f>IF(H12="","",P12/($P$6*VLOOKUP(C12,'DCA Underwriting Assumptions'!$J$84:$K$89,2,FALSE)))</f>
        <v>0.47009780343113677</v>
      </c>
      <c r="R12" s="820"/>
      <c r="S12" s="674"/>
      <c r="T12" s="1482"/>
      <c r="U12" s="1483"/>
      <c r="V12" s="757" t="str">
        <f t="shared" si="1"/>
        <v/>
      </c>
      <c r="W12" s="757" t="str">
        <f t="shared" si="2"/>
        <v/>
      </c>
      <c r="X12" s="757" t="str">
        <f t="shared" si="3"/>
        <v/>
      </c>
      <c r="Y12" s="757" t="str">
        <f t="shared" si="4"/>
        <v/>
      </c>
      <c r="Z12" s="757" t="str">
        <f t="shared" si="5"/>
        <v/>
      </c>
      <c r="AA12" s="757" t="str">
        <f t="shared" si="6"/>
        <v/>
      </c>
      <c r="AB12" s="757" t="str">
        <f t="shared" si="7"/>
        <v/>
      </c>
      <c r="AC12" s="757">
        <f t="shared" si="8"/>
        <v>5</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5905</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5</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5</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f t="shared" si="143"/>
        <v>5</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40" t="s">
        <v>2626</v>
      </c>
      <c r="C13" s="1541"/>
      <c r="D13" s="1542"/>
      <c r="E13" s="1543"/>
      <c r="F13" s="1543"/>
      <c r="G13" s="1543"/>
      <c r="H13" s="1543"/>
      <c r="I13" s="1543"/>
      <c r="J13" s="1544"/>
      <c r="K13" s="225">
        <f t="shared" si="172"/>
        <v>0</v>
      </c>
      <c r="L13" s="225">
        <f t="shared" si="0"/>
        <v>0</v>
      </c>
      <c r="M13" s="1545"/>
      <c r="N13" s="1545"/>
      <c r="O13" s="1545"/>
      <c r="P13" s="673" t="str">
        <f>IF(H13="","",H13*12/0.3)</f>
        <v/>
      </c>
      <c r="Q13" s="674" t="str">
        <f>IF(H13="","",P13/($P$6*VLOOKUP(C13,'DCA Underwriting Assumptions'!$J$84:$K$89,2,FALSE)))</f>
        <v/>
      </c>
      <c r="R13" s="820"/>
      <c r="S13" s="674"/>
      <c r="T13" s="1482"/>
      <c r="U13" s="1483"/>
      <c r="V13" s="757" t="str">
        <f t="shared" si="1"/>
        <v/>
      </c>
      <c r="W13" s="757" t="str">
        <f t="shared" si="2"/>
        <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40" t="s">
        <v>1670</v>
      </c>
      <c r="C14" s="1541">
        <v>1</v>
      </c>
      <c r="D14" s="1542">
        <v>1</v>
      </c>
      <c r="E14" s="1543">
        <v>35</v>
      </c>
      <c r="F14" s="1543">
        <v>811</v>
      </c>
      <c r="G14" s="1543">
        <v>877</v>
      </c>
      <c r="H14" s="1543">
        <v>748</v>
      </c>
      <c r="I14" s="1543">
        <v>133</v>
      </c>
      <c r="J14" s="1544"/>
      <c r="K14" s="225">
        <f t="shared" si="172"/>
        <v>615</v>
      </c>
      <c r="L14" s="225">
        <f t="shared" si="0"/>
        <v>21525</v>
      </c>
      <c r="M14" s="1545" t="s">
        <v>3984</v>
      </c>
      <c r="N14" s="1545" t="s">
        <v>4020</v>
      </c>
      <c r="O14" s="1545" t="s">
        <v>3213</v>
      </c>
      <c r="P14" s="673">
        <f>IF(H14="","",H14*12/0.3)</f>
        <v>29920</v>
      </c>
      <c r="Q14" s="674">
        <f>IF(H14="","",P14/($P$6*VLOOKUP(C14,'DCA Underwriting Assumptions'!$J$84:$K$89,2,FALSE)))</f>
        <v>0.57566137566137565</v>
      </c>
      <c r="R14" s="820"/>
      <c r="S14" s="674"/>
      <c r="T14" s="1482"/>
      <c r="U14" s="1483"/>
      <c r="V14" s="757" t="str">
        <f t="shared" si="1"/>
        <v/>
      </c>
      <c r="W14" s="757">
        <f t="shared" si="2"/>
        <v>35</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f t="shared" si="27"/>
        <v>28385</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f t="shared" si="57"/>
        <v>35</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f t="shared" si="102"/>
        <v>35</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f t="shared" si="142"/>
        <v>35</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40" t="s">
        <v>1670</v>
      </c>
      <c r="C15" s="1541">
        <v>2</v>
      </c>
      <c r="D15" s="1542">
        <v>2</v>
      </c>
      <c r="E15" s="1543">
        <v>29</v>
      </c>
      <c r="F15" s="1543">
        <v>1227</v>
      </c>
      <c r="G15" s="1543">
        <v>1045</v>
      </c>
      <c r="H15" s="1543">
        <v>868</v>
      </c>
      <c r="I15" s="1543">
        <v>163</v>
      </c>
      <c r="J15" s="1544"/>
      <c r="K15" s="225">
        <f t="shared" si="172"/>
        <v>705</v>
      </c>
      <c r="L15" s="225">
        <f t="shared" si="0"/>
        <v>20445</v>
      </c>
      <c r="M15" s="1545" t="s">
        <v>3984</v>
      </c>
      <c r="N15" s="1545" t="s">
        <v>4020</v>
      </c>
      <c r="O15" s="1545" t="s">
        <v>3213</v>
      </c>
      <c r="P15" s="673">
        <f t="shared" ref="P15:P47" si="203">IF(H15="","",H15*12/0.3)</f>
        <v>34720</v>
      </c>
      <c r="Q15" s="674">
        <f>IF(H15="","",P15/($P$6*VLOOKUP(C15,'DCA Underwriting Assumptions'!$J$84:$K$89,2,FALSE)))</f>
        <v>0.55667789001122336</v>
      </c>
      <c r="R15" s="820"/>
      <c r="S15" s="674"/>
      <c r="T15" s="1482"/>
      <c r="U15" s="1483"/>
      <c r="V15" s="757" t="str">
        <f t="shared" si="1"/>
        <v/>
      </c>
      <c r="W15" s="757" t="str">
        <f t="shared" si="2"/>
        <v/>
      </c>
      <c r="X15" s="757">
        <f t="shared" si="3"/>
        <v>29</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f t="shared" si="28"/>
        <v>35583</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f t="shared" si="58"/>
        <v>29</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f t="shared" si="103"/>
        <v>29</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f t="shared" si="143"/>
        <v>29</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40" t="s">
        <v>1670</v>
      </c>
      <c r="C16" s="1541">
        <v>2</v>
      </c>
      <c r="D16" s="1542">
        <v>2</v>
      </c>
      <c r="E16" s="1543">
        <v>25</v>
      </c>
      <c r="F16" s="1543">
        <v>1181</v>
      </c>
      <c r="G16" s="1543">
        <v>1045</v>
      </c>
      <c r="H16" s="1543">
        <v>868</v>
      </c>
      <c r="I16" s="1543">
        <v>163</v>
      </c>
      <c r="J16" s="1544"/>
      <c r="K16" s="225">
        <f t="shared" si="172"/>
        <v>705</v>
      </c>
      <c r="L16" s="225">
        <f t="shared" si="0"/>
        <v>17625</v>
      </c>
      <c r="M16" s="1545" t="s">
        <v>3984</v>
      </c>
      <c r="N16" s="1545" t="s">
        <v>4020</v>
      </c>
      <c r="O16" s="1545" t="s">
        <v>3213</v>
      </c>
      <c r="P16" s="673">
        <f t="shared" si="203"/>
        <v>34720</v>
      </c>
      <c r="Q16" s="674">
        <f>IF(H16="","",P16/($P$6*VLOOKUP(C16,'DCA Underwriting Assumptions'!$J$84:$K$89,2,FALSE)))</f>
        <v>0.55667789001122336</v>
      </c>
      <c r="R16" s="820"/>
      <c r="S16" s="674"/>
      <c r="T16" s="1482"/>
      <c r="U16" s="1483"/>
      <c r="V16" s="757" t="str">
        <f t="shared" si="1"/>
        <v/>
      </c>
      <c r="W16" s="757" t="str">
        <f t="shared" si="2"/>
        <v/>
      </c>
      <c r="X16" s="757">
        <f t="shared" si="3"/>
        <v>25</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f t="shared" si="28"/>
        <v>29525</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f t="shared" si="58"/>
        <v>25</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f t="shared" si="103"/>
        <v>25</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f t="shared" si="143"/>
        <v>25</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40" t="s">
        <v>2626</v>
      </c>
      <c r="C17" s="1541"/>
      <c r="D17" s="1542"/>
      <c r="E17" s="1543"/>
      <c r="F17" s="1543"/>
      <c r="G17" s="1543"/>
      <c r="H17" s="1543"/>
      <c r="I17" s="1543"/>
      <c r="J17" s="1544"/>
      <c r="K17" s="225">
        <f t="shared" si="172"/>
        <v>0</v>
      </c>
      <c r="L17" s="225">
        <f t="shared" si="0"/>
        <v>0</v>
      </c>
      <c r="M17" s="1545"/>
      <c r="N17" s="1545"/>
      <c r="O17" s="1545"/>
      <c r="P17" s="673" t="str">
        <f t="shared" si="203"/>
        <v/>
      </c>
      <c r="Q17" s="674" t="str">
        <f>IF(H17="","",P17/($P$6*VLOOKUP(C17,'DCA Underwriting Assumptions'!$J$84:$K$89,2,FALSE)))</f>
        <v/>
      </c>
      <c r="R17" s="820"/>
      <c r="S17" s="674"/>
      <c r="T17" s="1482"/>
      <c r="U17" s="148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40" t="s">
        <v>2626</v>
      </c>
      <c r="C18" s="1541"/>
      <c r="D18" s="1542"/>
      <c r="E18" s="1543"/>
      <c r="F18" s="1543"/>
      <c r="G18" s="1543"/>
      <c r="H18" s="1543"/>
      <c r="I18" s="1543"/>
      <c r="J18" s="1544"/>
      <c r="K18" s="225">
        <f t="shared" si="172"/>
        <v>0</v>
      </c>
      <c r="L18" s="225">
        <f t="shared" si="0"/>
        <v>0</v>
      </c>
      <c r="M18" s="1545"/>
      <c r="N18" s="1545"/>
      <c r="O18" s="1545"/>
      <c r="P18" s="673" t="str">
        <f t="shared" si="203"/>
        <v/>
      </c>
      <c r="Q18" s="674" t="str">
        <f>IF(H18="","",P18/($P$6*VLOOKUP(C18,'DCA Underwriting Assumptions'!$J$84:$K$89,2,FALSE)))</f>
        <v/>
      </c>
      <c r="R18" s="820"/>
      <c r="S18" s="674"/>
      <c r="T18" s="1482"/>
      <c r="U18" s="148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40" t="s">
        <v>2626</v>
      </c>
      <c r="C19" s="1541"/>
      <c r="D19" s="1542"/>
      <c r="E19" s="1543"/>
      <c r="F19" s="1543"/>
      <c r="G19" s="1543"/>
      <c r="H19" s="1543"/>
      <c r="I19" s="1543"/>
      <c r="J19" s="1544"/>
      <c r="K19" s="225">
        <f t="shared" si="172"/>
        <v>0</v>
      </c>
      <c r="L19" s="225">
        <f t="shared" si="0"/>
        <v>0</v>
      </c>
      <c r="M19" s="1545"/>
      <c r="N19" s="1545"/>
      <c r="O19" s="1545"/>
      <c r="P19" s="673" t="str">
        <f t="shared" si="203"/>
        <v/>
      </c>
      <c r="Q19" s="674" t="str">
        <f>IF(H19="","",P19/($P$6*VLOOKUP(C19,'DCA Underwriting Assumptions'!$J$84:$K$89,2,FALSE)))</f>
        <v/>
      </c>
      <c r="R19" s="820"/>
      <c r="S19" s="674"/>
      <c r="T19" s="1482"/>
      <c r="U19" s="148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40" t="s">
        <v>2626</v>
      </c>
      <c r="C20" s="1541"/>
      <c r="D20" s="1542"/>
      <c r="E20" s="1543"/>
      <c r="F20" s="1543"/>
      <c r="G20" s="1543"/>
      <c r="H20" s="1543"/>
      <c r="I20" s="1543"/>
      <c r="J20" s="1544"/>
      <c r="K20" s="225">
        <f t="shared" si="172"/>
        <v>0</v>
      </c>
      <c r="L20" s="225">
        <f t="shared" si="0"/>
        <v>0</v>
      </c>
      <c r="M20" s="1545"/>
      <c r="N20" s="1545"/>
      <c r="O20" s="1545"/>
      <c r="P20" s="673" t="str">
        <f t="shared" si="203"/>
        <v/>
      </c>
      <c r="Q20" s="674" t="str">
        <f>IF(H20="","",P20/($P$6*VLOOKUP(C20,'DCA Underwriting Assumptions'!$J$84:$K$89,2,FALSE)))</f>
        <v/>
      </c>
      <c r="R20" s="820"/>
      <c r="S20" s="674"/>
      <c r="T20" s="1482"/>
      <c r="U20" s="148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40" t="s">
        <v>2626</v>
      </c>
      <c r="C21" s="1541"/>
      <c r="D21" s="1542"/>
      <c r="E21" s="1543"/>
      <c r="F21" s="1543"/>
      <c r="G21" s="1543"/>
      <c r="H21" s="1543"/>
      <c r="I21" s="1543"/>
      <c r="J21" s="1544"/>
      <c r="K21" s="225">
        <f t="shared" si="172"/>
        <v>0</v>
      </c>
      <c r="L21" s="225">
        <f t="shared" si="0"/>
        <v>0</v>
      </c>
      <c r="M21" s="1545"/>
      <c r="N21" s="1545"/>
      <c r="O21" s="1545"/>
      <c r="P21" s="673" t="str">
        <f t="shared" si="203"/>
        <v/>
      </c>
      <c r="Q21" s="674" t="str">
        <f>IF(H21="","",P21/($P$6*VLOOKUP(C21,'DCA Underwriting Assumptions'!$J$84:$K$89,2,FALSE)))</f>
        <v/>
      </c>
      <c r="R21" s="820"/>
      <c r="S21" s="674"/>
      <c r="T21" s="1482"/>
      <c r="U21" s="148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40" t="s">
        <v>2626</v>
      </c>
      <c r="C22" s="1541"/>
      <c r="D22" s="1542"/>
      <c r="E22" s="1543"/>
      <c r="F22" s="1543"/>
      <c r="G22" s="1543"/>
      <c r="H22" s="1543"/>
      <c r="I22" s="1543"/>
      <c r="J22" s="1544"/>
      <c r="K22" s="225">
        <f t="shared" si="172"/>
        <v>0</v>
      </c>
      <c r="L22" s="225">
        <f t="shared" si="0"/>
        <v>0</v>
      </c>
      <c r="M22" s="1545"/>
      <c r="N22" s="1545"/>
      <c r="O22" s="1545"/>
      <c r="P22" s="673" t="str">
        <f t="shared" si="203"/>
        <v/>
      </c>
      <c r="Q22" s="674" t="str">
        <f>IF(H22="","",P22/($P$6*VLOOKUP(C22,'DCA Underwriting Assumptions'!$J$84:$K$89,2,FALSE)))</f>
        <v/>
      </c>
      <c r="R22" s="820"/>
      <c r="S22" s="674"/>
      <c r="T22" s="1482"/>
      <c r="U22" s="148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40" t="s">
        <v>2626</v>
      </c>
      <c r="C23" s="1541"/>
      <c r="D23" s="1542"/>
      <c r="E23" s="1543"/>
      <c r="F23" s="1543"/>
      <c r="G23" s="1543"/>
      <c r="H23" s="1543"/>
      <c r="I23" s="1543"/>
      <c r="J23" s="1544"/>
      <c r="K23" s="225">
        <f t="shared" si="172"/>
        <v>0</v>
      </c>
      <c r="L23" s="225">
        <f t="shared" si="0"/>
        <v>0</v>
      </c>
      <c r="M23" s="1545"/>
      <c r="N23" s="1545"/>
      <c r="O23" s="1545"/>
      <c r="P23" s="673" t="str">
        <f t="shared" si="203"/>
        <v/>
      </c>
      <c r="Q23" s="674" t="str">
        <f>IF(H23="","",P23/($P$6*VLOOKUP(C23,'DCA Underwriting Assumptions'!$J$84:$K$89,2,FALSE)))</f>
        <v/>
      </c>
      <c r="R23" s="820"/>
      <c r="S23" s="674"/>
      <c r="T23" s="1482"/>
      <c r="U23" s="148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40" t="s">
        <v>2626</v>
      </c>
      <c r="C24" s="1541"/>
      <c r="D24" s="1542"/>
      <c r="E24" s="1543"/>
      <c r="F24" s="1543"/>
      <c r="G24" s="1543"/>
      <c r="H24" s="1543"/>
      <c r="I24" s="1543"/>
      <c r="J24" s="1544"/>
      <c r="K24" s="225">
        <f t="shared" si="172"/>
        <v>0</v>
      </c>
      <c r="L24" s="225">
        <f t="shared" si="0"/>
        <v>0</v>
      </c>
      <c r="M24" s="1545"/>
      <c r="N24" s="1545"/>
      <c r="O24" s="1545"/>
      <c r="P24" s="673" t="str">
        <f t="shared" si="203"/>
        <v/>
      </c>
      <c r="Q24" s="674" t="str">
        <f>IF(H24="","",P24/($P$6*VLOOKUP(C24,'DCA Underwriting Assumptions'!$J$84:$K$89,2,FALSE)))</f>
        <v/>
      </c>
      <c r="R24" s="820"/>
      <c r="S24" s="674"/>
      <c r="T24" s="1482"/>
      <c r="U24" s="148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40" t="s">
        <v>2626</v>
      </c>
      <c r="C25" s="1541"/>
      <c r="D25" s="1542"/>
      <c r="E25" s="1543"/>
      <c r="F25" s="1543"/>
      <c r="G25" s="1543"/>
      <c r="H25" s="1543"/>
      <c r="I25" s="1543"/>
      <c r="J25" s="1544"/>
      <c r="K25" s="225">
        <f t="shared" si="172"/>
        <v>0</v>
      </c>
      <c r="L25" s="225">
        <f t="shared" si="0"/>
        <v>0</v>
      </c>
      <c r="M25" s="1545"/>
      <c r="N25" s="1545"/>
      <c r="O25" s="1545"/>
      <c r="P25" s="673" t="str">
        <f t="shared" si="203"/>
        <v/>
      </c>
      <c r="Q25" s="674" t="str">
        <f>IF(H25="","",P25/($P$6*VLOOKUP(C25,'DCA Underwriting Assumptions'!$J$84:$K$89,2,FALSE)))</f>
        <v/>
      </c>
      <c r="R25" s="820"/>
      <c r="S25" s="674"/>
      <c r="T25" s="1482"/>
      <c r="U25" s="148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40" t="s">
        <v>2626</v>
      </c>
      <c r="C26" s="1541"/>
      <c r="D26" s="1542"/>
      <c r="E26" s="1543"/>
      <c r="F26" s="1543"/>
      <c r="G26" s="1543"/>
      <c r="H26" s="1543"/>
      <c r="I26" s="1543"/>
      <c r="J26" s="1544"/>
      <c r="K26" s="225">
        <f t="shared" si="172"/>
        <v>0</v>
      </c>
      <c r="L26" s="225">
        <f t="shared" si="0"/>
        <v>0</v>
      </c>
      <c r="M26" s="1545"/>
      <c r="N26" s="1545"/>
      <c r="O26" s="1545"/>
      <c r="P26" s="673" t="str">
        <f t="shared" si="203"/>
        <v/>
      </c>
      <c r="Q26" s="674" t="str">
        <f>IF(H26="","",P26/($P$6*VLOOKUP(C26,'DCA Underwriting Assumptions'!$J$84:$K$89,2,FALSE)))</f>
        <v/>
      </c>
      <c r="R26" s="820"/>
      <c r="S26" s="674"/>
      <c r="T26" s="1482"/>
      <c r="U26" s="148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40" t="s">
        <v>2626</v>
      </c>
      <c r="C27" s="1541"/>
      <c r="D27" s="1542"/>
      <c r="E27" s="1543"/>
      <c r="F27" s="1543"/>
      <c r="G27" s="1543"/>
      <c r="H27" s="1543"/>
      <c r="I27" s="1543"/>
      <c r="J27" s="1544"/>
      <c r="K27" s="225">
        <f t="shared" si="172"/>
        <v>0</v>
      </c>
      <c r="L27" s="225">
        <f t="shared" si="0"/>
        <v>0</v>
      </c>
      <c r="M27" s="1545"/>
      <c r="N27" s="1545"/>
      <c r="O27" s="1545"/>
      <c r="P27" s="673" t="str">
        <f t="shared" si="203"/>
        <v/>
      </c>
      <c r="Q27" s="674" t="str">
        <f>IF(H27="","",P27/($P$6*VLOOKUP(C27,'DCA Underwriting Assumptions'!$J$84:$K$89,2,FALSE)))</f>
        <v/>
      </c>
      <c r="R27" s="820"/>
      <c r="S27" s="674"/>
      <c r="T27" s="1482"/>
      <c r="U27" s="148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40" t="s">
        <v>2626</v>
      </c>
      <c r="C28" s="1541"/>
      <c r="D28" s="1542"/>
      <c r="E28" s="1543"/>
      <c r="F28" s="1543"/>
      <c r="G28" s="1543"/>
      <c r="H28" s="1543"/>
      <c r="I28" s="1543"/>
      <c r="J28" s="1544"/>
      <c r="K28" s="225">
        <f>MAX(0,H28-I28)</f>
        <v>0</v>
      </c>
      <c r="L28" s="225">
        <f t="shared" si="0"/>
        <v>0</v>
      </c>
      <c r="M28" s="1545"/>
      <c r="N28" s="1545"/>
      <c r="O28" s="1545"/>
      <c r="P28" s="673" t="str">
        <f t="shared" si="203"/>
        <v/>
      </c>
      <c r="Q28" s="674" t="str">
        <f>IF(H28="","",P28/($P$6*VLOOKUP(C28,'DCA Underwriting Assumptions'!$J$84:$K$89,2,FALSE)))</f>
        <v/>
      </c>
      <c r="R28" s="820"/>
      <c r="S28" s="674"/>
      <c r="T28" s="1482"/>
      <c r="U28" s="148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40" t="s">
        <v>2626</v>
      </c>
      <c r="C29" s="1541"/>
      <c r="D29" s="1542"/>
      <c r="E29" s="1543"/>
      <c r="F29" s="1543"/>
      <c r="G29" s="1543"/>
      <c r="H29" s="1543"/>
      <c r="I29" s="1543"/>
      <c r="J29" s="1544"/>
      <c r="K29" s="225">
        <f t="shared" ref="K29:K47" si="204">MAX(0,H29-I29)</f>
        <v>0</v>
      </c>
      <c r="L29" s="225">
        <f t="shared" si="0"/>
        <v>0</v>
      </c>
      <c r="M29" s="1545"/>
      <c r="N29" s="1545"/>
      <c r="O29" s="1545"/>
      <c r="P29" s="673" t="str">
        <f t="shared" si="203"/>
        <v/>
      </c>
      <c r="Q29" s="674" t="str">
        <f>IF(H29="","",P29/($P$6*VLOOKUP(C29,'DCA Underwriting Assumptions'!$J$84:$K$89,2,FALSE)))</f>
        <v/>
      </c>
      <c r="R29" s="820"/>
      <c r="S29" s="674"/>
      <c r="T29" s="1482"/>
      <c r="U29" s="148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40" t="s">
        <v>2626</v>
      </c>
      <c r="C30" s="1541"/>
      <c r="D30" s="1542"/>
      <c r="E30" s="1543"/>
      <c r="F30" s="1543"/>
      <c r="G30" s="1543"/>
      <c r="H30" s="1543"/>
      <c r="I30" s="1543"/>
      <c r="J30" s="1544"/>
      <c r="K30" s="225">
        <f t="shared" si="204"/>
        <v>0</v>
      </c>
      <c r="L30" s="225">
        <f t="shared" si="0"/>
        <v>0</v>
      </c>
      <c r="M30" s="1545"/>
      <c r="N30" s="1545"/>
      <c r="O30" s="1545"/>
      <c r="P30" s="673" t="str">
        <f t="shared" si="203"/>
        <v/>
      </c>
      <c r="Q30" s="674" t="str">
        <f>IF(H30="","",P30/($P$6*VLOOKUP(C30,'DCA Underwriting Assumptions'!$J$84:$K$89,2,FALSE)))</f>
        <v/>
      </c>
      <c r="R30" s="820"/>
      <c r="S30" s="674"/>
      <c r="T30" s="1482"/>
      <c r="U30" s="148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40" t="s">
        <v>2626</v>
      </c>
      <c r="C31" s="1541"/>
      <c r="D31" s="1542"/>
      <c r="E31" s="1543"/>
      <c r="F31" s="1543"/>
      <c r="G31" s="1543"/>
      <c r="H31" s="1543"/>
      <c r="I31" s="1543"/>
      <c r="J31" s="1544"/>
      <c r="K31" s="225">
        <f t="shared" si="204"/>
        <v>0</v>
      </c>
      <c r="L31" s="225">
        <f t="shared" si="0"/>
        <v>0</v>
      </c>
      <c r="M31" s="1545"/>
      <c r="N31" s="1545"/>
      <c r="O31" s="1545"/>
      <c r="P31" s="673" t="str">
        <f t="shared" si="203"/>
        <v/>
      </c>
      <c r="Q31" s="674" t="str">
        <f>IF(H31="","",P31/($P$6*VLOOKUP(C31,'DCA Underwriting Assumptions'!$J$84:$K$89,2,FALSE)))</f>
        <v/>
      </c>
      <c r="R31" s="820"/>
      <c r="S31" s="674"/>
      <c r="T31" s="1482"/>
      <c r="U31" s="148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40" t="s">
        <v>2626</v>
      </c>
      <c r="C32" s="1541"/>
      <c r="D32" s="1542"/>
      <c r="E32" s="1543"/>
      <c r="F32" s="1543"/>
      <c r="G32" s="1543"/>
      <c r="H32" s="1543"/>
      <c r="I32" s="1543"/>
      <c r="J32" s="1544"/>
      <c r="K32" s="225">
        <f t="shared" si="204"/>
        <v>0</v>
      </c>
      <c r="L32" s="225">
        <f t="shared" si="0"/>
        <v>0</v>
      </c>
      <c r="M32" s="1545"/>
      <c r="N32" s="1545"/>
      <c r="O32" s="1545"/>
      <c r="P32" s="673" t="str">
        <f t="shared" si="203"/>
        <v/>
      </c>
      <c r="Q32" s="674" t="str">
        <f>IF(H32="","",P32/($P$6*VLOOKUP(C32,'DCA Underwriting Assumptions'!$J$84:$K$89,2,FALSE)))</f>
        <v/>
      </c>
      <c r="R32" s="820"/>
      <c r="S32" s="674"/>
      <c r="T32" s="1482"/>
      <c r="U32" s="148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40" t="s">
        <v>2626</v>
      </c>
      <c r="C33" s="1541"/>
      <c r="D33" s="1542"/>
      <c r="E33" s="1543"/>
      <c r="F33" s="1543"/>
      <c r="G33" s="1543"/>
      <c r="H33" s="1543"/>
      <c r="I33" s="1543"/>
      <c r="J33" s="1544"/>
      <c r="K33" s="225">
        <f t="shared" si="204"/>
        <v>0</v>
      </c>
      <c r="L33" s="225">
        <f t="shared" si="0"/>
        <v>0</v>
      </c>
      <c r="M33" s="1545"/>
      <c r="N33" s="1545"/>
      <c r="O33" s="1545"/>
      <c r="P33" s="673" t="str">
        <f t="shared" si="203"/>
        <v/>
      </c>
      <c r="Q33" s="674" t="str">
        <f>IF(H33="","",P33/($P$6*VLOOKUP(C33,'DCA Underwriting Assumptions'!$J$84:$K$89,2,FALSE)))</f>
        <v/>
      </c>
      <c r="R33" s="820"/>
      <c r="S33" s="674"/>
      <c r="T33" s="1482"/>
      <c r="U33" s="148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40" t="s">
        <v>2626</v>
      </c>
      <c r="C34" s="1541"/>
      <c r="D34" s="1542"/>
      <c r="E34" s="1543"/>
      <c r="F34" s="1543"/>
      <c r="G34" s="1543"/>
      <c r="H34" s="1543"/>
      <c r="I34" s="1543"/>
      <c r="J34" s="1544"/>
      <c r="K34" s="225">
        <f t="shared" si="204"/>
        <v>0</v>
      </c>
      <c r="L34" s="225">
        <f t="shared" si="0"/>
        <v>0</v>
      </c>
      <c r="M34" s="1545"/>
      <c r="N34" s="1545"/>
      <c r="O34" s="1545"/>
      <c r="P34" s="673" t="str">
        <f t="shared" si="203"/>
        <v/>
      </c>
      <c r="Q34" s="674" t="str">
        <f>IF(H34="","",P34/($P$6*VLOOKUP(C34,'DCA Underwriting Assumptions'!$J$84:$K$89,2,FALSE)))</f>
        <v/>
      </c>
      <c r="R34" s="820"/>
      <c r="S34" s="674"/>
      <c r="T34" s="1482"/>
      <c r="U34" s="148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40" t="s">
        <v>2626</v>
      </c>
      <c r="C35" s="1541"/>
      <c r="D35" s="1542"/>
      <c r="E35" s="1543"/>
      <c r="F35" s="1543"/>
      <c r="G35" s="1543"/>
      <c r="H35" s="1543"/>
      <c r="I35" s="1543"/>
      <c r="J35" s="1544"/>
      <c r="K35" s="225">
        <f t="shared" si="204"/>
        <v>0</v>
      </c>
      <c r="L35" s="225">
        <f t="shared" si="0"/>
        <v>0</v>
      </c>
      <c r="M35" s="1545"/>
      <c r="N35" s="1545"/>
      <c r="O35" s="1545"/>
      <c r="P35" s="673" t="str">
        <f t="shared" si="203"/>
        <v/>
      </c>
      <c r="Q35" s="674" t="str">
        <f>IF(H35="","",P35/($P$6*VLOOKUP(C35,'DCA Underwriting Assumptions'!$J$84:$K$89,2,FALSE)))</f>
        <v/>
      </c>
      <c r="R35" s="820"/>
      <c r="S35" s="674"/>
      <c r="T35" s="1482"/>
      <c r="U35" s="148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40" t="s">
        <v>2626</v>
      </c>
      <c r="C36" s="1541"/>
      <c r="D36" s="1542"/>
      <c r="E36" s="1543"/>
      <c r="F36" s="1543"/>
      <c r="G36" s="1543"/>
      <c r="H36" s="1543"/>
      <c r="I36" s="1543"/>
      <c r="J36" s="1544"/>
      <c r="K36" s="225">
        <f t="shared" si="204"/>
        <v>0</v>
      </c>
      <c r="L36" s="225">
        <f t="shared" si="0"/>
        <v>0</v>
      </c>
      <c r="M36" s="1545"/>
      <c r="N36" s="1545"/>
      <c r="O36" s="1545"/>
      <c r="P36" s="673" t="str">
        <f t="shared" si="203"/>
        <v/>
      </c>
      <c r="Q36" s="674" t="str">
        <f>IF(H36="","",P36/($P$6*VLOOKUP(C36,'DCA Underwriting Assumptions'!$J$84:$K$89,2,FALSE)))</f>
        <v/>
      </c>
      <c r="R36" s="820"/>
      <c r="S36" s="674"/>
      <c r="T36" s="1482"/>
      <c r="U36" s="148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40" t="s">
        <v>2626</v>
      </c>
      <c r="C37" s="1541"/>
      <c r="D37" s="1542"/>
      <c r="E37" s="1543"/>
      <c r="F37" s="1543"/>
      <c r="G37" s="1543"/>
      <c r="H37" s="1543"/>
      <c r="I37" s="1543"/>
      <c r="J37" s="1544"/>
      <c r="K37" s="225">
        <f t="shared" si="204"/>
        <v>0</v>
      </c>
      <c r="L37" s="225">
        <f t="shared" si="0"/>
        <v>0</v>
      </c>
      <c r="M37" s="1545"/>
      <c r="N37" s="1545"/>
      <c r="O37" s="1545"/>
      <c r="P37" s="673" t="str">
        <f t="shared" si="203"/>
        <v/>
      </c>
      <c r="Q37" s="674" t="str">
        <f>IF(H37="","",P37/($P$6*VLOOKUP(C37,'DCA Underwriting Assumptions'!$J$84:$K$89,2,FALSE)))</f>
        <v/>
      </c>
      <c r="R37" s="820"/>
      <c r="S37" s="674"/>
      <c r="T37" s="1482"/>
      <c r="U37" s="148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40" t="s">
        <v>2626</v>
      </c>
      <c r="C38" s="1541"/>
      <c r="D38" s="1542"/>
      <c r="E38" s="1543"/>
      <c r="F38" s="1543"/>
      <c r="G38" s="1543"/>
      <c r="H38" s="1543"/>
      <c r="I38" s="1543"/>
      <c r="J38" s="1544"/>
      <c r="K38" s="225">
        <f>MAX(0,H38-I38)</f>
        <v>0</v>
      </c>
      <c r="L38" s="225">
        <f t="shared" si="0"/>
        <v>0</v>
      </c>
      <c r="M38" s="1545"/>
      <c r="N38" s="1545"/>
      <c r="O38" s="1545"/>
      <c r="P38" s="673" t="str">
        <f t="shared" si="203"/>
        <v/>
      </c>
      <c r="Q38" s="674" t="str">
        <f>IF(H38="","",P38/($P$6*VLOOKUP(C38,'DCA Underwriting Assumptions'!$J$84:$K$89,2,FALSE)))</f>
        <v/>
      </c>
      <c r="R38" s="820"/>
      <c r="S38" s="674"/>
      <c r="T38" s="1482"/>
      <c r="U38" s="148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40" t="s">
        <v>2626</v>
      </c>
      <c r="C39" s="1541"/>
      <c r="D39" s="1542"/>
      <c r="E39" s="1543"/>
      <c r="F39" s="1543"/>
      <c r="G39" s="1543"/>
      <c r="H39" s="1543"/>
      <c r="I39" s="1543"/>
      <c r="J39" s="1544"/>
      <c r="K39" s="225">
        <f t="shared" ref="K39:K46" si="205">MAX(0,H39-I39)</f>
        <v>0</v>
      </c>
      <c r="L39" s="225">
        <f t="shared" si="0"/>
        <v>0</v>
      </c>
      <c r="M39" s="1545"/>
      <c r="N39" s="1545"/>
      <c r="O39" s="1545"/>
      <c r="P39" s="673" t="str">
        <f t="shared" si="203"/>
        <v/>
      </c>
      <c r="Q39" s="674" t="str">
        <f>IF(H39="","",P39/($P$6*VLOOKUP(C39,'DCA Underwriting Assumptions'!$J$84:$K$89,2,FALSE)))</f>
        <v/>
      </c>
      <c r="R39" s="820"/>
      <c r="S39" s="674"/>
      <c r="T39" s="1482"/>
      <c r="U39" s="148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40" t="s">
        <v>2626</v>
      </c>
      <c r="C40" s="1541"/>
      <c r="D40" s="1542"/>
      <c r="E40" s="1543"/>
      <c r="F40" s="1543"/>
      <c r="G40" s="1543"/>
      <c r="H40" s="1543"/>
      <c r="I40" s="1543"/>
      <c r="J40" s="1544"/>
      <c r="K40" s="225">
        <f t="shared" si="205"/>
        <v>0</v>
      </c>
      <c r="L40" s="225">
        <f t="shared" si="0"/>
        <v>0</v>
      </c>
      <c r="M40" s="1545"/>
      <c r="N40" s="1545"/>
      <c r="O40" s="1545"/>
      <c r="P40" s="673" t="str">
        <f t="shared" si="203"/>
        <v/>
      </c>
      <c r="Q40" s="674" t="str">
        <f>IF(H40="","",P40/($P$6*VLOOKUP(C40,'DCA Underwriting Assumptions'!$J$84:$K$89,2,FALSE)))</f>
        <v/>
      </c>
      <c r="R40" s="820"/>
      <c r="S40" s="674"/>
      <c r="T40" s="1482"/>
      <c r="U40" s="148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40" t="s">
        <v>2626</v>
      </c>
      <c r="C41" s="1541"/>
      <c r="D41" s="1542"/>
      <c r="E41" s="1543"/>
      <c r="F41" s="1543"/>
      <c r="G41" s="1543"/>
      <c r="H41" s="1543"/>
      <c r="I41" s="1543"/>
      <c r="J41" s="1544"/>
      <c r="K41" s="225">
        <f t="shared" si="205"/>
        <v>0</v>
      </c>
      <c r="L41" s="225">
        <f t="shared" si="0"/>
        <v>0</v>
      </c>
      <c r="M41" s="1545"/>
      <c r="N41" s="1545"/>
      <c r="O41" s="1545"/>
      <c r="P41" s="673" t="str">
        <f t="shared" si="203"/>
        <v/>
      </c>
      <c r="Q41" s="674" t="str">
        <f>IF(H41="","",P41/($P$6*VLOOKUP(C41,'DCA Underwriting Assumptions'!$J$84:$K$89,2,FALSE)))</f>
        <v/>
      </c>
      <c r="R41" s="820"/>
      <c r="S41" s="674"/>
      <c r="T41" s="1482"/>
      <c r="U41" s="148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40" t="s">
        <v>2626</v>
      </c>
      <c r="C42" s="1541"/>
      <c r="D42" s="1542"/>
      <c r="E42" s="1543"/>
      <c r="F42" s="1543"/>
      <c r="G42" s="1543"/>
      <c r="H42" s="1543"/>
      <c r="I42" s="1543"/>
      <c r="J42" s="1544"/>
      <c r="K42" s="225">
        <f t="shared" si="205"/>
        <v>0</v>
      </c>
      <c r="L42" s="225">
        <f t="shared" si="0"/>
        <v>0</v>
      </c>
      <c r="M42" s="1545"/>
      <c r="N42" s="1545"/>
      <c r="O42" s="1545"/>
      <c r="P42" s="673" t="str">
        <f t="shared" si="203"/>
        <v/>
      </c>
      <c r="Q42" s="674" t="str">
        <f>IF(H42="","",P42/($P$6*VLOOKUP(C42,'DCA Underwriting Assumptions'!$J$84:$K$89,2,FALSE)))</f>
        <v/>
      </c>
      <c r="R42" s="820"/>
      <c r="S42" s="674"/>
      <c r="T42" s="1482"/>
      <c r="U42" s="148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40" t="s">
        <v>2626</v>
      </c>
      <c r="C43" s="1541"/>
      <c r="D43" s="1542"/>
      <c r="E43" s="1543"/>
      <c r="F43" s="1543"/>
      <c r="G43" s="1543"/>
      <c r="H43" s="1543"/>
      <c r="I43" s="1543"/>
      <c r="J43" s="1544"/>
      <c r="K43" s="225">
        <f t="shared" si="205"/>
        <v>0</v>
      </c>
      <c r="L43" s="225">
        <f t="shared" si="0"/>
        <v>0</v>
      </c>
      <c r="M43" s="1545"/>
      <c r="N43" s="1545"/>
      <c r="O43" s="1545"/>
      <c r="P43" s="673" t="str">
        <f t="shared" si="203"/>
        <v/>
      </c>
      <c r="Q43" s="674" t="str">
        <f>IF(H43="","",P43/($P$6*VLOOKUP(C43,'DCA Underwriting Assumptions'!$J$84:$K$89,2,FALSE)))</f>
        <v/>
      </c>
      <c r="R43" s="820"/>
      <c r="S43" s="674"/>
      <c r="T43" s="1482"/>
      <c r="U43" s="148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40" t="s">
        <v>2626</v>
      </c>
      <c r="C44" s="1541"/>
      <c r="D44" s="1542"/>
      <c r="E44" s="1543"/>
      <c r="F44" s="1543"/>
      <c r="G44" s="1543"/>
      <c r="H44" s="1543"/>
      <c r="I44" s="1543"/>
      <c r="J44" s="1544"/>
      <c r="K44" s="225">
        <f t="shared" si="205"/>
        <v>0</v>
      </c>
      <c r="L44" s="225">
        <f t="shared" si="0"/>
        <v>0</v>
      </c>
      <c r="M44" s="1545"/>
      <c r="N44" s="1545"/>
      <c r="O44" s="1545"/>
      <c r="P44" s="673" t="str">
        <f t="shared" si="203"/>
        <v/>
      </c>
      <c r="Q44" s="674" t="str">
        <f>IF(H44="","",P44/($P$6*VLOOKUP(C44,'DCA Underwriting Assumptions'!$J$84:$K$89,2,FALSE)))</f>
        <v/>
      </c>
      <c r="R44" s="820"/>
      <c r="S44" s="674"/>
      <c r="T44" s="1482"/>
      <c r="U44" s="148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40" t="s">
        <v>2626</v>
      </c>
      <c r="C45" s="1541"/>
      <c r="D45" s="1542"/>
      <c r="E45" s="1543"/>
      <c r="F45" s="1543"/>
      <c r="G45" s="1543"/>
      <c r="H45" s="1543"/>
      <c r="I45" s="1543"/>
      <c r="J45" s="1544"/>
      <c r="K45" s="225">
        <f t="shared" si="205"/>
        <v>0</v>
      </c>
      <c r="L45" s="225">
        <f t="shared" si="0"/>
        <v>0</v>
      </c>
      <c r="M45" s="1545"/>
      <c r="N45" s="1545"/>
      <c r="O45" s="1545"/>
      <c r="P45" s="673" t="str">
        <f t="shared" si="203"/>
        <v/>
      </c>
      <c r="Q45" s="674" t="str">
        <f>IF(H45="","",P45/($P$6*VLOOKUP(C45,'DCA Underwriting Assumptions'!$J$84:$K$89,2,FALSE)))</f>
        <v/>
      </c>
      <c r="R45" s="820"/>
      <c r="S45" s="674"/>
      <c r="T45" s="1482"/>
      <c r="U45" s="148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40" t="s">
        <v>2626</v>
      </c>
      <c r="C46" s="1541"/>
      <c r="D46" s="1542"/>
      <c r="E46" s="1543"/>
      <c r="F46" s="1543"/>
      <c r="G46" s="1543"/>
      <c r="H46" s="1543"/>
      <c r="I46" s="1543"/>
      <c r="J46" s="1544"/>
      <c r="K46" s="225">
        <f t="shared" si="205"/>
        <v>0</v>
      </c>
      <c r="L46" s="225">
        <f t="shared" si="0"/>
        <v>0</v>
      </c>
      <c r="M46" s="1545"/>
      <c r="N46" s="1545"/>
      <c r="O46" s="1545"/>
      <c r="P46" s="673" t="str">
        <f t="shared" si="203"/>
        <v/>
      </c>
      <c r="Q46" s="674" t="str">
        <f>IF(H46="","",P46/($P$6*VLOOKUP(C46,'DCA Underwriting Assumptions'!$J$84:$K$89,2,FALSE)))</f>
        <v/>
      </c>
      <c r="R46" s="820"/>
      <c r="S46" s="674"/>
      <c r="T46" s="1482"/>
      <c r="U46" s="148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46" t="s">
        <v>2626</v>
      </c>
      <c r="C47" s="1547"/>
      <c r="D47" s="1548"/>
      <c r="E47" s="1549"/>
      <c r="F47" s="1549"/>
      <c r="G47" s="1549"/>
      <c r="H47" s="1549"/>
      <c r="I47" s="1549"/>
      <c r="J47" s="1550"/>
      <c r="K47" s="226">
        <f t="shared" si="204"/>
        <v>0</v>
      </c>
      <c r="L47" s="226">
        <f t="shared" si="0"/>
        <v>0</v>
      </c>
      <c r="M47" s="1551"/>
      <c r="N47" s="1551"/>
      <c r="O47" s="1551"/>
      <c r="P47" s="673" t="str">
        <f t="shared" si="203"/>
        <v/>
      </c>
      <c r="Q47" s="674" t="str">
        <f>IF(H47="","",P47/($P$6*VLOOKUP(C47,'DCA Underwriting Assumptions'!$J$84:$K$89,2,FALSE)))</f>
        <v/>
      </c>
      <c r="R47" s="820"/>
      <c r="S47" s="674"/>
      <c r="T47" s="1485"/>
      <c r="U47" s="148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65" customHeight="1">
      <c r="A48" s="228">
        <f>COUNT(A10,A11,A12,A13,A14,A15,A16,A17,A18,A19,A20,A21,A22,A23,A24,A25,A26,A27,A28,A29,A30,A31,A32,A33,A34,A35,A36,A37,A38,A39)</f>
        <v>0</v>
      </c>
      <c r="B48" s="94"/>
      <c r="C48" s="2"/>
      <c r="D48" s="17" t="s">
        <v>1521</v>
      </c>
      <c r="E48" s="171">
        <f>SUM(E10:E47)</f>
        <v>105</v>
      </c>
      <c r="F48" s="172">
        <f>(E10*F10+E11*F11+E12*F12+E13*F13+E14*F14+E15*F15+E16*F16+E17*F17+E18*F18+E19*F19+E20*F20+E21*F21+E22*F22+E23*F23+E24*F24+E25*F25+E26*F26+E27*F27+E28*F28+E29*F29+E30*F30+E31*F31+E32*F32+E33*F33+E34*F34+E35*F35+E36*F36+E37*F37+E38*F38+E39*F39+E40*F40+E41*F41+E42*F42+E43*F43+E44*F44+E45*F45+E46*F46+E47*F47)</f>
        <v>110815</v>
      </c>
      <c r="G48" s="163"/>
      <c r="H48" s="164"/>
      <c r="I48" s="164"/>
      <c r="J48" s="164"/>
      <c r="K48" s="15" t="s">
        <v>1869</v>
      </c>
      <c r="L48" s="170">
        <f>SUM(L10:L47)</f>
        <v>68305</v>
      </c>
      <c r="M48" s="2"/>
      <c r="N48" s="40"/>
      <c r="O48" s="2"/>
      <c r="P48" s="676"/>
      <c r="Q48" s="676"/>
      <c r="R48" s="676"/>
      <c r="S48" s="676"/>
      <c r="T48" s="675"/>
      <c r="U48" s="677"/>
      <c r="V48" s="779">
        <f t="shared" ref="V48:CK48" si="206">SUM(V10:V47)</f>
        <v>0</v>
      </c>
      <c r="W48" s="779">
        <f t="shared" si="206"/>
        <v>35</v>
      </c>
      <c r="X48" s="779">
        <f t="shared" si="206"/>
        <v>54</v>
      </c>
      <c r="Y48" s="779">
        <f t="shared" si="206"/>
        <v>0</v>
      </c>
      <c r="Z48" s="779">
        <f t="shared" si="206"/>
        <v>0</v>
      </c>
      <c r="AA48" s="779">
        <f t="shared" si="206"/>
        <v>0</v>
      </c>
      <c r="AB48" s="779">
        <f t="shared" si="206"/>
        <v>5</v>
      </c>
      <c r="AC48" s="779">
        <f t="shared" si="206"/>
        <v>11</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28385</v>
      </c>
      <c r="CA48" s="779">
        <f t="shared" si="206"/>
        <v>65108</v>
      </c>
      <c r="CB48" s="779">
        <f t="shared" si="206"/>
        <v>0</v>
      </c>
      <c r="CC48" s="779">
        <f t="shared" si="206"/>
        <v>0</v>
      </c>
      <c r="CD48" s="779">
        <f t="shared" si="206"/>
        <v>0</v>
      </c>
      <c r="CE48" s="779">
        <f t="shared" si="206"/>
        <v>4055</v>
      </c>
      <c r="CF48" s="779">
        <f t="shared" si="206"/>
        <v>13267</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40</v>
      </c>
      <c r="DE48" s="779">
        <f t="shared" si="208"/>
        <v>65</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40</v>
      </c>
      <c r="EX48" s="779">
        <f t="shared" si="209"/>
        <v>65</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40</v>
      </c>
      <c r="GL48" s="779">
        <f t="shared" si="209"/>
        <v>65</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65" customHeight="1">
      <c r="A49" s="110"/>
      <c r="B49" s="6"/>
      <c r="D49" s="17"/>
      <c r="E49" s="222"/>
      <c r="F49" s="222"/>
      <c r="G49" s="164"/>
      <c r="H49" s="164"/>
      <c r="I49" s="164"/>
      <c r="J49" s="164"/>
      <c r="K49" s="17" t="s">
        <v>1300</v>
      </c>
      <c r="L49" s="170">
        <f>L48*12</f>
        <v>819660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3671</v>
      </c>
      <c r="B51" s="1552"/>
      <c r="C51" s="1552"/>
      <c r="D51" s="1552"/>
      <c r="E51" s="1552"/>
      <c r="F51" s="1552"/>
      <c r="G51" s="1552"/>
      <c r="H51" s="1552"/>
      <c r="I51" s="1552"/>
      <c r="J51" s="1552"/>
      <c r="K51" s="1552"/>
      <c r="L51" s="1552"/>
      <c r="M51" s="1552"/>
      <c r="N51" s="1552"/>
      <c r="O51" s="1552"/>
      <c r="P51" s="155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52"/>
      <c r="B52" s="1552"/>
      <c r="C52" s="1552"/>
      <c r="D52" s="1552"/>
      <c r="E52" s="1552"/>
      <c r="F52" s="1552"/>
      <c r="G52" s="1552"/>
      <c r="H52" s="1552"/>
      <c r="I52" s="1552"/>
      <c r="J52" s="1552"/>
      <c r="K52" s="1552"/>
      <c r="L52" s="1552"/>
      <c r="M52" s="1552"/>
      <c r="N52" s="1552"/>
      <c r="O52" s="1552"/>
      <c r="P52" s="155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6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65" customHeight="1">
      <c r="A55" s="16"/>
      <c r="B55" s="16" t="s">
        <v>1655</v>
      </c>
      <c r="H55" s="165" t="s">
        <v>806</v>
      </c>
      <c r="I55" s="165" t="s">
        <v>771</v>
      </c>
      <c r="J55" s="165" t="s">
        <v>772</v>
      </c>
      <c r="K55" s="165" t="s">
        <v>773</v>
      </c>
      <c r="L55" s="165" t="s">
        <v>774</v>
      </c>
      <c r="M55" s="165" t="s">
        <v>775</v>
      </c>
      <c r="O55" s="110"/>
      <c r="Q55" s="1095"/>
      <c r="R55" s="852"/>
      <c r="S55" s="852"/>
      <c r="T55" s="976" t="s">
        <v>2716</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35</v>
      </c>
      <c r="J56" s="380">
        <f>X48</f>
        <v>54</v>
      </c>
      <c r="K56" s="380">
        <f>Y48</f>
        <v>0</v>
      </c>
      <c r="L56" s="380">
        <f>Z48</f>
        <v>0</v>
      </c>
      <c r="M56" s="380">
        <f t="shared" ref="M56:M62" si="211">SUM(H56:L56)</f>
        <v>89</v>
      </c>
      <c r="N56" s="1096" t="s">
        <v>1382</v>
      </c>
      <c r="O56" s="1097"/>
      <c r="P56" s="853"/>
      <c r="Q56" s="643">
        <f t="shared" ref="Q56:Q62" si="212">ABS(M56-AF56)</f>
        <v>89</v>
      </c>
      <c r="R56" s="643"/>
      <c r="S56" s="643"/>
      <c r="T56" s="1480"/>
      <c r="U56" s="148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5</v>
      </c>
      <c r="J57" s="381">
        <f>AC48</f>
        <v>11</v>
      </c>
      <c r="K57" s="381">
        <f>AD48</f>
        <v>0</v>
      </c>
      <c r="L57" s="381">
        <f>AE48</f>
        <v>0</v>
      </c>
      <c r="M57" s="381">
        <f t="shared" si="211"/>
        <v>16</v>
      </c>
      <c r="N57" s="1096"/>
      <c r="O57" s="1097"/>
      <c r="P57" s="853"/>
      <c r="Q57" s="643">
        <f t="shared" si="212"/>
        <v>16</v>
      </c>
      <c r="R57" s="643"/>
      <c r="S57" s="643"/>
      <c r="T57" s="1482"/>
      <c r="U57" s="148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40</v>
      </c>
      <c r="J58" s="382">
        <f>SUM(J56:J57)</f>
        <v>65</v>
      </c>
      <c r="K58" s="382">
        <f>SUM(K56:K57)</f>
        <v>0</v>
      </c>
      <c r="L58" s="382">
        <f>SUM(L56:L57)</f>
        <v>0</v>
      </c>
      <c r="M58" s="382">
        <f t="shared" si="211"/>
        <v>105</v>
      </c>
      <c r="N58" s="385"/>
      <c r="O58" s="110"/>
      <c r="Q58" s="643">
        <f t="shared" si="212"/>
        <v>105</v>
      </c>
      <c r="R58" s="643"/>
      <c r="S58" s="643"/>
      <c r="T58" s="1482"/>
      <c r="U58" s="148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82"/>
      <c r="U59" s="148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40</v>
      </c>
      <c r="J60" s="382">
        <f>SUM(J58:J59)</f>
        <v>65</v>
      </c>
      <c r="K60" s="382">
        <f>SUM(K58:K59)</f>
        <v>0</v>
      </c>
      <c r="L60" s="382">
        <f>SUM(L58:L59)</f>
        <v>0</v>
      </c>
      <c r="M60" s="382">
        <f t="shared" si="211"/>
        <v>105</v>
      </c>
      <c r="N60" s="65"/>
      <c r="O60" s="110"/>
      <c r="Q60" s="643">
        <f t="shared" si="212"/>
        <v>105</v>
      </c>
      <c r="R60" s="643"/>
      <c r="S60" s="643"/>
      <c r="T60" s="1482"/>
      <c r="U60" s="1483"/>
      <c r="V60" s="783"/>
      <c r="W60" s="783"/>
      <c r="X60" s="783"/>
      <c r="Y60" s="783"/>
      <c r="Z60" s="784"/>
      <c r="AA60" s="785"/>
      <c r="AB60" s="785"/>
      <c r="AC60" s="785"/>
      <c r="AD60" s="785"/>
      <c r="AE60" s="785"/>
      <c r="AF60" s="785"/>
      <c r="AG60" s="754"/>
      <c r="AH60" s="769"/>
      <c r="GW60" s="781"/>
      <c r="HL60" s="757"/>
    </row>
    <row r="61" spans="1:221" ht="12" customHeight="1">
      <c r="A61" s="1093"/>
      <c r="B61" s="1093"/>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82"/>
      <c r="U61" s="148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40</v>
      </c>
      <c r="J62" s="382">
        <f>SUM(J60:J61)</f>
        <v>65</v>
      </c>
      <c r="K62" s="382">
        <f>SUM(K60:K61)</f>
        <v>0</v>
      </c>
      <c r="L62" s="382">
        <f>SUM(L60:L61)</f>
        <v>0</v>
      </c>
      <c r="M62" s="382">
        <f t="shared" si="211"/>
        <v>105</v>
      </c>
      <c r="O62" s="110"/>
      <c r="Q62" s="643">
        <f t="shared" si="212"/>
        <v>105</v>
      </c>
      <c r="R62" s="643"/>
      <c r="S62" s="643"/>
      <c r="T62" s="1485"/>
      <c r="U62" s="148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80"/>
      <c r="U64" s="1481"/>
      <c r="V64" s="783"/>
      <c r="W64" s="783"/>
      <c r="X64" s="787"/>
      <c r="Y64" s="783"/>
      <c r="Z64" s="784"/>
      <c r="AA64" s="785"/>
      <c r="AB64" s="785"/>
      <c r="AC64" s="785"/>
      <c r="AD64" s="785"/>
      <c r="AE64" s="785"/>
      <c r="AF64" s="785"/>
      <c r="AG64" s="784"/>
      <c r="AH64" s="769"/>
      <c r="GW64" s="781"/>
      <c r="HL64" s="757"/>
    </row>
    <row r="65" spans="1:220" ht="12" customHeight="1">
      <c r="A65" s="1093"/>
      <c r="B65" s="1093"/>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82"/>
      <c r="U65" s="148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85"/>
      <c r="U66" s="148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80"/>
      <c r="U68" s="1481"/>
      <c r="V68" s="769"/>
      <c r="W68" s="783"/>
      <c r="X68" s="787"/>
      <c r="Y68" s="783"/>
      <c r="Z68" s="784"/>
      <c r="AA68" s="785"/>
      <c r="AB68" s="785"/>
      <c r="AC68" s="785"/>
      <c r="AD68" s="785"/>
      <c r="AE68" s="785"/>
      <c r="AF68" s="785"/>
      <c r="AG68" s="784"/>
      <c r="AH68" s="769"/>
      <c r="GW68" s="781"/>
      <c r="HL68" s="757"/>
    </row>
    <row r="69" spans="1:220" ht="12" customHeight="1">
      <c r="A69" s="1093"/>
      <c r="B69" s="1093"/>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82"/>
      <c r="U69" s="148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85"/>
      <c r="U70" s="148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40</v>
      </c>
      <c r="J72" s="380">
        <f>DE48</f>
        <v>65</v>
      </c>
      <c r="K72" s="380">
        <f>DF48</f>
        <v>0</v>
      </c>
      <c r="L72" s="380">
        <f>DG48</f>
        <v>0</v>
      </c>
      <c r="M72" s="380">
        <f t="shared" ref="M72:M82" si="213">SUM(H72:L72)</f>
        <v>105</v>
      </c>
      <c r="N72" s="31"/>
      <c r="O72" s="110"/>
      <c r="Q72" s="643">
        <f t="shared" ref="Q72:Q80" si="214">ABS(M72-AF72)</f>
        <v>105</v>
      </c>
      <c r="R72" s="643"/>
      <c r="S72" s="643"/>
      <c r="T72" s="1480"/>
      <c r="U72" s="148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82"/>
      <c r="U73" s="148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40</v>
      </c>
      <c r="J74" s="382">
        <f>SUM(J72:J73)+DO48</f>
        <v>65</v>
      </c>
      <c r="K74" s="382">
        <f>SUM(K72:K73)+DP48</f>
        <v>0</v>
      </c>
      <c r="L74" s="382">
        <f>SUM(L72:L73)+DQ48</f>
        <v>0</v>
      </c>
      <c r="M74" s="382">
        <f t="shared" si="213"/>
        <v>105</v>
      </c>
      <c r="N74" s="62"/>
      <c r="O74" s="110"/>
      <c r="Q74" s="643">
        <f t="shared" si="214"/>
        <v>105</v>
      </c>
      <c r="R74" s="643"/>
      <c r="S74" s="643"/>
      <c r="T74" s="1482"/>
      <c r="U74" s="148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82"/>
      <c r="U75" s="148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82"/>
      <c r="U76" s="148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82"/>
      <c r="U77" s="148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82"/>
      <c r="U78" s="148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82"/>
      <c r="U79" s="148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82"/>
      <c r="U80" s="148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53"/>
      <c r="I81" s="1553"/>
      <c r="J81" s="1553"/>
      <c r="K81" s="1553"/>
      <c r="L81" s="1553"/>
      <c r="M81" s="380">
        <f t="shared" si="213"/>
        <v>0</v>
      </c>
      <c r="N81" s="31"/>
      <c r="O81" s="110"/>
      <c r="T81" s="1482"/>
      <c r="U81" s="148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54"/>
      <c r="I82" s="1554"/>
      <c r="J82" s="1554"/>
      <c r="K82" s="1554"/>
      <c r="L82" s="1554"/>
      <c r="M82" s="384">
        <f t="shared" si="213"/>
        <v>0</v>
      </c>
      <c r="N82" s="65"/>
      <c r="O82" s="110"/>
      <c r="T82" s="1485"/>
      <c r="U82" s="148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40</v>
      </c>
      <c r="J84" s="380">
        <f t="shared" si="215"/>
        <v>65</v>
      </c>
      <c r="K84" s="380">
        <f t="shared" si="215"/>
        <v>0</v>
      </c>
      <c r="L84" s="380">
        <f t="shared" si="215"/>
        <v>0</v>
      </c>
      <c r="M84" s="380">
        <f>SUM(H84:L84)</f>
        <v>105</v>
      </c>
      <c r="N84" s="31"/>
      <c r="O84" s="110"/>
      <c r="Q84" s="643">
        <f>ABS(M84-AF84)</f>
        <v>105</v>
      </c>
      <c r="R84" s="643"/>
      <c r="S84" s="643"/>
      <c r="T84" s="1480"/>
      <c r="U84" s="148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82"/>
      <c r="U85" s="148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82"/>
      <c r="U86" s="148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82"/>
      <c r="U87" s="148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40</v>
      </c>
      <c r="J88" s="383">
        <f t="shared" si="220"/>
        <v>65</v>
      </c>
      <c r="K88" s="383">
        <f t="shared" si="220"/>
        <v>0</v>
      </c>
      <c r="L88" s="383">
        <f t="shared" si="220"/>
        <v>0</v>
      </c>
      <c r="M88" s="383">
        <f t="shared" si="217"/>
        <v>105</v>
      </c>
      <c r="N88" s="31"/>
      <c r="O88" s="110"/>
      <c r="Q88" s="643"/>
      <c r="R88" s="643"/>
      <c r="S88" s="643"/>
      <c r="T88" s="1482"/>
      <c r="U88" s="148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82"/>
      <c r="U89" s="148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82"/>
      <c r="U90" s="148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82"/>
      <c r="U91" s="148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85"/>
      <c r="U92" s="148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28385</v>
      </c>
      <c r="J94" s="221">
        <f>CA48</f>
        <v>65108</v>
      </c>
      <c r="K94" s="221">
        <f>CB48</f>
        <v>0</v>
      </c>
      <c r="L94" s="221">
        <f>CC48</f>
        <v>0</v>
      </c>
      <c r="M94" s="221">
        <f t="shared" ref="M94:M100" si="221">SUM(H94:L94)</f>
        <v>93493</v>
      </c>
      <c r="O94" s="110"/>
      <c r="Q94" s="643">
        <f t="shared" ref="Q94:Q100" si="222">ABS(M94-AF94)</f>
        <v>93493</v>
      </c>
      <c r="R94" s="643"/>
      <c r="S94" s="643"/>
      <c r="T94" s="1480"/>
      <c r="U94" s="148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4055</v>
      </c>
      <c r="J95" s="223">
        <f>CF48</f>
        <v>13267</v>
      </c>
      <c r="K95" s="223">
        <f>CG48</f>
        <v>0</v>
      </c>
      <c r="L95" s="223">
        <f>CH48</f>
        <v>0</v>
      </c>
      <c r="M95" s="223">
        <f t="shared" si="221"/>
        <v>17322</v>
      </c>
      <c r="N95" s="6"/>
      <c r="O95" s="110"/>
      <c r="Q95" s="643">
        <f t="shared" si="222"/>
        <v>17322</v>
      </c>
      <c r="R95" s="643"/>
      <c r="S95" s="643"/>
      <c r="T95" s="1482"/>
      <c r="U95" s="148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32440</v>
      </c>
      <c r="J96" s="220">
        <f>SUM(J94:J95)</f>
        <v>78375</v>
      </c>
      <c r="K96" s="220">
        <f>SUM(K94:K95)</f>
        <v>0</v>
      </c>
      <c r="L96" s="220">
        <f>SUM(L94:L95)</f>
        <v>0</v>
      </c>
      <c r="M96" s="220">
        <f t="shared" si="221"/>
        <v>110815</v>
      </c>
      <c r="N96" s="6"/>
      <c r="O96" s="110"/>
      <c r="Q96" s="643">
        <f t="shared" si="222"/>
        <v>110815</v>
      </c>
      <c r="R96" s="643"/>
      <c r="S96" s="643"/>
      <c r="T96" s="1482"/>
      <c r="U96" s="148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82"/>
      <c r="U97" s="148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32440</v>
      </c>
      <c r="J98" s="220">
        <f>SUM(J96:J97)</f>
        <v>78375</v>
      </c>
      <c r="K98" s="220">
        <f>SUM(K96:K97)</f>
        <v>0</v>
      </c>
      <c r="L98" s="220">
        <f>SUM(L96:L97)</f>
        <v>0</v>
      </c>
      <c r="M98" s="220">
        <f t="shared" si="221"/>
        <v>110815</v>
      </c>
      <c r="O98" s="110"/>
      <c r="Q98" s="643">
        <f t="shared" si="222"/>
        <v>110815</v>
      </c>
      <c r="R98" s="643"/>
      <c r="S98" s="643"/>
      <c r="T98" s="1482"/>
      <c r="U98" s="1483"/>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82"/>
      <c r="U99" s="148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32440</v>
      </c>
      <c r="J100" s="220">
        <f>SUM(J98:J99)</f>
        <v>78375</v>
      </c>
      <c r="K100" s="220">
        <f>SUM(K98:K99)</f>
        <v>0</v>
      </c>
      <c r="L100" s="220">
        <f>SUM(L98:L99)</f>
        <v>0</v>
      </c>
      <c r="M100" s="220">
        <f t="shared" si="221"/>
        <v>110815</v>
      </c>
      <c r="O100" s="110"/>
      <c r="Q100" s="643">
        <f t="shared" si="222"/>
        <v>110815</v>
      </c>
      <c r="R100" s="643"/>
      <c r="S100" s="643"/>
      <c r="T100" s="1485"/>
      <c r="U100" s="148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4" customHeight="1">
      <c r="B104" s="16" t="s">
        <v>1519</v>
      </c>
      <c r="D104" s="149"/>
      <c r="E104" s="185"/>
      <c r="G104" s="1555">
        <f>0.02*L49</f>
        <v>16393.2</v>
      </c>
      <c r="H104" s="1556"/>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57"/>
      <c r="H109" s="1557"/>
      <c r="I109" s="1557"/>
      <c r="J109" s="1557"/>
      <c r="K109" s="1558"/>
      <c r="L109" s="1557"/>
      <c r="M109" s="1557"/>
      <c r="N109" s="1557"/>
      <c r="O109" s="1557"/>
      <c r="P109" s="1557"/>
      <c r="T109" s="1480"/>
      <c r="U109" s="1481"/>
    </row>
    <row r="110" spans="1:222" ht="15" customHeight="1">
      <c r="B110" s="9" t="s">
        <v>1137</v>
      </c>
      <c r="C110" s="1559"/>
      <c r="D110" s="1560"/>
      <c r="E110" s="1560"/>
      <c r="F110" s="1561"/>
      <c r="G110" s="1562"/>
      <c r="H110" s="1562"/>
      <c r="I110" s="1562"/>
      <c r="J110" s="1562"/>
      <c r="K110" s="1563"/>
      <c r="L110" s="1562"/>
      <c r="M110" s="1562"/>
      <c r="N110" s="1562"/>
      <c r="O110" s="1562"/>
      <c r="P110" s="1562"/>
      <c r="T110" s="1482"/>
      <c r="U110" s="148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85"/>
      <c r="U111" s="1486"/>
    </row>
    <row r="112" spans="1:222" ht="6.4" customHeight="1">
      <c r="C112" s="118"/>
      <c r="G112" s="25"/>
      <c r="H112" s="25"/>
      <c r="I112" s="25"/>
      <c r="J112" s="25"/>
      <c r="K112" s="25"/>
      <c r="L112" s="25"/>
      <c r="M112" s="25"/>
      <c r="N112" s="25"/>
      <c r="O112" s="25"/>
      <c r="P112" s="25"/>
    </row>
    <row r="113" spans="2:21" ht="15.4" customHeight="1">
      <c r="B113" s="555" t="s">
        <v>902</v>
      </c>
      <c r="G113" s="42"/>
      <c r="P113" s="9"/>
      <c r="T113" s="126" t="str">
        <f>B113</f>
        <v>NOT Included in Mgt Fee:</v>
      </c>
    </row>
    <row r="114" spans="2:21" ht="15" customHeight="1">
      <c r="B114" s="9" t="s">
        <v>769</v>
      </c>
      <c r="G114" s="1557"/>
      <c r="H114" s="1557"/>
      <c r="I114" s="1557"/>
      <c r="J114" s="1557"/>
      <c r="K114" s="1558"/>
      <c r="L114" s="1557"/>
      <c r="M114" s="1557"/>
      <c r="N114" s="1557"/>
      <c r="O114" s="1557"/>
      <c r="P114" s="1557"/>
      <c r="T114" s="1482"/>
      <c r="U114" s="1483"/>
    </row>
    <row r="115" spans="2:21" ht="15" customHeight="1">
      <c r="B115" s="9" t="s">
        <v>1137</v>
      </c>
      <c r="C115" s="1559"/>
      <c r="D115" s="1560"/>
      <c r="E115" s="1560"/>
      <c r="F115" s="1561"/>
      <c r="G115" s="1562"/>
      <c r="H115" s="1562"/>
      <c r="I115" s="1562"/>
      <c r="J115" s="1562"/>
      <c r="K115" s="1563"/>
      <c r="L115" s="1562"/>
      <c r="M115" s="1562"/>
      <c r="N115" s="1562"/>
      <c r="O115" s="1562"/>
      <c r="P115" s="1562"/>
      <c r="T115" s="1482"/>
      <c r="U115" s="148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85"/>
      <c r="U116" s="1486"/>
    </row>
    <row r="117" spans="2:21" ht="42.4"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57"/>
      <c r="H119" s="1557"/>
      <c r="I119" s="1557"/>
      <c r="J119" s="1557"/>
      <c r="K119" s="1558"/>
      <c r="L119" s="1557"/>
      <c r="M119" s="1557"/>
      <c r="N119" s="1557"/>
      <c r="O119" s="1557"/>
      <c r="P119" s="1557"/>
      <c r="T119" s="1480"/>
      <c r="U119" s="1481"/>
    </row>
    <row r="120" spans="2:21" ht="15" customHeight="1">
      <c r="B120" s="9" t="s">
        <v>1137</v>
      </c>
      <c r="C120" s="1559"/>
      <c r="D120" s="1560"/>
      <c r="E120" s="1560"/>
      <c r="F120" s="1561"/>
      <c r="G120" s="1562"/>
      <c r="H120" s="1562"/>
      <c r="I120" s="1562"/>
      <c r="J120" s="1562"/>
      <c r="K120" s="1563"/>
      <c r="L120" s="1562"/>
      <c r="M120" s="1562"/>
      <c r="N120" s="1562"/>
      <c r="O120" s="1562"/>
      <c r="P120" s="1562"/>
      <c r="T120" s="1482"/>
      <c r="U120" s="148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85"/>
      <c r="U121" s="1486"/>
    </row>
    <row r="122" spans="2:21" ht="6.4" customHeight="1">
      <c r="C122" s="118"/>
      <c r="G122" s="25"/>
      <c r="H122" s="25"/>
      <c r="I122" s="25"/>
      <c r="J122" s="25"/>
      <c r="K122" s="25"/>
      <c r="L122" s="25"/>
      <c r="M122" s="25"/>
      <c r="N122" s="25"/>
      <c r="O122" s="25"/>
      <c r="P122" s="25"/>
    </row>
    <row r="123" spans="2:21" ht="15.4" customHeight="1">
      <c r="B123" s="555" t="s">
        <v>902</v>
      </c>
      <c r="G123" s="42"/>
      <c r="P123" s="9"/>
      <c r="T123" s="126" t="str">
        <f>B123</f>
        <v>NOT Included in Mgt Fee:</v>
      </c>
    </row>
    <row r="124" spans="2:21" ht="15" customHeight="1">
      <c r="B124" s="9" t="s">
        <v>769</v>
      </c>
      <c r="G124" s="1557"/>
      <c r="H124" s="1557"/>
      <c r="I124" s="1557"/>
      <c r="J124" s="1557"/>
      <c r="K124" s="1558"/>
      <c r="L124" s="1557"/>
      <c r="M124" s="1557"/>
      <c r="N124" s="1557"/>
      <c r="O124" s="1557"/>
      <c r="P124" s="1557"/>
      <c r="T124" s="1482"/>
      <c r="U124" s="1483"/>
    </row>
    <row r="125" spans="2:21" ht="15" customHeight="1">
      <c r="B125" s="9" t="s">
        <v>1137</v>
      </c>
      <c r="C125" s="1559"/>
      <c r="D125" s="1560"/>
      <c r="E125" s="1560"/>
      <c r="F125" s="1561"/>
      <c r="G125" s="1562"/>
      <c r="H125" s="1562"/>
      <c r="I125" s="1562"/>
      <c r="J125" s="1562"/>
      <c r="K125" s="1563"/>
      <c r="L125" s="1562"/>
      <c r="M125" s="1562"/>
      <c r="N125" s="1562"/>
      <c r="O125" s="1562"/>
      <c r="P125" s="1562"/>
      <c r="T125" s="1482"/>
      <c r="U125" s="148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85"/>
      <c r="U126" s="1486"/>
    </row>
    <row r="127" spans="2:21" ht="42.4"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57"/>
      <c r="H129" s="1557"/>
      <c r="I129" s="1557"/>
      <c r="J129" s="1557"/>
      <c r="K129" s="1558"/>
      <c r="L129" s="1557"/>
      <c r="M129" s="1557"/>
      <c r="N129" s="1557"/>
      <c r="O129" s="1557"/>
      <c r="P129" s="1557"/>
      <c r="T129" s="1480"/>
      <c r="U129" s="1481"/>
    </row>
    <row r="130" spans="1:255" ht="15" customHeight="1">
      <c r="B130" s="9" t="s">
        <v>1137</v>
      </c>
      <c r="C130" s="1559"/>
      <c r="D130" s="1560"/>
      <c r="E130" s="1560"/>
      <c r="F130" s="1561"/>
      <c r="G130" s="1562"/>
      <c r="H130" s="1562"/>
      <c r="I130" s="1562"/>
      <c r="J130" s="1562"/>
      <c r="K130" s="1563"/>
      <c r="L130" s="1562"/>
      <c r="M130" s="1562"/>
      <c r="N130" s="1562"/>
      <c r="O130" s="1562"/>
      <c r="P130" s="1562"/>
      <c r="T130" s="1482"/>
      <c r="U130" s="148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85"/>
      <c r="U131" s="1486"/>
    </row>
    <row r="132" spans="1:255" ht="6.4"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57"/>
      <c r="H134" s="1557"/>
      <c r="I134" s="1557"/>
      <c r="J134" s="1557"/>
      <c r="K134" s="1558"/>
      <c r="L134" s="1557"/>
      <c r="M134" s="1557"/>
      <c r="N134" s="1557"/>
      <c r="O134" s="1557"/>
      <c r="P134" s="1557"/>
      <c r="T134" s="1482"/>
      <c r="U134" s="1483"/>
    </row>
    <row r="135" spans="1:255" ht="15" customHeight="1">
      <c r="B135" s="9" t="s">
        <v>1137</v>
      </c>
      <c r="C135" s="1559"/>
      <c r="D135" s="1560"/>
      <c r="E135" s="1560"/>
      <c r="F135" s="1561"/>
      <c r="G135" s="1562"/>
      <c r="H135" s="1562"/>
      <c r="I135" s="1562"/>
      <c r="J135" s="1562"/>
      <c r="K135" s="1563"/>
      <c r="L135" s="1562"/>
      <c r="M135" s="1562"/>
      <c r="N135" s="1562"/>
      <c r="O135" s="1562"/>
      <c r="P135" s="1562"/>
      <c r="T135" s="1482"/>
      <c r="U135" s="148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85"/>
      <c r="U136" s="1486"/>
    </row>
    <row r="137" spans="1:255" ht="9.4" customHeight="1">
      <c r="B137" s="16"/>
      <c r="F137" s="42"/>
      <c r="G137" s="42"/>
      <c r="J137" s="19"/>
      <c r="P137" s="9"/>
    </row>
    <row r="138" spans="1:255" s="119" customFormat="1" ht="11.25" customHeight="1">
      <c r="A138" s="5" t="s">
        <v>2648</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2716</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80"/>
      <c r="U140" s="148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4" customHeight="1">
      <c r="A141" s="2"/>
      <c r="B141" s="2" t="s">
        <v>3091</v>
      </c>
      <c r="C141" s="2"/>
      <c r="D141" s="2"/>
      <c r="E141" s="2"/>
      <c r="F141" s="1564">
        <v>80000</v>
      </c>
      <c r="G141" s="1565"/>
      <c r="H141" s="2"/>
      <c r="I141" s="2" t="s">
        <v>1946</v>
      </c>
      <c r="J141" s="2"/>
      <c r="K141" s="1564"/>
      <c r="L141" s="1565"/>
      <c r="M141" s="2"/>
      <c r="N141" s="2" t="s">
        <v>1423</v>
      </c>
      <c r="O141" s="2"/>
      <c r="P141" s="1566">
        <v>42700</v>
      </c>
      <c r="T141" s="1482"/>
      <c r="U141" s="148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4" customHeight="1" thickBot="1">
      <c r="A142" s="2"/>
      <c r="B142" s="2" t="s">
        <v>1935</v>
      </c>
      <c r="C142" s="2"/>
      <c r="D142" s="2"/>
      <c r="E142" s="2"/>
      <c r="F142" s="1564">
        <v>45000</v>
      </c>
      <c r="G142" s="1565"/>
      <c r="H142" s="2"/>
      <c r="I142" s="2" t="s">
        <v>1947</v>
      </c>
      <c r="J142" s="2"/>
      <c r="K142" s="1564"/>
      <c r="L142" s="1565"/>
      <c r="M142" s="2"/>
      <c r="N142" s="2" t="s">
        <v>182</v>
      </c>
      <c r="O142" s="2"/>
      <c r="P142" s="1566">
        <v>21000</v>
      </c>
      <c r="T142" s="1482"/>
      <c r="U142" s="148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4" customHeight="1" thickTop="1" thickBot="1">
      <c r="A143" s="2"/>
      <c r="B143" s="2" t="s">
        <v>1790</v>
      </c>
      <c r="C143" s="2"/>
      <c r="D143" s="2"/>
      <c r="E143" s="2"/>
      <c r="F143" s="1564">
        <v>30000</v>
      </c>
      <c r="G143" s="1565"/>
      <c r="H143" s="2"/>
      <c r="I143" s="2"/>
      <c r="J143" s="169" t="s">
        <v>230</v>
      </c>
      <c r="K143" s="1089">
        <f>SUM(K141:L142)</f>
        <v>0</v>
      </c>
      <c r="L143" s="1090"/>
      <c r="M143" s="2"/>
      <c r="N143" s="1567" t="s">
        <v>57</v>
      </c>
      <c r="O143" s="1568"/>
      <c r="P143" s="1569"/>
      <c r="T143" s="1482"/>
      <c r="U143" s="148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4" customHeight="1" thickTop="1" thickBot="1">
      <c r="A144" s="2"/>
      <c r="B144" s="1570" t="s">
        <v>57</v>
      </c>
      <c r="C144" s="1571"/>
      <c r="D144" s="1571"/>
      <c r="E144" s="1572"/>
      <c r="F144" s="1573"/>
      <c r="G144" s="1574"/>
      <c r="H144" s="2"/>
      <c r="I144" s="2"/>
      <c r="J144" s="2"/>
      <c r="K144" s="2"/>
      <c r="L144" s="2"/>
      <c r="M144" s="2"/>
      <c r="N144" s="13" t="s">
        <v>230</v>
      </c>
      <c r="O144" s="2"/>
      <c r="P144" s="633">
        <f>SUM(P141:P143)</f>
        <v>63700</v>
      </c>
      <c r="T144" s="1482"/>
      <c r="U144" s="148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4" customHeight="1" thickTop="1">
      <c r="A145" s="2"/>
      <c r="B145" s="2"/>
      <c r="C145" s="13" t="s">
        <v>230</v>
      </c>
      <c r="D145" s="2"/>
      <c r="E145" s="2"/>
      <c r="F145" s="1089">
        <f>SUM(F141:G144)</f>
        <v>155000</v>
      </c>
      <c r="G145" s="1090"/>
      <c r="H145" s="2"/>
      <c r="I145" s="2"/>
      <c r="J145" s="14"/>
      <c r="K145" s="2"/>
      <c r="L145" s="2"/>
      <c r="M145" s="2"/>
      <c r="N145" s="2"/>
      <c r="O145" s="2"/>
      <c r="P145" s="2"/>
      <c r="T145" s="1482"/>
      <c r="U145" s="148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82"/>
      <c r="U146" s="148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38876</v>
      </c>
      <c r="T147" s="1482"/>
      <c r="U147" s="148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4" customHeight="1">
      <c r="A148" s="2"/>
      <c r="B148" s="2" t="s">
        <v>1940</v>
      </c>
      <c r="C148" s="2"/>
      <c r="D148" s="10"/>
      <c r="E148" s="2"/>
      <c r="F148" s="1564">
        <v>19000</v>
      </c>
      <c r="G148" s="1565"/>
      <c r="H148" s="2"/>
      <c r="I148" s="2" t="s">
        <v>2211</v>
      </c>
      <c r="J148" s="2"/>
      <c r="K148" s="1575">
        <v>10000</v>
      </c>
      <c r="L148" s="1576"/>
      <c r="M148" s="2"/>
      <c r="N148" s="595">
        <f>+P147/(M62*0.93)</f>
        <v>398.11571940604199</v>
      </c>
      <c r="O148" s="30" t="s">
        <v>3588</v>
      </c>
      <c r="P148" s="2"/>
      <c r="T148" s="1482"/>
      <c r="U148" s="148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4" customHeight="1">
      <c r="A149" s="2"/>
      <c r="B149" s="2" t="s">
        <v>1941</v>
      </c>
      <c r="C149" s="2"/>
      <c r="D149" s="10"/>
      <c r="E149" s="2"/>
      <c r="F149" s="1564">
        <v>8000</v>
      </c>
      <c r="G149" s="1565"/>
      <c r="H149" s="2"/>
      <c r="I149" s="2" t="s">
        <v>2934</v>
      </c>
      <c r="J149" s="2"/>
      <c r="K149" s="1577">
        <v>12000</v>
      </c>
      <c r="L149" s="1578"/>
      <c r="M149" s="2"/>
      <c r="N149" s="595">
        <f>+P147/(M62*0.93)/12</f>
        <v>33.176309950503502</v>
      </c>
      <c r="O149" s="30" t="s">
        <v>3589</v>
      </c>
      <c r="P149" s="2"/>
      <c r="T149" s="1482"/>
      <c r="U149" s="148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4" customHeight="1">
      <c r="A150" s="2"/>
      <c r="B150" s="2" t="s">
        <v>1942</v>
      </c>
      <c r="C150" s="2"/>
      <c r="D150" s="10"/>
      <c r="E150" s="2"/>
      <c r="F150" s="1564">
        <v>5000</v>
      </c>
      <c r="G150" s="1565"/>
      <c r="H150" s="2"/>
      <c r="I150" s="2" t="s">
        <v>2212</v>
      </c>
      <c r="J150" s="2"/>
      <c r="K150" s="1577">
        <v>7000</v>
      </c>
      <c r="L150" s="1578"/>
      <c r="M150" s="2"/>
      <c r="N150" s="2"/>
      <c r="O150" s="2"/>
      <c r="P150" s="2"/>
      <c r="T150" s="1482"/>
      <c r="U150" s="148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4" customHeight="1" thickBot="1">
      <c r="A151" s="2"/>
      <c r="B151" s="2" t="s">
        <v>3265</v>
      </c>
      <c r="C151" s="2"/>
      <c r="D151" s="10"/>
      <c r="E151" s="2"/>
      <c r="F151" s="1564">
        <v>2000</v>
      </c>
      <c r="G151" s="1565"/>
      <c r="H151" s="2"/>
      <c r="I151" s="1567" t="s">
        <v>57</v>
      </c>
      <c r="J151" s="1568"/>
      <c r="K151" s="1575"/>
      <c r="L151" s="1576"/>
      <c r="M151" s="2"/>
      <c r="N151" s="1083" t="s">
        <v>3465</v>
      </c>
      <c r="O151" s="1084"/>
      <c r="P151" s="1084"/>
      <c r="T151" s="1482"/>
      <c r="U151" s="148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4" customHeight="1" thickTop="1">
      <c r="A152" s="2"/>
      <c r="B152" s="2" t="s">
        <v>2209</v>
      </c>
      <c r="C152" s="2"/>
      <c r="D152" s="10"/>
      <c r="E152" s="2"/>
      <c r="F152" s="1564">
        <v>9000</v>
      </c>
      <c r="G152" s="1565"/>
      <c r="H152" s="2"/>
      <c r="I152" s="11"/>
      <c r="J152" s="13" t="s">
        <v>230</v>
      </c>
      <c r="K152" s="1087">
        <f>SUM(K148:K151)</f>
        <v>29000</v>
      </c>
      <c r="L152" s="1088"/>
      <c r="M152" s="2"/>
      <c r="N152" s="1084"/>
      <c r="O152" s="1084"/>
      <c r="P152" s="1084"/>
      <c r="T152" s="1485"/>
      <c r="U152" s="148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4" customHeight="1" thickBot="1">
      <c r="A153" s="2"/>
      <c r="B153" s="1570"/>
      <c r="C153" s="1571"/>
      <c r="D153" s="1571"/>
      <c r="E153" s="1572"/>
      <c r="F153" s="1573"/>
      <c r="G153" s="1574"/>
      <c r="H153" s="2"/>
      <c r="I153" s="2"/>
      <c r="J153" s="14"/>
      <c r="K153" s="2"/>
      <c r="L153" s="2"/>
      <c r="M153" s="2"/>
      <c r="N153" s="2"/>
      <c r="O153" s="2"/>
      <c r="P153" s="2"/>
      <c r="T153" s="1480"/>
      <c r="U153" s="148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4" customHeight="1" thickTop="1">
      <c r="A154" s="2"/>
      <c r="B154" s="2"/>
      <c r="C154" s="13" t="s">
        <v>230</v>
      </c>
      <c r="D154" s="2"/>
      <c r="E154" s="2"/>
      <c r="F154" s="1089">
        <f>SUM(F148:G153)</f>
        <v>43000</v>
      </c>
      <c r="G154" s="1090"/>
      <c r="H154" s="2"/>
      <c r="I154" s="2"/>
      <c r="J154" s="14"/>
      <c r="K154" s="2"/>
      <c r="L154" s="2"/>
      <c r="M154" s="2"/>
      <c r="N154" s="2"/>
      <c r="O154" s="2"/>
      <c r="P154" s="2"/>
      <c r="T154" s="1482"/>
      <c r="U154" s="148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82"/>
      <c r="U155" s="148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3317</v>
      </c>
      <c r="K156" s="2"/>
      <c r="L156" s="2"/>
      <c r="M156" s="2"/>
      <c r="N156" s="11" t="s">
        <v>3081</v>
      </c>
      <c r="O156" s="6"/>
      <c r="P156" s="6"/>
      <c r="T156" s="1482"/>
      <c r="U156" s="148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4" customHeight="1" thickBot="1">
      <c r="A157" s="2"/>
      <c r="B157" s="2" t="s">
        <v>2213</v>
      </c>
      <c r="C157" s="2"/>
      <c r="D157" s="10"/>
      <c r="E157" s="2"/>
      <c r="F157" s="1579">
        <v>15000</v>
      </c>
      <c r="G157" s="1580"/>
      <c r="H157" s="2"/>
      <c r="I157" s="2" t="s">
        <v>1936</v>
      </c>
      <c r="J157" s="630">
        <f>K157/12/$M$62</f>
        <v>27.777777777777775</v>
      </c>
      <c r="K157" s="1577">
        <v>35000</v>
      </c>
      <c r="L157" s="1578"/>
      <c r="M157" s="2"/>
      <c r="N157" s="364">
        <f>+$P$157/$M$62</f>
        <v>4317.390476190476</v>
      </c>
      <c r="O157" s="30" t="s">
        <v>1974</v>
      </c>
      <c r="P157" s="631">
        <f>F145+F154+F165+K143+K152+K162+P144+P147</f>
        <v>453326</v>
      </c>
      <c r="T157" s="1482"/>
      <c r="U157" s="148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4" customHeight="1">
      <c r="A158" s="2"/>
      <c r="B158" s="2" t="s">
        <v>2214</v>
      </c>
      <c r="C158" s="2"/>
      <c r="D158" s="10"/>
      <c r="E158" s="2"/>
      <c r="F158" s="1579">
        <v>13500</v>
      </c>
      <c r="G158" s="1580"/>
      <c r="H158" s="2"/>
      <c r="I158" s="2" t="s">
        <v>1937</v>
      </c>
      <c r="J158" s="630">
        <f>K158/12/$M$62</f>
        <v>0</v>
      </c>
      <c r="K158" s="1577"/>
      <c r="L158" s="1578"/>
      <c r="M158" s="2"/>
      <c r="N158" s="2"/>
      <c r="O158" s="2"/>
      <c r="P158" s="2"/>
      <c r="T158" s="1482"/>
      <c r="U158" s="148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4" customHeight="1" thickBot="1">
      <c r="A159" s="2"/>
      <c r="B159" s="2" t="s">
        <v>2215</v>
      </c>
      <c r="C159" s="2"/>
      <c r="D159" s="10"/>
      <c r="E159" s="2"/>
      <c r="F159" s="1579">
        <v>18000</v>
      </c>
      <c r="G159" s="1580"/>
      <c r="H159" s="2"/>
      <c r="I159" s="2" t="s">
        <v>3316</v>
      </c>
      <c r="J159" s="630">
        <f>K159/12/$M$62</f>
        <v>7.9365079365079367</v>
      </c>
      <c r="K159" s="1577">
        <v>10000</v>
      </c>
      <c r="L159" s="1578"/>
      <c r="M159" s="2"/>
      <c r="N159" s="2"/>
      <c r="O159" s="2"/>
      <c r="P159" s="2"/>
      <c r="T159" s="1482"/>
      <c r="U159" s="148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4" customHeight="1" thickBot="1">
      <c r="A160" s="2"/>
      <c r="B160" s="2" t="s">
        <v>1504</v>
      </c>
      <c r="C160" s="2"/>
      <c r="D160" s="10"/>
      <c r="E160" s="2"/>
      <c r="F160" s="1564">
        <v>2000</v>
      </c>
      <c r="G160" s="1565"/>
      <c r="H160" s="2"/>
      <c r="I160" s="2" t="s">
        <v>1939</v>
      </c>
      <c r="J160" s="2"/>
      <c r="K160" s="1577">
        <v>5250</v>
      </c>
      <c r="L160" s="1578"/>
      <c r="M160" s="2"/>
      <c r="N160" s="11" t="s">
        <v>1796</v>
      </c>
      <c r="O160" s="11"/>
      <c r="P160" s="632">
        <f>P161*M62</f>
        <v>26250</v>
      </c>
      <c r="T160" s="1482"/>
      <c r="U160" s="148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4" customHeight="1" thickBot="1">
      <c r="A161" s="2"/>
      <c r="B161" s="2" t="s">
        <v>1505</v>
      </c>
      <c r="C161" s="2"/>
      <c r="D161" s="10"/>
      <c r="E161" s="2"/>
      <c r="F161" s="1564">
        <v>5000</v>
      </c>
      <c r="G161" s="1565"/>
      <c r="H161" s="2"/>
      <c r="I161" s="1567" t="s">
        <v>57</v>
      </c>
      <c r="J161" s="1568"/>
      <c r="K161" s="1575"/>
      <c r="L161" s="1576"/>
      <c r="M161" s="2"/>
      <c r="N161" s="30" t="s">
        <v>639</v>
      </c>
      <c r="O161" s="2"/>
      <c r="P161" s="1581">
        <v>250</v>
      </c>
      <c r="T161" s="1482"/>
      <c r="U161" s="148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4" customHeight="1" thickTop="1">
      <c r="A162" s="2"/>
      <c r="B162" s="2" t="s">
        <v>1506</v>
      </c>
      <c r="C162" s="2"/>
      <c r="D162" s="10"/>
      <c r="E162" s="2"/>
      <c r="F162" s="1564">
        <v>5000</v>
      </c>
      <c r="G162" s="1565"/>
      <c r="H162" s="2"/>
      <c r="I162" s="2"/>
      <c r="J162" s="13" t="s">
        <v>230</v>
      </c>
      <c r="K162" s="1087">
        <f>SUM(K157:K161)</f>
        <v>50250</v>
      </c>
      <c r="L162" s="1088"/>
      <c r="M162" s="2"/>
      <c r="N162" s="2"/>
      <c r="O162" s="2"/>
      <c r="T162" s="1482"/>
      <c r="U162" s="148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4" customHeight="1">
      <c r="A163" s="2"/>
      <c r="B163" s="2" t="s">
        <v>1357</v>
      </c>
      <c r="C163" s="2"/>
      <c r="D163" s="10"/>
      <c r="E163" s="2"/>
      <c r="F163" s="1564">
        <v>15000</v>
      </c>
      <c r="G163" s="1565"/>
      <c r="H163" s="2"/>
      <c r="I163" s="2"/>
      <c r="J163" s="14"/>
      <c r="K163" s="2"/>
      <c r="L163" s="2"/>
      <c r="M163" s="2"/>
      <c r="N163" s="2"/>
      <c r="O163" s="2"/>
      <c r="T163" s="1482"/>
      <c r="U163" s="148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4" customHeight="1" thickBot="1">
      <c r="A164" s="2"/>
      <c r="B164" s="1570" t="s">
        <v>57</v>
      </c>
      <c r="C164" s="1571"/>
      <c r="D164" s="1571"/>
      <c r="E164" s="1572"/>
      <c r="F164" s="1573"/>
      <c r="G164" s="1574"/>
      <c r="H164" s="2"/>
      <c r="I164" s="2"/>
      <c r="J164" s="14"/>
      <c r="K164" s="2"/>
      <c r="L164" s="2"/>
      <c r="M164" s="2"/>
      <c r="N164" s="11" t="s">
        <v>3082</v>
      </c>
      <c r="O164" s="11"/>
      <c r="P164" s="11"/>
      <c r="T164" s="1482"/>
      <c r="U164" s="148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4" customHeight="1" thickTop="1" thickBot="1">
      <c r="A165" s="2"/>
      <c r="B165" s="11"/>
      <c r="C165" s="13" t="s">
        <v>230</v>
      </c>
      <c r="D165" s="2"/>
      <c r="E165" s="2"/>
      <c r="F165" s="1085">
        <f>SUM(F157:G164)</f>
        <v>73500</v>
      </c>
      <c r="G165" s="1086"/>
      <c r="H165" s="2"/>
      <c r="I165" s="2"/>
      <c r="J165" s="14"/>
      <c r="K165" s="2"/>
      <c r="L165" s="2"/>
      <c r="M165" s="2"/>
      <c r="N165" s="2"/>
      <c r="O165" s="2"/>
      <c r="P165" s="631">
        <f>P157+P160</f>
        <v>479576</v>
      </c>
      <c r="T165" s="1485"/>
      <c r="U165" s="148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3" t="s">
        <v>4080</v>
      </c>
      <c r="B168" s="1364"/>
      <c r="C168" s="1364"/>
      <c r="D168" s="1364"/>
      <c r="E168" s="1364"/>
      <c r="F168" s="1364"/>
      <c r="G168" s="1364"/>
      <c r="H168" s="1364"/>
      <c r="I168" s="1364"/>
      <c r="J168" s="1365"/>
      <c r="K168" s="1366"/>
      <c r="L168" s="1367"/>
      <c r="M168" s="1367"/>
      <c r="N168" s="1367"/>
      <c r="O168" s="1367"/>
      <c r="P168" s="1368"/>
      <c r="T168" s="987" t="s">
        <v>3966</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25" right="0.25" top="0.55000000000000004" bottom="0.38" header="0.25" footer="0.19"/>
  <pageSetup scale="86"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41"/>
  <sheetViews>
    <sheetView showGridLines="0" showZeros="0" zoomScale="60" zoomScaleNormal="60" zoomScalePageLayoutView="150" workbookViewId="0">
      <selection sqref="A1:XFD1048576"/>
    </sheetView>
  </sheetViews>
  <sheetFormatPr defaultColWidth="8.71093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71093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2012-018 Poplar Pointe, Hiram, Paulding County</v>
      </c>
      <c r="B1" s="1108"/>
      <c r="C1" s="1108"/>
      <c r="D1" s="1108"/>
      <c r="E1" s="1108"/>
      <c r="F1" s="1108"/>
      <c r="G1" s="1108"/>
      <c r="H1" s="1108"/>
      <c r="I1" s="1108"/>
      <c r="J1" s="1108"/>
      <c r="K1" s="1109"/>
      <c r="L1" s="11"/>
      <c r="M1" s="1105" t="str">
        <f>A1</f>
        <v>PART SEVEN - OPERATING PRO FORMA  -  2012-018 Poplar Pointe, Hiram, Paulding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65" customHeight="1">
      <c r="A4" s="19"/>
      <c r="B4" s="19"/>
      <c r="C4" s="19"/>
      <c r="H4" s="19"/>
      <c r="I4" s="19"/>
    </row>
    <row r="5" spans="1:15" ht="13.5" customHeight="1">
      <c r="A5" s="19" t="s">
        <v>3083</v>
      </c>
      <c r="B5" s="105">
        <v>0.02</v>
      </c>
      <c r="C5" s="19"/>
      <c r="D5" s="19" t="s">
        <v>1269</v>
      </c>
      <c r="F5" s="19"/>
      <c r="G5" s="1582">
        <v>7000</v>
      </c>
      <c r="H5" s="128" t="s">
        <v>2784</v>
      </c>
      <c r="K5" s="133">
        <f>IF(($B$14+$B$15+$B$16+$B$17)=0,"",-B28/($B$14+$B$15+$B$16+$B$17))</f>
        <v>9.0028741238357898E-3</v>
      </c>
      <c r="M5" s="1480"/>
      <c r="N5" s="1481"/>
    </row>
    <row r="6" spans="1:15">
      <c r="A6" s="19" t="s">
        <v>3084</v>
      </c>
      <c r="B6" s="105">
        <v>0.03</v>
      </c>
      <c r="C6" s="19"/>
      <c r="D6" s="19" t="s">
        <v>1270</v>
      </c>
      <c r="F6" s="19"/>
      <c r="G6" s="1582">
        <v>0</v>
      </c>
      <c r="H6" s="128" t="s">
        <v>3346</v>
      </c>
      <c r="K6" s="133" t="e">
        <f>IF(($B$14+$B$15+$B$16+$B$17)=0,"",-#REF!/($B$14+$B$15+$B$16+$B$17))</f>
        <v>#REF!</v>
      </c>
      <c r="M6" s="1482"/>
      <c r="N6" s="1483"/>
    </row>
    <row r="7" spans="1:15">
      <c r="A7" s="19" t="s">
        <v>3086</v>
      </c>
      <c r="B7" s="105">
        <v>0.03</v>
      </c>
      <c r="C7" s="19"/>
      <c r="D7" s="107" t="s">
        <v>332</v>
      </c>
      <c r="G7" s="109"/>
      <c r="H7" s="128" t="s">
        <v>3347</v>
      </c>
      <c r="K7" s="133">
        <f>IF(($B$14+$B$15+$B$16+$B$17)=0,"",-B20/($B$14+$B$15+$B$16+$B$17))</f>
        <v>4.9999390634034309E-2</v>
      </c>
      <c r="M7" s="1482"/>
      <c r="N7" s="1483"/>
    </row>
    <row r="8" spans="1:15" ht="13.15" customHeight="1">
      <c r="A8" s="19" t="s">
        <v>3085</v>
      </c>
      <c r="B8" s="1583">
        <v>7.0000000000000007E-2</v>
      </c>
      <c r="C8" s="19"/>
      <c r="D8" s="106" t="s">
        <v>3517</v>
      </c>
      <c r="G8" s="1584" t="s">
        <v>3984</v>
      </c>
      <c r="H8" s="230" t="s">
        <v>2028</v>
      </c>
      <c r="K8" s="1585"/>
      <c r="M8" s="1482"/>
      <c r="N8" s="1483"/>
    </row>
    <row r="9" spans="1:15">
      <c r="A9" s="19" t="s">
        <v>1992</v>
      </c>
      <c r="B9" s="105">
        <v>0.02</v>
      </c>
      <c r="D9" s="106" t="s">
        <v>2570</v>
      </c>
      <c r="G9" s="1584" t="s">
        <v>3976</v>
      </c>
      <c r="H9" s="230" t="s">
        <v>3322</v>
      </c>
      <c r="K9" s="1586">
        <v>0.05</v>
      </c>
      <c r="M9" s="1485"/>
      <c r="N9" s="1486"/>
    </row>
    <row r="10" spans="1:15" ht="13.5" customHeight="1"/>
    <row r="11" spans="1:15">
      <c r="A11" s="16" t="s">
        <v>97</v>
      </c>
      <c r="M11" s="16" t="str">
        <f>A11</f>
        <v>II.  OPERATING PRO FORMA</v>
      </c>
    </row>
    <row r="12" spans="1:15" ht="2.65" customHeight="1"/>
    <row r="13" spans="1:15" ht="14.6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3674</v>
      </c>
      <c r="N13" s="976"/>
    </row>
    <row r="14" spans="1:15" ht="13.15" customHeight="1">
      <c r="A14" s="21" t="s">
        <v>3384</v>
      </c>
      <c r="B14" s="22">
        <f>'Part VI-Revenues &amp; Expenses'!L49</f>
        <v>819660</v>
      </c>
      <c r="C14" s="22">
        <f t="shared" ref="C14:K14" si="1">$B$14*(1+$B$5)^(C13-1)</f>
        <v>836053.20000000007</v>
      </c>
      <c r="D14" s="22">
        <f t="shared" si="1"/>
        <v>852774.26399999997</v>
      </c>
      <c r="E14" s="22">
        <f t="shared" si="1"/>
        <v>869829.74927999999</v>
      </c>
      <c r="F14" s="22">
        <f t="shared" si="1"/>
        <v>887226.34426559997</v>
      </c>
      <c r="G14" s="22">
        <f t="shared" si="1"/>
        <v>904970.87115091202</v>
      </c>
      <c r="H14" s="22">
        <f t="shared" si="1"/>
        <v>923070.28857393027</v>
      </c>
      <c r="I14" s="22">
        <f t="shared" si="1"/>
        <v>941531.6943454087</v>
      </c>
      <c r="J14" s="22">
        <f t="shared" si="1"/>
        <v>960362.328232317</v>
      </c>
      <c r="K14" s="23">
        <f t="shared" si="1"/>
        <v>979569.57479696325</v>
      </c>
      <c r="M14" s="1480"/>
      <c r="N14" s="1481"/>
    </row>
    <row r="15" spans="1:15" ht="13.15" customHeight="1">
      <c r="A15" s="24" t="s">
        <v>1519</v>
      </c>
      <c r="B15" s="25">
        <f>MIN(B14*B9,'Part VI-Revenues &amp; Expenses'!G104)</f>
        <v>16393.2</v>
      </c>
      <c r="C15" s="25">
        <f t="shared" ref="C15:K15" si="2">$B$15*(1+$B$5)^(C13-1)</f>
        <v>16721.064000000002</v>
      </c>
      <c r="D15" s="25">
        <f t="shared" si="2"/>
        <v>17055.485280000001</v>
      </c>
      <c r="E15" s="25">
        <f t="shared" si="2"/>
        <v>17396.594985600001</v>
      </c>
      <c r="F15" s="25">
        <f t="shared" si="2"/>
        <v>17744.526885312</v>
      </c>
      <c r="G15" s="25">
        <f t="shared" si="2"/>
        <v>18099.41742301824</v>
      </c>
      <c r="H15" s="25">
        <f t="shared" si="2"/>
        <v>18461.405771478607</v>
      </c>
      <c r="I15" s="25">
        <f t="shared" si="2"/>
        <v>18830.633886908174</v>
      </c>
      <c r="J15" s="25">
        <f t="shared" si="2"/>
        <v>19207.246564646339</v>
      </c>
      <c r="K15" s="26">
        <f t="shared" si="2"/>
        <v>19591.391495939268</v>
      </c>
      <c r="M15" s="1482"/>
      <c r="N15" s="1483"/>
    </row>
    <row r="16" spans="1:15" ht="13.15" customHeight="1">
      <c r="A16" s="24" t="s">
        <v>3385</v>
      </c>
      <c r="B16" s="25">
        <f t="shared" ref="B16:K16" si="3">-(B14+B15)*$B$8</f>
        <v>-58523.724000000002</v>
      </c>
      <c r="C16" s="25">
        <f t="shared" si="3"/>
        <v>-59694.198480000014</v>
      </c>
      <c r="D16" s="25">
        <f t="shared" si="3"/>
        <v>-60888.082449600006</v>
      </c>
      <c r="E16" s="25">
        <f t="shared" si="3"/>
        <v>-62105.844098592002</v>
      </c>
      <c r="F16" s="25">
        <f t="shared" si="3"/>
        <v>-63347.960980563847</v>
      </c>
      <c r="G16" s="25">
        <f t="shared" si="3"/>
        <v>-64614.920200175126</v>
      </c>
      <c r="H16" s="25">
        <f t="shared" si="3"/>
        <v>-65907.218604178634</v>
      </c>
      <c r="I16" s="25">
        <f t="shared" si="3"/>
        <v>-67225.362976262186</v>
      </c>
      <c r="J16" s="25">
        <f t="shared" si="3"/>
        <v>-68569.870235787443</v>
      </c>
      <c r="K16" s="26">
        <f t="shared" si="3"/>
        <v>-69941.267640503182</v>
      </c>
      <c r="M16" s="1482"/>
      <c r="N16" s="148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2"/>
      <c r="N17" s="148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2"/>
      <c r="N18" s="1483"/>
    </row>
    <row r="19" spans="1:14" ht="13.15" customHeight="1">
      <c r="A19" s="24" t="s">
        <v>871</v>
      </c>
      <c r="B19" s="25">
        <f>-('Part VI-Revenues &amp; Expenses'!P157-'Part VI-Revenues &amp; Expenses'!P147)</f>
        <v>-414450</v>
      </c>
      <c r="C19" s="25">
        <f t="shared" ref="C19:K19" si="4">$B$19*(1+$B$6)^(C13-1)</f>
        <v>-426883.5</v>
      </c>
      <c r="D19" s="25">
        <f t="shared" si="4"/>
        <v>-439690.005</v>
      </c>
      <c r="E19" s="25">
        <f t="shared" si="4"/>
        <v>-452880.70514999999</v>
      </c>
      <c r="F19" s="25">
        <f t="shared" si="4"/>
        <v>-466467.12630449998</v>
      </c>
      <c r="G19" s="25">
        <f t="shared" si="4"/>
        <v>-480461.14009363495</v>
      </c>
      <c r="H19" s="25">
        <f t="shared" si="4"/>
        <v>-494874.97429644404</v>
      </c>
      <c r="I19" s="25">
        <f t="shared" si="4"/>
        <v>-509721.22352533735</v>
      </c>
      <c r="J19" s="25">
        <f t="shared" si="4"/>
        <v>-525012.86023109744</v>
      </c>
      <c r="K19" s="26">
        <f t="shared" si="4"/>
        <v>-540763.24603803037</v>
      </c>
      <c r="M19" s="1482"/>
      <c r="N19" s="148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-38876</v>
      </c>
      <c r="C20" s="25">
        <f>IF(AND('Part VII-Pro Forma'!$G$8="Yes",'Part VII-Pro Forma'!$G$9="Yes"),"Choose One!",IF('Part VII-Pro Forma'!$G$8="Yes",ROUND((-$K$8*(1+'Part VII-Pro Forma'!$B$6)^('Part VII-Pro Forma'!C13-1)),),IF('Part VII-Pro Forma'!$G$9="Yes",ROUND((-(SUM(C14:C17)*'Part VII-Pro Forma'!$K$9)),),"Choose mgt fee")))</f>
        <v>-39654</v>
      </c>
      <c r="D20" s="25">
        <f>IF(AND('Part VII-Pro Forma'!$G$8="Yes",'Part VII-Pro Forma'!$G$9="Yes"),"Choose One!",IF('Part VII-Pro Forma'!$G$8="Yes",ROUND((-$K$8*(1+'Part VII-Pro Forma'!$B$6)^('Part VII-Pro Forma'!D13-1)),),IF('Part VII-Pro Forma'!$G$9="Yes",ROUND((-(SUM(D14:D17)*'Part VII-Pro Forma'!$K$9)),),"Choose mgt fee")))</f>
        <v>-40447</v>
      </c>
      <c r="E20" s="25">
        <f>IF(AND('Part VII-Pro Forma'!$G$8="Yes",'Part VII-Pro Forma'!$G$9="Yes"),"Choose One!",IF('Part VII-Pro Forma'!$G$8="Yes",ROUND((-$K$8*(1+'Part VII-Pro Forma'!$B$6)^('Part VII-Pro Forma'!E13-1)),),IF('Part VII-Pro Forma'!$G$9="Yes",ROUND((-(SUM(E14:E17)*'Part VII-Pro Forma'!$K$9)),),"Choose mgt fee")))</f>
        <v>-41256</v>
      </c>
      <c r="F20" s="25">
        <f>IF(AND('Part VII-Pro Forma'!$G$8="Yes",'Part VII-Pro Forma'!$G$9="Yes"),"Choose One!",IF('Part VII-Pro Forma'!$G$8="Yes",ROUND((-$K$8*(1+'Part VII-Pro Forma'!$B$6)^('Part VII-Pro Forma'!F13-1)),),IF('Part VII-Pro Forma'!$G$9="Yes",ROUND((-(SUM(F14:F17)*'Part VII-Pro Forma'!$K$9)),),"Choose mgt fee")))</f>
        <v>-42081</v>
      </c>
      <c r="G20" s="25">
        <f>IF(AND('Part VII-Pro Forma'!$G$8="Yes",'Part VII-Pro Forma'!$G$9="Yes"),"Choose One!",IF('Part VII-Pro Forma'!$G$8="Yes",ROUND((-$K$8*(1+'Part VII-Pro Forma'!$B$6)^('Part VII-Pro Forma'!G13-1)),),IF('Part VII-Pro Forma'!$G$9="Yes",ROUND((-(SUM(G14:G17)*'Part VII-Pro Forma'!$K$9)),),"Choose mgt fee")))</f>
        <v>-42923</v>
      </c>
      <c r="H20" s="25">
        <f>IF(AND('Part VII-Pro Forma'!$G$8="Yes",'Part VII-Pro Forma'!$G$9="Yes"),"Choose One!",IF('Part VII-Pro Forma'!$G$8="Yes",ROUND((-$K$8*(1+'Part VII-Pro Forma'!$B$6)^('Part VII-Pro Forma'!H13-1)),),IF('Part VII-Pro Forma'!$G$9="Yes",ROUND((-(SUM(H14:H17)*'Part VII-Pro Forma'!$K$9)),),"Choose mgt fee")))</f>
        <v>-43781</v>
      </c>
      <c r="I20" s="25">
        <f>IF(AND('Part VII-Pro Forma'!$G$8="Yes",'Part VII-Pro Forma'!$G$9="Yes"),"Choose One!",IF('Part VII-Pro Forma'!$G$8="Yes",ROUND((-$K$8*(1+'Part VII-Pro Forma'!$B$6)^('Part VII-Pro Forma'!I13-1)),),IF('Part VII-Pro Forma'!$G$9="Yes",ROUND((-(SUM(I14:I17)*'Part VII-Pro Forma'!$K$9)),),"Choose mgt fee")))</f>
        <v>-44657</v>
      </c>
      <c r="J20" s="25">
        <f>IF(AND('Part VII-Pro Forma'!$G$8="Yes",'Part VII-Pro Forma'!$G$9="Yes"),"Choose One!",IF('Part VII-Pro Forma'!$G$8="Yes",ROUND((-$K$8*(1+'Part VII-Pro Forma'!$B$6)^('Part VII-Pro Forma'!J13-1)),),IF('Part VII-Pro Forma'!$G$9="Yes",ROUND((-(SUM(J14:J17)*'Part VII-Pro Forma'!$K$9)),),"Choose mgt fee")))</f>
        <v>-45550</v>
      </c>
      <c r="K20" s="25">
        <f>IF(AND('Part VII-Pro Forma'!$G$8="Yes",'Part VII-Pro Forma'!$G$9="Yes"),"Choose One!",IF('Part VII-Pro Forma'!$G$8="Yes",ROUND((-$K$8*(1+'Part VII-Pro Forma'!$B$6)^('Part VII-Pro Forma'!K13-1)),),IF('Part VII-Pro Forma'!$G$9="Yes",ROUND((-(SUM(K14:K17)*'Part VII-Pro Forma'!$K$9)),),"Choose mgt fee")))</f>
        <v>-46461</v>
      </c>
      <c r="M20" s="1482"/>
      <c r="N20" s="1483"/>
    </row>
    <row r="21" spans="1:14" ht="13.15" customHeight="1">
      <c r="A21" s="24" t="s">
        <v>1739</v>
      </c>
      <c r="B21" s="25">
        <f>-('Part VI-Revenues &amp; Expenses'!P160)</f>
        <v>-26250</v>
      </c>
      <c r="C21" s="25">
        <f t="shared" ref="C21:K21" si="5">$B$21*(1+$B$7)^(C13-1)</f>
        <v>-27037.5</v>
      </c>
      <c r="D21" s="25">
        <f t="shared" si="5"/>
        <v>-27848.625</v>
      </c>
      <c r="E21" s="25">
        <f t="shared" si="5"/>
        <v>-28684.083750000002</v>
      </c>
      <c r="F21" s="25">
        <f t="shared" si="5"/>
        <v>-29544.606262499998</v>
      </c>
      <c r="G21" s="25">
        <f t="shared" si="5"/>
        <v>-30430.944450374995</v>
      </c>
      <c r="H21" s="25">
        <f t="shared" si="5"/>
        <v>-31343.872783886247</v>
      </c>
      <c r="I21" s="25">
        <f t="shared" si="5"/>
        <v>-32284.188967402835</v>
      </c>
      <c r="J21" s="25">
        <f t="shared" si="5"/>
        <v>-33252.71463642492</v>
      </c>
      <c r="K21" s="26">
        <f t="shared" si="5"/>
        <v>-34250.296075517668</v>
      </c>
      <c r="M21" s="1482"/>
      <c r="N21" s="1483"/>
    </row>
    <row r="22" spans="1:14" ht="13.15" customHeight="1">
      <c r="A22" s="24" t="s">
        <v>1740</v>
      </c>
      <c r="B22" s="25">
        <f t="shared" ref="B22:K22" si="6">SUM(B14:B21)</f>
        <v>297953.47599999991</v>
      </c>
      <c r="C22" s="25">
        <f t="shared" si="6"/>
        <v>299505.06552000006</v>
      </c>
      <c r="D22" s="25">
        <f t="shared" si="6"/>
        <v>300956.0368304</v>
      </c>
      <c r="E22" s="25">
        <f t="shared" si="6"/>
        <v>302299.71126700804</v>
      </c>
      <c r="F22" s="25">
        <f t="shared" si="6"/>
        <v>303530.17760334816</v>
      </c>
      <c r="G22" s="25">
        <f t="shared" si="6"/>
        <v>304640.2838297452</v>
      </c>
      <c r="H22" s="25">
        <f t="shared" si="6"/>
        <v>305624.62866089999</v>
      </c>
      <c r="I22" s="25">
        <f t="shared" si="6"/>
        <v>306474.55276331445</v>
      </c>
      <c r="J22" s="25">
        <f t="shared" si="6"/>
        <v>307184.12969365355</v>
      </c>
      <c r="K22" s="26">
        <f t="shared" si="6"/>
        <v>307745.15653885121</v>
      </c>
      <c r="M22" s="1482"/>
      <c r="N22" s="1483"/>
    </row>
    <row r="23" spans="1:14" ht="13.15" customHeight="1">
      <c r="A23" s="678" t="s">
        <v>2195</v>
      </c>
      <c r="B23" s="1587">
        <f>IF('Part III A-Sources of Funds'!$M$32="", 0,-'Part III A-Sources of Funds'!$M$32)</f>
        <v>-247492.52820665613</v>
      </c>
      <c r="C23" s="1587">
        <f>IF('Part III A-Sources of Funds'!$M$32="", 0,-'Part III A-Sources of Funds'!$M$32)</f>
        <v>-247492.52820665613</v>
      </c>
      <c r="D23" s="1587">
        <f>IF('Part III A-Sources of Funds'!$M$32="", 0,-'Part III A-Sources of Funds'!$M$32)</f>
        <v>-247492.52820665613</v>
      </c>
      <c r="E23" s="1587">
        <f>IF('Part III A-Sources of Funds'!$M$32="", 0,-'Part III A-Sources of Funds'!$M$32)</f>
        <v>-247492.52820665613</v>
      </c>
      <c r="F23" s="1587">
        <f>IF('Part III A-Sources of Funds'!$M$32="", 0,-'Part III A-Sources of Funds'!$M$32)</f>
        <v>-247492.52820665613</v>
      </c>
      <c r="G23" s="1587">
        <f>IF('Part III A-Sources of Funds'!$M$32="", 0,-'Part III A-Sources of Funds'!$M$32)</f>
        <v>-247492.52820665613</v>
      </c>
      <c r="H23" s="1587">
        <f>IF('Part III A-Sources of Funds'!$M$32="", 0,-'Part III A-Sources of Funds'!$M$32)</f>
        <v>-247492.52820665613</v>
      </c>
      <c r="I23" s="1587">
        <f>IF('Part III A-Sources of Funds'!$M$32="", 0,-'Part III A-Sources of Funds'!$M$32)</f>
        <v>-247492.52820665613</v>
      </c>
      <c r="J23" s="1587">
        <f>IF('Part III A-Sources of Funds'!$M$32="", 0,-'Part III A-Sources of Funds'!$M$32)</f>
        <v>-247492.52820665613</v>
      </c>
      <c r="K23" s="1587">
        <f>IF('Part III A-Sources of Funds'!$M$32="", 0,-'Part III A-Sources of Funds'!$M$32)</f>
        <v>-247492.52820665613</v>
      </c>
      <c r="M23" s="1482"/>
      <c r="N23" s="1483"/>
    </row>
    <row r="24" spans="1:14" ht="13.15" customHeight="1">
      <c r="A24" s="678" t="s">
        <v>2196</v>
      </c>
      <c r="B24" s="1588">
        <f>IF('Part III A-Sources of Funds'!$M$33="", 0,-'Part III A-Sources of Funds'!$M$33)</f>
        <v>0</v>
      </c>
      <c r="C24" s="1588">
        <f>IF('Part III A-Sources of Funds'!$M$33="", 0,-'Part III A-Sources of Funds'!$M$33)</f>
        <v>0</v>
      </c>
      <c r="D24" s="1588">
        <f>IF('Part III A-Sources of Funds'!$M$33="", 0,-'Part III A-Sources of Funds'!$M$33)</f>
        <v>0</v>
      </c>
      <c r="E24" s="1588">
        <f>IF('Part III A-Sources of Funds'!$M$33="", 0,-'Part III A-Sources of Funds'!$M$33)</f>
        <v>0</v>
      </c>
      <c r="F24" s="1588">
        <f>IF('Part III A-Sources of Funds'!$M$33="", 0,-'Part III A-Sources of Funds'!$M$33)</f>
        <v>0</v>
      </c>
      <c r="G24" s="1588">
        <f>IF('Part III A-Sources of Funds'!$M$33="", 0,-'Part III A-Sources of Funds'!$M$33)</f>
        <v>0</v>
      </c>
      <c r="H24" s="1588">
        <f>IF('Part III A-Sources of Funds'!$M$33="", 0,-'Part III A-Sources of Funds'!$M$33)</f>
        <v>0</v>
      </c>
      <c r="I24" s="1588">
        <f>IF('Part III A-Sources of Funds'!$M$33="", 0,-'Part III A-Sources of Funds'!$M$33)</f>
        <v>0</v>
      </c>
      <c r="J24" s="1588">
        <f>IF('Part III A-Sources of Funds'!$M$33="", 0,-'Part III A-Sources of Funds'!$M$33)</f>
        <v>0</v>
      </c>
      <c r="K24" s="1588">
        <f>IF('Part III A-Sources of Funds'!$M$33="", 0,-'Part III A-Sources of Funds'!$M$33)</f>
        <v>0</v>
      </c>
      <c r="M24" s="1482"/>
      <c r="N24" s="1483"/>
    </row>
    <row r="25" spans="1:14" ht="13.15" customHeight="1">
      <c r="A25" s="678" t="s">
        <v>2197</v>
      </c>
      <c r="B25" s="1588">
        <f>IF('Part III A-Sources of Funds'!$M$34="", 0,-'Part III A-Sources of Funds'!$M$34)</f>
        <v>0</v>
      </c>
      <c r="C25" s="1588">
        <f>IF('Part III A-Sources of Funds'!$M$34="", 0,-'Part III A-Sources of Funds'!$M$34)</f>
        <v>0</v>
      </c>
      <c r="D25" s="1588">
        <f>IF('Part III A-Sources of Funds'!$M$34="", 0,-'Part III A-Sources of Funds'!$M$34)</f>
        <v>0</v>
      </c>
      <c r="E25" s="1588">
        <f>IF('Part III A-Sources of Funds'!$M$34="", 0,-'Part III A-Sources of Funds'!$M$34)</f>
        <v>0</v>
      </c>
      <c r="F25" s="1588">
        <f>IF('Part III A-Sources of Funds'!$M$34="", 0,-'Part III A-Sources of Funds'!$M$34)</f>
        <v>0</v>
      </c>
      <c r="G25" s="1588">
        <f>IF('Part III A-Sources of Funds'!$M$34="", 0,-'Part III A-Sources of Funds'!$M$34)</f>
        <v>0</v>
      </c>
      <c r="H25" s="1588">
        <f>IF('Part III A-Sources of Funds'!$M$34="", 0,-'Part III A-Sources of Funds'!$M$34)</f>
        <v>0</v>
      </c>
      <c r="I25" s="1588">
        <f>IF('Part III A-Sources of Funds'!$M$34="", 0,-'Part III A-Sources of Funds'!$M$34)</f>
        <v>0</v>
      </c>
      <c r="J25" s="1588">
        <f>IF('Part III A-Sources of Funds'!$M$34="", 0,-'Part III A-Sources of Funds'!$M$34)</f>
        <v>0</v>
      </c>
      <c r="K25" s="1588">
        <f>IF('Part III A-Sources of Funds'!$M$34="", 0,-'Part III A-Sources of Funds'!$M$34)</f>
        <v>0</v>
      </c>
      <c r="M25" s="1482"/>
      <c r="N25" s="1483"/>
    </row>
    <row r="26" spans="1:14" ht="13.15" customHeight="1">
      <c r="A26" s="24" t="s">
        <v>1266</v>
      </c>
      <c r="B26" s="1588">
        <f>IF('Part III A-Sources of Funds'!$M$35="", 0,-'Part III A-Sources of Funds'!$M$35)</f>
        <v>0</v>
      </c>
      <c r="C26" s="1588">
        <f>IF('Part III A-Sources of Funds'!$M$35="", 0,-'Part III A-Sources of Funds'!$M$35)</f>
        <v>0</v>
      </c>
      <c r="D26" s="1588">
        <f>IF('Part III A-Sources of Funds'!$M$35="", 0,-'Part III A-Sources of Funds'!$M$35)</f>
        <v>0</v>
      </c>
      <c r="E26" s="1588">
        <f>IF('Part III A-Sources of Funds'!$M$35="", 0,-'Part III A-Sources of Funds'!$M$35)</f>
        <v>0</v>
      </c>
      <c r="F26" s="1588">
        <f>IF('Part III A-Sources of Funds'!$M$35="", 0,-'Part III A-Sources of Funds'!$M$35)</f>
        <v>0</v>
      </c>
      <c r="G26" s="1588">
        <f>IF('Part III A-Sources of Funds'!$M$35="", 0,-'Part III A-Sources of Funds'!$M$35)</f>
        <v>0</v>
      </c>
      <c r="H26" s="1588">
        <f>IF('Part III A-Sources of Funds'!$M$35="", 0,-'Part III A-Sources of Funds'!$M$35)</f>
        <v>0</v>
      </c>
      <c r="I26" s="1588">
        <f>IF('Part III A-Sources of Funds'!$M$35="", 0,-'Part III A-Sources of Funds'!$M$35)</f>
        <v>0</v>
      </c>
      <c r="J26" s="1588">
        <f>IF('Part III A-Sources of Funds'!$M$35="", 0,-'Part III A-Sources of Funds'!$M$35)</f>
        <v>0</v>
      </c>
      <c r="K26" s="1588">
        <f>IF('Part III A-Sources of Funds'!$M$35="", 0,-'Part III A-Sources of Funds'!$M$35)</f>
        <v>0</v>
      </c>
      <c r="M26" s="1482"/>
      <c r="N26" s="1483"/>
    </row>
    <row r="27" spans="1:14" ht="13.15" customHeight="1">
      <c r="A27" s="24" t="s">
        <v>1241</v>
      </c>
      <c r="B27" s="1589"/>
      <c r="C27" s="1589"/>
      <c r="D27" s="1589"/>
      <c r="E27" s="1589"/>
      <c r="F27" s="1589"/>
      <c r="G27" s="1589"/>
      <c r="H27" s="1589"/>
      <c r="I27" s="1589"/>
      <c r="J27" s="1589"/>
      <c r="K27" s="1589"/>
      <c r="M27" s="1482"/>
      <c r="N27" s="1483"/>
    </row>
    <row r="28" spans="1:14" ht="13.15" customHeight="1">
      <c r="A28" s="24" t="s">
        <v>1686</v>
      </c>
      <c r="B28" s="1588">
        <f>-$G$5</f>
        <v>-7000</v>
      </c>
      <c r="C28" s="1590">
        <f>B28*1.03</f>
        <v>-7210</v>
      </c>
      <c r="D28" s="1590">
        <f t="shared" ref="D28:K28" si="7">C28*1.03</f>
        <v>-7426.3</v>
      </c>
      <c r="E28" s="1590">
        <f t="shared" si="7"/>
        <v>-7649.0889999999999</v>
      </c>
      <c r="F28" s="1590">
        <f t="shared" si="7"/>
        <v>-7878.56167</v>
      </c>
      <c r="G28" s="1590">
        <f t="shared" si="7"/>
        <v>-8114.9185201</v>
      </c>
      <c r="H28" s="1590">
        <f t="shared" si="7"/>
        <v>-8358.3660757030011</v>
      </c>
      <c r="I28" s="1590">
        <f t="shared" si="7"/>
        <v>-8609.1170579740919</v>
      </c>
      <c r="J28" s="1590">
        <f t="shared" si="7"/>
        <v>-8867.3905697133141</v>
      </c>
      <c r="K28" s="1590">
        <f t="shared" si="7"/>
        <v>-9133.4122868047143</v>
      </c>
      <c r="M28" s="1482"/>
      <c r="N28" s="1483"/>
    </row>
    <row r="29" spans="1:14" ht="13.15" customHeight="1">
      <c r="A29" s="24" t="s">
        <v>1741</v>
      </c>
      <c r="B29" s="1591">
        <f>IF('Part III A-Sources of Funds'!$M$37="", 0,-'Part III A-Sources of Funds'!$M$37)</f>
        <v>-27360</v>
      </c>
      <c r="C29" s="1591">
        <f>IF('Part III A-Sources of Funds'!$M$37="", 0,-'Part III A-Sources of Funds'!$M$37)</f>
        <v>-27360</v>
      </c>
      <c r="D29" s="1591">
        <f>IF('Part III A-Sources of Funds'!$M$37="", 0,-'Part III A-Sources of Funds'!$M$37)</f>
        <v>-27360</v>
      </c>
      <c r="E29" s="1591">
        <f>IF('Part III A-Sources of Funds'!$M$37="", 0,-'Part III A-Sources of Funds'!$M$37)</f>
        <v>-27360</v>
      </c>
      <c r="F29" s="1591">
        <f>IF('Part III A-Sources of Funds'!$M$37="", 0,-'Part III A-Sources of Funds'!$M$37)</f>
        <v>-27360</v>
      </c>
      <c r="G29" s="1591">
        <f>IF('Part III A-Sources of Funds'!$M$37="", 0,-'Part III A-Sources of Funds'!$M$37)</f>
        <v>-27360</v>
      </c>
      <c r="H29" s="1591">
        <f>IF('Part III A-Sources of Funds'!$M$37="", 0,-'Part III A-Sources of Funds'!$M$37)</f>
        <v>-27360</v>
      </c>
      <c r="I29" s="1591">
        <f>IF('Part III A-Sources of Funds'!$M$37="", 0,-'Part III A-Sources of Funds'!$M$37)</f>
        <v>-27360</v>
      </c>
      <c r="J29" s="1591">
        <f>IF('Part III A-Sources of Funds'!$M$37="", 0,-'Part III A-Sources of Funds'!$M$37)</f>
        <v>-27360</v>
      </c>
      <c r="K29" s="1591">
        <f>IF('Part III A-Sources of Funds'!$M$37="", 0,-'Part III A-Sources of Funds'!$M$37)</f>
        <v>-27360</v>
      </c>
      <c r="M29" s="1482"/>
      <c r="N29" s="1483"/>
    </row>
    <row r="30" spans="1:14" ht="13.15" customHeight="1">
      <c r="A30" s="24" t="s">
        <v>1687</v>
      </c>
      <c r="B30" s="25">
        <f t="shared" ref="B30:K30" si="8">SUM(B22:B29)</f>
        <v>16100.947793343774</v>
      </c>
      <c r="C30" s="25">
        <f t="shared" si="8"/>
        <v>17442.537313343928</v>
      </c>
      <c r="D30" s="25">
        <f t="shared" si="8"/>
        <v>18677.208623743863</v>
      </c>
      <c r="E30" s="25">
        <f t="shared" si="8"/>
        <v>19798.094060351905</v>
      </c>
      <c r="F30" s="25">
        <f t="shared" si="8"/>
        <v>20799.087726692022</v>
      </c>
      <c r="G30" s="25">
        <f t="shared" si="8"/>
        <v>21672.837102989062</v>
      </c>
      <c r="H30" s="25">
        <f t="shared" si="8"/>
        <v>22413.734378540859</v>
      </c>
      <c r="I30" s="25">
        <f t="shared" si="8"/>
        <v>23012.907498684224</v>
      </c>
      <c r="J30" s="25">
        <f t="shared" si="8"/>
        <v>23464.210917284101</v>
      </c>
      <c r="K30" s="26">
        <f t="shared" si="8"/>
        <v>23759.216045390363</v>
      </c>
      <c r="M30" s="1482"/>
      <c r="N30" s="1483"/>
    </row>
    <row r="31" spans="1:14" ht="13.15" customHeight="1">
      <c r="A31" s="24" t="str">
        <f>IF('Part III A-Sources of Funds'!$E$32 = "Neither", "", "DCR Mortgage A")</f>
        <v>DCR Mortgage A</v>
      </c>
      <c r="B31" s="27">
        <f>IF(B23=0,"",-B22/B23)</f>
        <v>1.2038887725580503</v>
      </c>
      <c r="C31" s="27">
        <f t="shared" ref="C31:K31" si="9">IF(C23=0,"",-C22/C23)</f>
        <v>1.2101580103861296</v>
      </c>
      <c r="D31" s="27">
        <f t="shared" si="9"/>
        <v>1.2160206977202233</v>
      </c>
      <c r="E31" s="27">
        <f t="shared" si="9"/>
        <v>1.2214498492438848</v>
      </c>
      <c r="F31" s="27">
        <f t="shared" si="9"/>
        <v>1.2264215804927274</v>
      </c>
      <c r="G31" s="27">
        <f t="shared" si="9"/>
        <v>1.2309069935855628</v>
      </c>
      <c r="H31" s="27">
        <f t="shared" si="9"/>
        <v>1.2348842644885973</v>
      </c>
      <c r="I31" s="27">
        <f t="shared" si="9"/>
        <v>1.2383184049395155</v>
      </c>
      <c r="J31" s="27">
        <f t="shared" si="9"/>
        <v>1.2411854689898152</v>
      </c>
      <c r="K31" s="28">
        <f t="shared" si="9"/>
        <v>1.2434523125558123</v>
      </c>
      <c r="M31" s="1482"/>
      <c r="N31" s="148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2"/>
      <c r="N32" s="148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2"/>
      <c r="N33" s="148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2"/>
      <c r="N34" s="1483"/>
    </row>
    <row r="35" spans="1:14" ht="13.15" customHeight="1">
      <c r="A35" s="24" t="s">
        <v>1250</v>
      </c>
      <c r="B35" s="378">
        <f>IF(OR(B20="Choose mgt fee",B20="Choose One!"),"",(B14+B15+B16+B17+B18) / -(B19+B20+B21))</f>
        <v>1.6212852102690709</v>
      </c>
      <c r="C35" s="378">
        <f t="shared" ref="C35:K35" si="13">IF(OR(C20="Choose mgt fee",C20="Choose One!"),"",(C14+C15+C16+C17+C18) / -(C19+C20+C21))</f>
        <v>1.6068076088132504</v>
      </c>
      <c r="D35" s="378">
        <f t="shared" si="13"/>
        <v>1.5924499022352265</v>
      </c>
      <c r="E35" s="378">
        <f t="shared" si="13"/>
        <v>1.5782090492289682</v>
      </c>
      <c r="F35" s="378">
        <f t="shared" si="13"/>
        <v>1.5640852574896176</v>
      </c>
      <c r="G35" s="378">
        <f t="shared" si="13"/>
        <v>1.5500758147109233</v>
      </c>
      <c r="H35" s="378">
        <f t="shared" si="13"/>
        <v>1.5361837029016396</v>
      </c>
      <c r="I35" s="378">
        <f t="shared" si="13"/>
        <v>1.5224035940211305</v>
      </c>
      <c r="J35" s="378">
        <f t="shared" si="13"/>
        <v>1.508738334152858</v>
      </c>
      <c r="K35" s="379">
        <f t="shared" si="13"/>
        <v>1.4951854592341836</v>
      </c>
      <c r="M35" s="1482"/>
      <c r="N35" s="1483"/>
    </row>
    <row r="36" spans="1:14" ht="13.15" customHeight="1">
      <c r="A36" s="678" t="s">
        <v>3666</v>
      </c>
      <c r="B36" s="1592">
        <f>IF('Part III A-Sources of Funds'!$H$32="","",-FV('Part III A-Sources of Funds'!$J$32/12,12,B23/12,'Part III A-Sources of Funds'!$H$32))</f>
        <v>3068509.8952918542</v>
      </c>
      <c r="C36" s="1592">
        <f>IF('Part III A-Sources of Funds'!$H$32="","",-FV('Part III A-Sources of Funds'!$J$32/12,12,C23/12,B36))</f>
        <v>3034743.3683681851</v>
      </c>
      <c r="D36" s="1592">
        <f>IF('Part III A-Sources of Funds'!$H$32="","",-FV('Part III A-Sources of Funds'!$J$32/12,12,D23/12,C36))</f>
        <v>2998535.8564829696</v>
      </c>
      <c r="E36" s="1592">
        <f>IF('Part III A-Sources of Funds'!$H$32="","",-FV('Part III A-Sources of Funds'!$J$32/12,12,E23/12,D36))</f>
        <v>2959710.9006359689</v>
      </c>
      <c r="F36" s="1592">
        <f>IF('Part III A-Sources of Funds'!$H$32="","",-FV('Part III A-Sources of Funds'!$J$32/12,12,F23/12,E36))</f>
        <v>2918079.2855915488</v>
      </c>
      <c r="G36" s="1592">
        <f>IF('Part III A-Sources of Funds'!$H$32="","",-FV('Part III A-Sources of Funds'!$J$32/12,12,G23/12,F36))</f>
        <v>2873438.1177293914</v>
      </c>
      <c r="H36" s="1592">
        <f>IF('Part III A-Sources of Funds'!$H$32="","",-FV('Part III A-Sources of Funds'!$J$32/12,12,H23/12,G36))</f>
        <v>2825569.8362329621</v>
      </c>
      <c r="I36" s="1592">
        <f>IF('Part III A-Sources of Funds'!$H$32="","",-FV('Part III A-Sources of Funds'!$J$32/12,12,I23/12,H36))</f>
        <v>2774241.1527967071</v>
      </c>
      <c r="J36" s="1592">
        <f>IF('Part III A-Sources of Funds'!$H$32="","",-FV('Part III A-Sources of Funds'!$J$32/12,12,J23/12,I36))</f>
        <v>2719201.9146846011</v>
      </c>
      <c r="K36" s="1592">
        <f>IF('Part III A-Sources of Funds'!$H$32="","",-FV('Part III A-Sources of Funds'!$J$32/12,12,K23/12,J36))</f>
        <v>2660183.8855991052</v>
      </c>
      <c r="M36" s="1482"/>
      <c r="N36" s="1483"/>
    </row>
    <row r="37" spans="1:14" ht="13.15" customHeight="1">
      <c r="A37" s="678" t="s">
        <v>3667</v>
      </c>
      <c r="B37" s="1588" t="str">
        <f>IF('Part III A-Sources of Funds'!$H$33="","",-FV('Part III A-Sources of Funds'!$J$33/12,12,B24/12,'Part III A-Sources of Funds'!$H$33))</f>
        <v/>
      </c>
      <c r="C37" s="1588" t="str">
        <f>IF('Part III A-Sources of Funds'!$H$33="","",-FV('Part III A-Sources of Funds'!$J$33/12,12,C24/12,B37))</f>
        <v/>
      </c>
      <c r="D37" s="1588" t="str">
        <f>IF('Part III A-Sources of Funds'!$H$33="","",-FV('Part III A-Sources of Funds'!$J$33/12,12,D24/12,C37))</f>
        <v/>
      </c>
      <c r="E37" s="1588" t="str">
        <f>IF('Part III A-Sources of Funds'!$H$33="","",-FV('Part III A-Sources of Funds'!$J$33/12,12,E24/12,D37))</f>
        <v/>
      </c>
      <c r="F37" s="1588" t="str">
        <f>IF('Part III A-Sources of Funds'!$H$33="","",-FV('Part III A-Sources of Funds'!$J$33/12,12,F24/12,E37))</f>
        <v/>
      </c>
      <c r="G37" s="1588" t="str">
        <f>IF('Part III A-Sources of Funds'!$H$33="","",-FV('Part III A-Sources of Funds'!$J$33/12,12,G24/12,F37))</f>
        <v/>
      </c>
      <c r="H37" s="1588" t="str">
        <f>IF('Part III A-Sources of Funds'!$H$33="","",-FV('Part III A-Sources of Funds'!$J$33/12,12,H24/12,G37))</f>
        <v/>
      </c>
      <c r="I37" s="1588" t="str">
        <f>IF('Part III A-Sources of Funds'!$H$33="","",-FV('Part III A-Sources of Funds'!$J$33/12,12,I24/12,H37))</f>
        <v/>
      </c>
      <c r="J37" s="1588" t="str">
        <f>IF('Part III A-Sources of Funds'!$H$33="","",-FV('Part III A-Sources of Funds'!$J$33/12,12,J24/12,I37))</f>
        <v/>
      </c>
      <c r="K37" s="1588" t="str">
        <f>IF('Part III A-Sources of Funds'!$H$33="","",-FV('Part III A-Sources of Funds'!$J$33/12,12,K24/12,J37))</f>
        <v/>
      </c>
      <c r="M37" s="1482"/>
      <c r="N37" s="1483"/>
    </row>
    <row r="38" spans="1:14" ht="13.15" customHeight="1">
      <c r="A38" s="678" t="s">
        <v>3668</v>
      </c>
      <c r="B38" s="1588" t="str">
        <f>IF('Part III A-Sources of Funds'!$H$34="","",-FV('Part III A-Sources of Funds'!$J$34/12,12,B25/12,'Part III A-Sources of Funds'!$H$34))</f>
        <v/>
      </c>
      <c r="C38" s="1588" t="str">
        <f>IF('Part III A-Sources of Funds'!$H$34="","",-FV('Part III A-Sources of Funds'!$J$34/12,12,C25/12,B38))</f>
        <v/>
      </c>
      <c r="D38" s="1588" t="str">
        <f>IF('Part III A-Sources of Funds'!$H$34="","",-FV('Part III A-Sources of Funds'!$J$34/12,12,D25/12,C38))</f>
        <v/>
      </c>
      <c r="E38" s="1588" t="str">
        <f>IF('Part III A-Sources of Funds'!$H$34="","",-FV('Part III A-Sources of Funds'!$J$34/12,12,E25/12,D38))</f>
        <v/>
      </c>
      <c r="F38" s="1588" t="str">
        <f>IF('Part III A-Sources of Funds'!$H$34="","",-FV('Part III A-Sources of Funds'!$J$34/12,12,F25/12,E38))</f>
        <v/>
      </c>
      <c r="G38" s="1588" t="str">
        <f>IF('Part III A-Sources of Funds'!$H$34="","",-FV('Part III A-Sources of Funds'!$J$34/12,12,G25/12,F38))</f>
        <v/>
      </c>
      <c r="H38" s="1588" t="str">
        <f>IF('Part III A-Sources of Funds'!$H$34="","",-FV('Part III A-Sources of Funds'!$J$34/12,12,H25/12,G38))</f>
        <v/>
      </c>
      <c r="I38" s="1588" t="str">
        <f>IF('Part III A-Sources of Funds'!$H$34="","",-FV('Part III A-Sources of Funds'!$J$34/12,12,I25/12,H38))</f>
        <v/>
      </c>
      <c r="J38" s="1588" t="str">
        <f>IF('Part III A-Sources of Funds'!$H$34="","",-FV('Part III A-Sources of Funds'!$J$34/12,12,J25/12,I38))</f>
        <v/>
      </c>
      <c r="K38" s="1588" t="str">
        <f>IF('Part III A-Sources of Funds'!$H$34="","",-FV('Part III A-Sources of Funds'!$J$34/12,12,K25/12,J38))</f>
        <v/>
      </c>
      <c r="M38" s="1482"/>
      <c r="N38" s="1483"/>
    </row>
    <row r="39" spans="1:14" ht="13.15" customHeight="1">
      <c r="A39" s="24" t="s">
        <v>1268</v>
      </c>
      <c r="B39" s="1588" t="str">
        <f>IF('Part III A-Sources of Funds'!$H$35="","",-FV('Part III A-Sources of Funds'!$J$35/12,12,B24/12,'Part III A-Sources of Funds'!$H$35))</f>
        <v/>
      </c>
      <c r="C39" s="1588" t="str">
        <f>IF('Part III A-Sources of Funds'!$H$35="","",-FV('Part III A-Sources of Funds'!$J$35/12,12,C26/12,B39))</f>
        <v/>
      </c>
      <c r="D39" s="1588" t="str">
        <f>IF('Part III A-Sources of Funds'!$H$35="","",-FV('Part III A-Sources of Funds'!$J$35/12,12,D26/12,C39))</f>
        <v/>
      </c>
      <c r="E39" s="1588" t="str">
        <f>IF('Part III A-Sources of Funds'!$H$35="","",-FV('Part III A-Sources of Funds'!$J$35/12,12,E26/12,D39))</f>
        <v/>
      </c>
      <c r="F39" s="1588" t="str">
        <f>IF('Part III A-Sources of Funds'!$H$35="","",-FV('Part III A-Sources of Funds'!$J$35/12,12,F26/12,E39))</f>
        <v/>
      </c>
      <c r="G39" s="1588" t="str">
        <f>IF('Part III A-Sources of Funds'!$H$35="","",-FV('Part III A-Sources of Funds'!$J$35/12,12,G26/12,F39))</f>
        <v/>
      </c>
      <c r="H39" s="1588" t="str">
        <f>IF('Part III A-Sources of Funds'!$H$35="","",-FV('Part III A-Sources of Funds'!$J$35/12,12,H26/12,G39))</f>
        <v/>
      </c>
      <c r="I39" s="1588" t="str">
        <f>IF('Part III A-Sources of Funds'!$H$35="","",-FV('Part III A-Sources of Funds'!$J$35/12,12,I26/12,H39))</f>
        <v/>
      </c>
      <c r="J39" s="1588" t="str">
        <f>IF('Part III A-Sources of Funds'!$H$35="","",-FV('Part III A-Sources of Funds'!$J$35/12,12,J26/12,I39))</f>
        <v/>
      </c>
      <c r="K39" s="1588" t="str">
        <f>IF('Part III A-Sources of Funds'!$H$35="","",-FV('Part III A-Sources of Funds'!$J$35/12,12,K26/12,J39))</f>
        <v/>
      </c>
      <c r="M39" s="1482"/>
      <c r="N39" s="1483"/>
    </row>
    <row r="40" spans="1:14" ht="13.15" customHeight="1">
      <c r="A40" s="678" t="s">
        <v>3669</v>
      </c>
      <c r="B40" s="1588">
        <f>'Part III A-Sources of Funds'!$H$36</f>
        <v>0</v>
      </c>
      <c r="C40" s="1588">
        <f>B40</f>
        <v>0</v>
      </c>
      <c r="D40" s="1588">
        <f t="shared" ref="D40:K40" si="14">C40</f>
        <v>0</v>
      </c>
      <c r="E40" s="1588">
        <f t="shared" si="14"/>
        <v>0</v>
      </c>
      <c r="F40" s="1588">
        <f t="shared" si="14"/>
        <v>0</v>
      </c>
      <c r="G40" s="1588">
        <f t="shared" si="14"/>
        <v>0</v>
      </c>
      <c r="H40" s="1588">
        <f t="shared" si="14"/>
        <v>0</v>
      </c>
      <c r="I40" s="1588">
        <f t="shared" si="14"/>
        <v>0</v>
      </c>
      <c r="J40" s="1588">
        <f t="shared" si="14"/>
        <v>0</v>
      </c>
      <c r="K40" s="1588">
        <f t="shared" si="14"/>
        <v>0</v>
      </c>
      <c r="M40" s="1482"/>
      <c r="N40" s="1483"/>
    </row>
    <row r="41" spans="1:14" ht="13.15" customHeight="1">
      <c r="A41" s="29" t="s">
        <v>1776</v>
      </c>
      <c r="B41" s="1591">
        <f>IF('Part III A-Sources of Funds'!$H$37="","",-FV('Part III A-Sources of Funds'!$J$37/12,12,B29/12,'Part III A-Sources of Funds'!$H$37))</f>
        <v>328320</v>
      </c>
      <c r="C41" s="1591">
        <f>IF('Part III A-Sources of Funds'!$H$37="","",-FV('Part III A-Sources of Funds'!$J$37/12,12,C29/12,B41))</f>
        <v>300960</v>
      </c>
      <c r="D41" s="1591">
        <f>IF('Part III A-Sources of Funds'!$H$37="","",-FV('Part III A-Sources of Funds'!$J$37/12,12,D29/12,C41))</f>
        <v>273600</v>
      </c>
      <c r="E41" s="1591">
        <f>IF('Part III A-Sources of Funds'!$H$37="","",-FV('Part III A-Sources of Funds'!$J$37/12,12,E29/12,D41))</f>
        <v>246240</v>
      </c>
      <c r="F41" s="1591">
        <f>IF('Part III A-Sources of Funds'!$H$37="","",-FV('Part III A-Sources of Funds'!$J$37/12,12,F29/12,E41))</f>
        <v>218880</v>
      </c>
      <c r="G41" s="1591">
        <f>IF('Part III A-Sources of Funds'!$H$37="","",-FV('Part III A-Sources of Funds'!$J$37/12,12,G29/12,F41))</f>
        <v>191520</v>
      </c>
      <c r="H41" s="1591">
        <f>IF('Part III A-Sources of Funds'!$H$37="","",-FV('Part III A-Sources of Funds'!$J$37/12,12,H29/12,G41))</f>
        <v>164160</v>
      </c>
      <c r="I41" s="1591">
        <f>IF('Part III A-Sources of Funds'!$H$37="","",-FV('Part III A-Sources of Funds'!$J$37/12,12,I29/12,H41))</f>
        <v>136800</v>
      </c>
      <c r="J41" s="1591">
        <f>IF('Part III A-Sources of Funds'!$H$37="","",-FV('Part III A-Sources of Funds'!$J$37/12,12,J29/12,I41))</f>
        <v>109440</v>
      </c>
      <c r="K41" s="1591">
        <f>IF('Part III A-Sources of Funds'!$H$37="","",-FV('Part III A-Sources of Funds'!$J$37/12,12,K29/12,J41))</f>
        <v>82080</v>
      </c>
      <c r="M41" s="1485"/>
      <c r="N41" s="1486"/>
    </row>
    <row r="42" spans="1:14" ht="4.1500000000000004" customHeight="1">
      <c r="B42" s="20"/>
      <c r="C42" s="20"/>
      <c r="D42" s="20"/>
      <c r="E42" s="20"/>
      <c r="F42" s="20"/>
      <c r="G42" s="20"/>
      <c r="H42" s="20"/>
      <c r="I42" s="20"/>
      <c r="J42" s="20"/>
      <c r="K42" s="20"/>
    </row>
    <row r="43" spans="1:14" ht="14.6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3672</v>
      </c>
      <c r="N43" s="976"/>
    </row>
    <row r="44" spans="1:14" ht="13.15" customHeight="1">
      <c r="A44" s="21" t="s">
        <v>3384</v>
      </c>
      <c r="B44" s="22">
        <f t="shared" ref="B44:K44" si="16">$B$14*(1+$B$5)^(B43-1)</f>
        <v>999160.96629290259</v>
      </c>
      <c r="C44" s="22">
        <f t="shared" si="16"/>
        <v>1019144.1856187605</v>
      </c>
      <c r="D44" s="22">
        <f t="shared" si="16"/>
        <v>1039527.0693311358</v>
      </c>
      <c r="E44" s="22">
        <f t="shared" si="16"/>
        <v>1060317.6107177585</v>
      </c>
      <c r="F44" s="22">
        <f t="shared" si="16"/>
        <v>1081523.9629321138</v>
      </c>
      <c r="G44" s="22">
        <f t="shared" si="16"/>
        <v>1103154.4421907559</v>
      </c>
      <c r="H44" s="22">
        <f t="shared" si="16"/>
        <v>1125217.5310345711</v>
      </c>
      <c r="I44" s="22">
        <f t="shared" si="16"/>
        <v>1147721.8816552626</v>
      </c>
      <c r="J44" s="22">
        <f t="shared" si="16"/>
        <v>1170676.3192883676</v>
      </c>
      <c r="K44" s="23">
        <f t="shared" si="16"/>
        <v>1194089.845674135</v>
      </c>
      <c r="M44" s="1480"/>
      <c r="N44" s="1481"/>
    </row>
    <row r="45" spans="1:14" ht="13.15" customHeight="1">
      <c r="A45" s="24" t="s">
        <v>1519</v>
      </c>
      <c r="B45" s="25">
        <f t="shared" ref="B45:K45" si="17">$B$15*(1+$B$5)^(B43-1)</f>
        <v>19983.219325858052</v>
      </c>
      <c r="C45" s="25">
        <f t="shared" si="17"/>
        <v>20382.883712375209</v>
      </c>
      <c r="D45" s="25">
        <f t="shared" si="17"/>
        <v>20790.541386622717</v>
      </c>
      <c r="E45" s="25">
        <f t="shared" si="17"/>
        <v>21206.352214355171</v>
      </c>
      <c r="F45" s="25">
        <f t="shared" si="17"/>
        <v>21630.479258642277</v>
      </c>
      <c r="G45" s="25">
        <f t="shared" si="17"/>
        <v>22063.088843815116</v>
      </c>
      <c r="H45" s="25">
        <f t="shared" si="17"/>
        <v>22504.350620691421</v>
      </c>
      <c r="I45" s="25">
        <f t="shared" si="17"/>
        <v>22954.437633105252</v>
      </c>
      <c r="J45" s="25">
        <f t="shared" si="17"/>
        <v>23413.526385767356</v>
      </c>
      <c r="K45" s="26">
        <f t="shared" si="17"/>
        <v>23881.7969134827</v>
      </c>
      <c r="M45" s="1482"/>
      <c r="N45" s="1483"/>
    </row>
    <row r="46" spans="1:14" ht="13.15" customHeight="1">
      <c r="A46" s="24" t="s">
        <v>3385</v>
      </c>
      <c r="B46" s="25">
        <f t="shared" ref="B46:K46" si="18">-(B44+B45)*$B$8</f>
        <v>-71340.092993313257</v>
      </c>
      <c r="C46" s="25">
        <f t="shared" si="18"/>
        <v>-72766.894853179503</v>
      </c>
      <c r="D46" s="25">
        <f t="shared" si="18"/>
        <v>-74222.2327502431</v>
      </c>
      <c r="E46" s="25">
        <f t="shared" si="18"/>
        <v>-75706.677405247974</v>
      </c>
      <c r="F46" s="25">
        <f t="shared" si="18"/>
        <v>-77220.810953352935</v>
      </c>
      <c r="G46" s="25">
        <f t="shared" si="18"/>
        <v>-78765.227172419967</v>
      </c>
      <c r="H46" s="25">
        <f t="shared" si="18"/>
        <v>-80340.53171586839</v>
      </c>
      <c r="I46" s="25">
        <f t="shared" si="18"/>
        <v>-81947.342350185761</v>
      </c>
      <c r="J46" s="25">
        <f t="shared" si="18"/>
        <v>-83586.289197189457</v>
      </c>
      <c r="K46" s="26">
        <f t="shared" si="18"/>
        <v>-85258.014981133252</v>
      </c>
      <c r="M46" s="1482"/>
      <c r="N46" s="148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82"/>
      <c r="N47" s="148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82"/>
      <c r="N48" s="1483"/>
    </row>
    <row r="49" spans="1:14" ht="13.15" customHeight="1">
      <c r="A49" s="24" t="s">
        <v>871</v>
      </c>
      <c r="B49" s="25">
        <f t="shared" ref="B49:K49" si="19">$B$19*(1+$B$6)^(B43-1)</f>
        <v>-556986.14341917122</v>
      </c>
      <c r="C49" s="25">
        <f t="shared" si="19"/>
        <v>-573695.72772174643</v>
      </c>
      <c r="D49" s="25">
        <f t="shared" si="19"/>
        <v>-590906.59955339879</v>
      </c>
      <c r="E49" s="25">
        <f t="shared" si="19"/>
        <v>-608633.79754000064</v>
      </c>
      <c r="F49" s="25">
        <f t="shared" si="19"/>
        <v>-626892.81146620074</v>
      </c>
      <c r="G49" s="25">
        <f t="shared" si="19"/>
        <v>-645699.59581018682</v>
      </c>
      <c r="H49" s="25">
        <f t="shared" si="19"/>
        <v>-665070.58368449227</v>
      </c>
      <c r="I49" s="25">
        <f t="shared" si="19"/>
        <v>-685022.7011950271</v>
      </c>
      <c r="J49" s="25">
        <f t="shared" si="19"/>
        <v>-705573.38223087788</v>
      </c>
      <c r="K49" s="26">
        <f t="shared" si="19"/>
        <v>-726740.58369780425</v>
      </c>
      <c r="M49" s="1482"/>
      <c r="N49" s="148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-47390</v>
      </c>
      <c r="C50" s="25">
        <f>IF(AND('Part VII-Pro Forma'!$G$8="Yes",'Part VII-Pro Forma'!$G$9="Yes"),"Choose One!",IF('Part VII-Pro Forma'!$G$8="Yes",ROUND((-$K$8*(1+'Part VII-Pro Forma'!$B$6)^('Part VII-Pro Forma'!C43-1)),),IF('Part VII-Pro Forma'!$G$9="Yes",ROUND((-(SUM(C44:C47)*'Part VII-Pro Forma'!$K$9)),),"Choose mgt fee")))</f>
        <v>-48338</v>
      </c>
      <c r="D50" s="25">
        <f>IF(AND('Part VII-Pro Forma'!$G$8="Yes",'Part VII-Pro Forma'!$G$9="Yes"),"Choose One!",IF('Part VII-Pro Forma'!$G$8="Yes",ROUND((-$K$8*(1+'Part VII-Pro Forma'!$B$6)^('Part VII-Pro Forma'!D43-1)),),IF('Part VII-Pro Forma'!$G$9="Yes",ROUND((-(SUM(D44:D47)*'Part VII-Pro Forma'!$K$9)),),"Choose mgt fee")))</f>
        <v>-49305</v>
      </c>
      <c r="E50" s="25">
        <f>IF(AND('Part VII-Pro Forma'!$G$8="Yes",'Part VII-Pro Forma'!$G$9="Yes"),"Choose One!",IF('Part VII-Pro Forma'!$G$8="Yes",ROUND((-$K$8*(1+'Part VII-Pro Forma'!$B$6)^('Part VII-Pro Forma'!E43-1)),),IF('Part VII-Pro Forma'!$G$9="Yes",ROUND((-(SUM(E44:E47)*'Part VII-Pro Forma'!$K$9)),),"Choose mgt fee")))</f>
        <v>-50291</v>
      </c>
      <c r="F50" s="25">
        <f>IF(AND('Part VII-Pro Forma'!$G$8="Yes",'Part VII-Pro Forma'!$G$9="Yes"),"Choose One!",IF('Part VII-Pro Forma'!$G$8="Yes",ROUND((-$K$8*(1+'Part VII-Pro Forma'!$B$6)^('Part VII-Pro Forma'!F43-1)),),IF('Part VII-Pro Forma'!$G$9="Yes",ROUND((-(SUM(F44:F47)*'Part VII-Pro Forma'!$K$9)),),"Choose mgt fee")))</f>
        <v>-51297</v>
      </c>
      <c r="G50" s="25">
        <f>IF(AND('Part VII-Pro Forma'!$G$8="Yes",'Part VII-Pro Forma'!$G$9="Yes"),"Choose One!",IF('Part VII-Pro Forma'!$G$8="Yes",ROUND((-$K$8*(1+'Part VII-Pro Forma'!$B$6)^('Part VII-Pro Forma'!G43-1)),),IF('Part VII-Pro Forma'!$G$9="Yes",ROUND((-(SUM(G44:G47)*'Part VII-Pro Forma'!$K$9)),),"Choose mgt fee")))</f>
        <v>-52323</v>
      </c>
      <c r="H50" s="25">
        <f>IF(AND('Part VII-Pro Forma'!$G$8="Yes",'Part VII-Pro Forma'!$G$9="Yes"),"Choose One!",IF('Part VII-Pro Forma'!$G$8="Yes",ROUND((-$K$8*(1+'Part VII-Pro Forma'!$B$6)^('Part VII-Pro Forma'!H43-1)),),IF('Part VII-Pro Forma'!$G$9="Yes",ROUND((-(SUM(H44:H47)*'Part VII-Pro Forma'!$K$9)),),"Choose mgt fee")))</f>
        <v>-53369</v>
      </c>
      <c r="I50" s="25">
        <f>IF(AND('Part VII-Pro Forma'!$G$8="Yes",'Part VII-Pro Forma'!$G$9="Yes"),"Choose One!",IF('Part VII-Pro Forma'!$G$8="Yes",ROUND((-$K$8*(1+'Part VII-Pro Forma'!$B$6)^('Part VII-Pro Forma'!I43-1)),),IF('Part VII-Pro Forma'!$G$9="Yes",ROUND((-(SUM(I44:I47)*'Part VII-Pro Forma'!$K$9)),),"Choose mgt fee")))</f>
        <v>-54436</v>
      </c>
      <c r="J50" s="25">
        <f>IF(AND('Part VII-Pro Forma'!$G$8="Yes",'Part VII-Pro Forma'!$G$9="Yes"),"Choose One!",IF('Part VII-Pro Forma'!$G$8="Yes",ROUND((-$K$8*(1+'Part VII-Pro Forma'!$B$6)^('Part VII-Pro Forma'!J43-1)),),IF('Part VII-Pro Forma'!$G$9="Yes",ROUND((-(SUM(J44:J47)*'Part VII-Pro Forma'!$K$9)),),"Choose mgt fee")))</f>
        <v>-55525</v>
      </c>
      <c r="K50" s="25">
        <f>IF(AND('Part VII-Pro Forma'!$G$8="Yes",'Part VII-Pro Forma'!$G$9="Yes"),"Choose One!",IF('Part VII-Pro Forma'!$G$8="Yes",ROUND((-$K$8*(1+'Part VII-Pro Forma'!$B$6)^('Part VII-Pro Forma'!K43-1)),),IF('Part VII-Pro Forma'!$G$9="Yes",ROUND((-(SUM(K44:K47)*'Part VII-Pro Forma'!$K$9)),),"Choose mgt fee")))</f>
        <v>-56636</v>
      </c>
      <c r="M50" s="1482"/>
      <c r="N50" s="1483"/>
    </row>
    <row r="51" spans="1:14" ht="13.15" customHeight="1">
      <c r="A51" s="24" t="s">
        <v>1739</v>
      </c>
      <c r="B51" s="25">
        <f t="shared" ref="B51:K51" si="20">$B$21*(1+$B$7)^(B43-1)</f>
        <v>-35277.804957783199</v>
      </c>
      <c r="C51" s="25">
        <f t="shared" si="20"/>
        <v>-36336.139106516697</v>
      </c>
      <c r="D51" s="25">
        <f t="shared" si="20"/>
        <v>-37426.223279712191</v>
      </c>
      <c r="E51" s="25">
        <f t="shared" si="20"/>
        <v>-38549.009978103553</v>
      </c>
      <c r="F51" s="25">
        <f t="shared" si="20"/>
        <v>-39705.480277446666</v>
      </c>
      <c r="G51" s="25">
        <f t="shared" si="20"/>
        <v>-40896.644685770065</v>
      </c>
      <c r="H51" s="25">
        <f t="shared" si="20"/>
        <v>-42123.544026343159</v>
      </c>
      <c r="I51" s="25">
        <f t="shared" si="20"/>
        <v>-43387.250347133457</v>
      </c>
      <c r="J51" s="25">
        <f t="shared" si="20"/>
        <v>-44688.867857547462</v>
      </c>
      <c r="K51" s="26">
        <f t="shared" si="20"/>
        <v>-46029.533893273881</v>
      </c>
      <c r="M51" s="1482"/>
      <c r="N51" s="1483"/>
    </row>
    <row r="52" spans="1:14" ht="13.15" customHeight="1">
      <c r="A52" s="24" t="s">
        <v>1740</v>
      </c>
      <c r="B52" s="25">
        <f t="shared" ref="B52:K52" si="21">SUM(B44:B51)</f>
        <v>308150.14424849302</v>
      </c>
      <c r="C52" s="25">
        <f t="shared" si="21"/>
        <v>308390.3076496931</v>
      </c>
      <c r="D52" s="25">
        <f t="shared" si="21"/>
        <v>308457.55513440451</v>
      </c>
      <c r="E52" s="25">
        <f t="shared" si="21"/>
        <v>308343.47800876165</v>
      </c>
      <c r="F52" s="25">
        <f t="shared" si="21"/>
        <v>308038.33949375572</v>
      </c>
      <c r="G52" s="25">
        <f t="shared" si="21"/>
        <v>307533.06336619402</v>
      </c>
      <c r="H52" s="25">
        <f t="shared" si="21"/>
        <v>306818.22222855885</v>
      </c>
      <c r="I52" s="25">
        <f t="shared" si="21"/>
        <v>305883.02539602149</v>
      </c>
      <c r="J52" s="25">
        <f t="shared" si="21"/>
        <v>304716.30638852017</v>
      </c>
      <c r="K52" s="26">
        <f t="shared" si="21"/>
        <v>303307.51001540641</v>
      </c>
      <c r="M52" s="1482"/>
      <c r="N52" s="1483"/>
    </row>
    <row r="53" spans="1:14" ht="13.15" customHeight="1">
      <c r="A53" s="24" t="str">
        <f>$A23</f>
        <v>Mortgage A</v>
      </c>
      <c r="B53" s="1587">
        <f>IF('Part III A-Sources of Funds'!$M$32="", 0,-'Part III A-Sources of Funds'!$M$32)</f>
        <v>-247492.52820665613</v>
      </c>
      <c r="C53" s="1587">
        <f>IF('Part III A-Sources of Funds'!$M$32="", 0,-'Part III A-Sources of Funds'!$M$32)</f>
        <v>-247492.52820665613</v>
      </c>
      <c r="D53" s="1587">
        <f>IF('Part III A-Sources of Funds'!$M$32="", 0,-'Part III A-Sources of Funds'!$M$32)</f>
        <v>-247492.52820665613</v>
      </c>
      <c r="E53" s="1587">
        <f>IF('Part III A-Sources of Funds'!$M$32="", 0,-'Part III A-Sources of Funds'!$M$32)</f>
        <v>-247492.52820665613</v>
      </c>
      <c r="F53" s="1587">
        <f>IF('Part III A-Sources of Funds'!$M$32="", 0,-'Part III A-Sources of Funds'!$M$32)</f>
        <v>-247492.52820665613</v>
      </c>
      <c r="G53" s="1587">
        <f>IF('Part III A-Sources of Funds'!$M$32="", 0,-'Part III A-Sources of Funds'!$M$32)</f>
        <v>-247492.52820665613</v>
      </c>
      <c r="H53" s="1587">
        <f>IF('Part III A-Sources of Funds'!$M$32="", 0,-'Part III A-Sources of Funds'!$M$32)</f>
        <v>-247492.52820665613</v>
      </c>
      <c r="I53" s="1587">
        <f>IF('Part III A-Sources of Funds'!$M$32="", 0,-'Part III A-Sources of Funds'!$M$32)</f>
        <v>-247492.52820665613</v>
      </c>
      <c r="J53" s="1587">
        <f>IF('Part III A-Sources of Funds'!$M$32="", 0,-'Part III A-Sources of Funds'!$M$32)</f>
        <v>-247492.52820665613</v>
      </c>
      <c r="K53" s="1587">
        <f>IF('Part III A-Sources of Funds'!$M$32="", 0,-'Part III A-Sources of Funds'!$M$32)</f>
        <v>-247492.52820665613</v>
      </c>
      <c r="M53" s="1482"/>
      <c r="N53" s="1483"/>
    </row>
    <row r="54" spans="1:14" ht="13.15" customHeight="1">
      <c r="A54" s="24" t="str">
        <f>$A24</f>
        <v>Mortgage B</v>
      </c>
      <c r="B54" s="1588">
        <f>IF('Part III A-Sources of Funds'!$M$33="", 0,-'Part III A-Sources of Funds'!$M$33)</f>
        <v>0</v>
      </c>
      <c r="C54" s="1588">
        <f>IF('Part III A-Sources of Funds'!$M$33="", 0,-'Part III A-Sources of Funds'!$M$33)</f>
        <v>0</v>
      </c>
      <c r="D54" s="1588">
        <f>IF('Part III A-Sources of Funds'!$M$33="", 0,-'Part III A-Sources of Funds'!$M$33)</f>
        <v>0</v>
      </c>
      <c r="E54" s="1588">
        <f>IF('Part III A-Sources of Funds'!$M$33="", 0,-'Part III A-Sources of Funds'!$M$33)</f>
        <v>0</v>
      </c>
      <c r="F54" s="1588">
        <f>IF('Part III A-Sources of Funds'!$M$33="", 0,-'Part III A-Sources of Funds'!$M$33)</f>
        <v>0</v>
      </c>
      <c r="G54" s="1588">
        <f>IF('Part III A-Sources of Funds'!$M$33="", 0,-'Part III A-Sources of Funds'!$M$33)</f>
        <v>0</v>
      </c>
      <c r="H54" s="1588">
        <f>IF('Part III A-Sources of Funds'!$M$33="", 0,-'Part III A-Sources of Funds'!$M$33)</f>
        <v>0</v>
      </c>
      <c r="I54" s="1588">
        <f>IF('Part III A-Sources of Funds'!$M$33="", 0,-'Part III A-Sources of Funds'!$M$33)</f>
        <v>0</v>
      </c>
      <c r="J54" s="1588">
        <f>IF('Part III A-Sources of Funds'!$M$33="", 0,-'Part III A-Sources of Funds'!$M$33)</f>
        <v>0</v>
      </c>
      <c r="K54" s="1588">
        <f>IF('Part III A-Sources of Funds'!$M$33="", 0,-'Part III A-Sources of Funds'!$M$33)</f>
        <v>0</v>
      </c>
      <c r="M54" s="1482"/>
      <c r="N54" s="1483"/>
    </row>
    <row r="55" spans="1:14" ht="13.15" customHeight="1">
      <c r="A55" s="24" t="str">
        <f>$A25</f>
        <v>Mortgage C</v>
      </c>
      <c r="B55" s="1588">
        <f>IF('Part III A-Sources of Funds'!$M$34="", 0,-'Part III A-Sources of Funds'!$M$34)</f>
        <v>0</v>
      </c>
      <c r="C55" s="1588">
        <f>IF('Part III A-Sources of Funds'!$M$34="", 0,-'Part III A-Sources of Funds'!$M$34)</f>
        <v>0</v>
      </c>
      <c r="D55" s="1588">
        <f>IF('Part III A-Sources of Funds'!$M$34="", 0,-'Part III A-Sources of Funds'!$M$34)</f>
        <v>0</v>
      </c>
      <c r="E55" s="1588">
        <f>IF('Part III A-Sources of Funds'!$M$34="", 0,-'Part III A-Sources of Funds'!$M$34)</f>
        <v>0</v>
      </c>
      <c r="F55" s="1588">
        <f>IF('Part III A-Sources of Funds'!$M$34="", 0,-'Part III A-Sources of Funds'!$M$34)</f>
        <v>0</v>
      </c>
      <c r="G55" s="1588">
        <f>IF('Part III A-Sources of Funds'!$M$34="", 0,-'Part III A-Sources of Funds'!$M$34)</f>
        <v>0</v>
      </c>
      <c r="H55" s="1588">
        <f>IF('Part III A-Sources of Funds'!$M$34="", 0,-'Part III A-Sources of Funds'!$M$34)</f>
        <v>0</v>
      </c>
      <c r="I55" s="1588">
        <f>IF('Part III A-Sources of Funds'!$M$34="", 0,-'Part III A-Sources of Funds'!$M$34)</f>
        <v>0</v>
      </c>
      <c r="J55" s="1588">
        <f>IF('Part III A-Sources of Funds'!$M$34="", 0,-'Part III A-Sources of Funds'!$M$34)</f>
        <v>0</v>
      </c>
      <c r="K55" s="1588">
        <f>IF('Part III A-Sources of Funds'!$M$34="", 0,-'Part III A-Sources of Funds'!$M$34)</f>
        <v>0</v>
      </c>
      <c r="M55" s="1482"/>
      <c r="N55" s="1483"/>
    </row>
    <row r="56" spans="1:14" ht="13.15" customHeight="1">
      <c r="A56" s="24" t="str">
        <f>$A26</f>
        <v>D/S Other Source</v>
      </c>
      <c r="B56" s="1588">
        <f>IF('Part III A-Sources of Funds'!$M$35="", 0,-'Part III A-Sources of Funds'!$M$35)</f>
        <v>0</v>
      </c>
      <c r="C56" s="1588">
        <f>IF('Part III A-Sources of Funds'!$M$35="", 0,-'Part III A-Sources of Funds'!$M$35)</f>
        <v>0</v>
      </c>
      <c r="D56" s="1588">
        <f>IF('Part III A-Sources of Funds'!$M$35="", 0,-'Part III A-Sources of Funds'!$M$35)</f>
        <v>0</v>
      </c>
      <c r="E56" s="1588">
        <f>IF('Part III A-Sources of Funds'!$M$35="", 0,-'Part III A-Sources of Funds'!$M$35)</f>
        <v>0</v>
      </c>
      <c r="F56" s="1588">
        <f>IF('Part III A-Sources of Funds'!$M$35="", 0,-'Part III A-Sources of Funds'!$M$35)</f>
        <v>0</v>
      </c>
      <c r="G56" s="1588">
        <f>IF('Part III A-Sources of Funds'!$M$35="", 0,-'Part III A-Sources of Funds'!$M$35)</f>
        <v>0</v>
      </c>
      <c r="H56" s="1588">
        <f>IF('Part III A-Sources of Funds'!$M$35="", 0,-'Part III A-Sources of Funds'!$M$35)</f>
        <v>0</v>
      </c>
      <c r="I56" s="1588">
        <f>IF('Part III A-Sources of Funds'!$M$35="", 0,-'Part III A-Sources of Funds'!$M$35)</f>
        <v>0</v>
      </c>
      <c r="J56" s="1588">
        <f>IF('Part III A-Sources of Funds'!$M$35="", 0,-'Part III A-Sources of Funds'!$M$35)</f>
        <v>0</v>
      </c>
      <c r="K56" s="1588">
        <f>IF('Part III A-Sources of Funds'!$M$35="", 0,-'Part III A-Sources of Funds'!$M$35)</f>
        <v>0</v>
      </c>
      <c r="M56" s="1482"/>
      <c r="N56" s="1483"/>
    </row>
    <row r="57" spans="1:14" ht="13.15" customHeight="1">
      <c r="A57" s="24" t="s">
        <v>1241</v>
      </c>
      <c r="B57" s="1589"/>
      <c r="C57" s="1589"/>
      <c r="D57" s="1589"/>
      <c r="E57" s="1589"/>
      <c r="F57" s="1589"/>
      <c r="G57" s="1589"/>
      <c r="H57" s="1589"/>
      <c r="I57" s="1589"/>
      <c r="J57" s="1589"/>
      <c r="K57" s="1589"/>
      <c r="M57" s="1482"/>
      <c r="N57" s="1483"/>
    </row>
    <row r="58" spans="1:14" ht="13.15" customHeight="1">
      <c r="A58" s="24" t="s">
        <v>1686</v>
      </c>
      <c r="B58" s="1590">
        <f>K28*1.03</f>
        <v>-9407.4146554088566</v>
      </c>
      <c r="C58" s="1590">
        <f>B58*1.03</f>
        <v>-9689.6370950711225</v>
      </c>
      <c r="D58" s="1590">
        <f t="shared" ref="D58:K58" si="22">C58*1.03</f>
        <v>-9980.3262079232572</v>
      </c>
      <c r="E58" s="1590">
        <f t="shared" si="22"/>
        <v>-10279.735994160956</v>
      </c>
      <c r="F58" s="1590">
        <f t="shared" si="22"/>
        <v>-10588.128073985785</v>
      </c>
      <c r="G58" s="1590">
        <f t="shared" si="22"/>
        <v>-10905.771916205358</v>
      </c>
      <c r="H58" s="1590">
        <f t="shared" si="22"/>
        <v>-11232.945073691519</v>
      </c>
      <c r="I58" s="1590">
        <f t="shared" si="22"/>
        <v>-11569.933425902265</v>
      </c>
      <c r="J58" s="1590">
        <f t="shared" si="22"/>
        <v>-11917.031428679333</v>
      </c>
      <c r="K58" s="1590">
        <f t="shared" si="22"/>
        <v>-12274.542371539714</v>
      </c>
      <c r="M58" s="1482"/>
      <c r="N58" s="1483"/>
    </row>
    <row r="59" spans="1:14" ht="13.15" customHeight="1">
      <c r="A59" s="24" t="s">
        <v>1741</v>
      </c>
      <c r="B59" s="1591">
        <f>IF('Part III A-Sources of Funds'!$M$37="", 0,-'Part III A-Sources of Funds'!$M$37)</f>
        <v>-27360</v>
      </c>
      <c r="C59" s="1591">
        <f>IF('Part III A-Sources of Funds'!$M$37="", 0,-'Part III A-Sources of Funds'!$M$37)</f>
        <v>-27360</v>
      </c>
      <c r="D59" s="1591">
        <f>IF('Part III A-Sources of Funds'!$M$37="", 0,-'Part III A-Sources of Funds'!$M$37)</f>
        <v>-27360</v>
      </c>
      <c r="E59" s="1591"/>
      <c r="F59" s="1591"/>
      <c r="G59" s="1591"/>
      <c r="H59" s="1591"/>
      <c r="I59" s="1591"/>
      <c r="J59" s="1591"/>
      <c r="K59" s="1588"/>
      <c r="M59" s="1482"/>
      <c r="N59" s="1483"/>
    </row>
    <row r="60" spans="1:14" ht="13.15" customHeight="1">
      <c r="A60" s="24" t="s">
        <v>1687</v>
      </c>
      <c r="B60" s="25">
        <f t="shared" ref="B60:K60" si="23">SUM(B52:B59)</f>
        <v>23890.201386428023</v>
      </c>
      <c r="C60" s="25">
        <f t="shared" si="23"/>
        <v>23848.142347965848</v>
      </c>
      <c r="D60" s="25">
        <f t="shared" si="23"/>
        <v>23624.700719825116</v>
      </c>
      <c r="E60" s="25">
        <f t="shared" si="23"/>
        <v>50571.213807944565</v>
      </c>
      <c r="F60" s="25">
        <f t="shared" si="23"/>
        <v>49957.6832131138</v>
      </c>
      <c r="G60" s="25">
        <f t="shared" si="23"/>
        <v>49134.763243332534</v>
      </c>
      <c r="H60" s="25">
        <f t="shared" si="23"/>
        <v>48092.7489482112</v>
      </c>
      <c r="I60" s="25">
        <f t="shared" si="23"/>
        <v>46820.563763463091</v>
      </c>
      <c r="J60" s="25">
        <f t="shared" si="23"/>
        <v>45306.746753184707</v>
      </c>
      <c r="K60" s="23">
        <f t="shared" si="23"/>
        <v>43540.439437210567</v>
      </c>
      <c r="M60" s="1482"/>
      <c r="N60" s="1483"/>
    </row>
    <row r="61" spans="1:14" ht="13.15" customHeight="1">
      <c r="A61" s="24" t="str">
        <f>$A31</f>
        <v>DCR Mortgage A</v>
      </c>
      <c r="B61" s="27">
        <f>IF(B53=0,"",-B52/B53)</f>
        <v>1.2450886759344419</v>
      </c>
      <c r="C61" s="27">
        <f t="shared" ref="C61:K61" si="24">IF(C53=0,"",-C52/C53)</f>
        <v>1.2460590624060672</v>
      </c>
      <c r="D61" s="27">
        <f t="shared" si="24"/>
        <v>1.2463307776178303</v>
      </c>
      <c r="E61" s="27">
        <f t="shared" si="24"/>
        <v>1.2458698460233717</v>
      </c>
      <c r="F61" s="27">
        <f t="shared" si="24"/>
        <v>1.2446369259137546</v>
      </c>
      <c r="G61" s="27">
        <f t="shared" si="24"/>
        <v>1.2425953445730049</v>
      </c>
      <c r="H61" s="27">
        <f t="shared" si="24"/>
        <v>1.2397070103561503</v>
      </c>
      <c r="I61" s="27">
        <f t="shared" si="24"/>
        <v>1.2359283232203653</v>
      </c>
      <c r="J61" s="27">
        <f t="shared" si="24"/>
        <v>1.2312141647124077</v>
      </c>
      <c r="K61" s="28">
        <f t="shared" si="24"/>
        <v>1.2255218863098154</v>
      </c>
      <c r="M61" s="1482"/>
      <c r="N61" s="148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2"/>
      <c r="N62" s="148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2"/>
      <c r="N63" s="148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82"/>
      <c r="N64" s="1483"/>
    </row>
    <row r="65" spans="1:14" ht="13.15" customHeight="1">
      <c r="A65" s="24" t="s">
        <v>1250</v>
      </c>
      <c r="B65" s="378">
        <f>IF(OR(B50="Choose mgt fee",B50="Choose One!"),"",(B44+B45+B46+B47+B48) / -(B49+B50+B51))</f>
        <v>1.4817450826816394</v>
      </c>
      <c r="C65" s="378">
        <f t="shared" ref="C65:K65" si="28">IF(OR(C50="Choose mgt fee",C50="Choose One!"),"",(C44+C45+C46+C47+C48) / -(C49+C50+C51))</f>
        <v>1.4684149794634165</v>
      </c>
      <c r="D65" s="378">
        <f t="shared" si="28"/>
        <v>1.4551953045430459</v>
      </c>
      <c r="E65" s="378">
        <f t="shared" si="28"/>
        <v>1.4420861037147377</v>
      </c>
      <c r="F65" s="378">
        <f t="shared" si="28"/>
        <v>1.4290853318533154</v>
      </c>
      <c r="G65" s="378">
        <f t="shared" si="28"/>
        <v>1.4161930648331478</v>
      </c>
      <c r="H65" s="378">
        <f t="shared" si="28"/>
        <v>1.4034092780069802</v>
      </c>
      <c r="I65" s="378">
        <f t="shared" si="28"/>
        <v>1.3907320779949743</v>
      </c>
      <c r="J65" s="378">
        <f t="shared" si="28"/>
        <v>1.3781597516653201</v>
      </c>
      <c r="K65" s="379">
        <f t="shared" si="28"/>
        <v>1.3656923955375815</v>
      </c>
      <c r="M65" s="1482"/>
      <c r="N65" s="1483"/>
    </row>
    <row r="66" spans="1:14" ht="13.15" customHeight="1">
      <c r="A66" s="678" t="s">
        <v>3666</v>
      </c>
      <c r="B66" s="1592">
        <f>IF('Part III A-Sources of Funds'!$H$32="","",-FV('Part III A-Sources of Funds'!$J$32/12,12,B53/12,K36))</f>
        <v>2596899.4384190431</v>
      </c>
      <c r="C66" s="1592">
        <f>IF('Part III A-Sources of Funds'!$H$32="","",-FV('Part III A-Sources of Funds'!$J$32/12,12,C53/12,B66))</f>
        <v>2529040.1534353918</v>
      </c>
      <c r="D66" s="1592">
        <f>IF('Part III A-Sources of Funds'!$H$32="","",-FV('Part III A-Sources of Funds'!$J$32/12,12,D53/12,C66))</f>
        <v>2456275.3152534263</v>
      </c>
      <c r="E66" s="1592">
        <f>IF('Part III A-Sources of Funds'!$H$32="","",-FV('Part III A-Sources of Funds'!$J$32/12,12,E53/12,D66))</f>
        <v>2378250.3010357954</v>
      </c>
      <c r="F66" s="1592">
        <f>IF('Part III A-Sources of Funds'!$H$32="","",-FV('Part III A-Sources of Funds'!$J$32/12,12,F53/12,E66))</f>
        <v>2294584.8522315631</v>
      </c>
      <c r="G66" s="1592">
        <f>IF('Part III A-Sources of Funds'!$H$32="","",-FV('Part III A-Sources of Funds'!$J$32/12,12,G53/12,F66))</f>
        <v>2204871.2213683994</v>
      </c>
      <c r="H66" s="1592">
        <f>IF('Part III A-Sources of Funds'!$H$32="","",-FV('Part III A-Sources of Funds'!$J$32/12,12,H53/12,G66))</f>
        <v>2108672.1848762315</v>
      </c>
      <c r="I66" s="1592">
        <f>IF('Part III A-Sources of Funds'!$H$32="","",-FV('Part III A-Sources of Funds'!$J$32/12,12,I53/12,H66))</f>
        <v>2005518.9122577524</v>
      </c>
      <c r="J66" s="1592">
        <f>IF('Part III A-Sources of Funds'!$H$32="","",-FV('Part III A-Sources of Funds'!$J$32/12,12,J53/12,I66))</f>
        <v>1894908.6812210982</v>
      </c>
      <c r="K66" s="1592">
        <f>IF('Part III A-Sources of Funds'!$H$32="","",-FV('Part III A-Sources of Funds'!$J$32/12,12,K53/12,J66))</f>
        <v>1776302.4276392774</v>
      </c>
      <c r="M66" s="1482"/>
      <c r="N66" s="1483"/>
    </row>
    <row r="67" spans="1:14" ht="13.15" customHeight="1">
      <c r="A67" s="678" t="s">
        <v>3667</v>
      </c>
      <c r="B67" s="1588" t="str">
        <f>IF('Part III A-Sources of Funds'!$H$33="","",-FV('Part III A-Sources of Funds'!$J$33/12,12,B54/12,K37))</f>
        <v/>
      </c>
      <c r="C67" s="1588" t="str">
        <f>IF('Part III A-Sources of Funds'!$H$33="","",-FV('Part III A-Sources of Funds'!$J$33/12,12,C54/12,B67))</f>
        <v/>
      </c>
      <c r="D67" s="1588" t="str">
        <f>IF('Part III A-Sources of Funds'!$H$33="","",-FV('Part III A-Sources of Funds'!$J$33/12,12,D54/12,C67))</f>
        <v/>
      </c>
      <c r="E67" s="1588" t="str">
        <f>IF('Part III A-Sources of Funds'!$H$33="","",-FV('Part III A-Sources of Funds'!$J$33/12,12,E54/12,D67))</f>
        <v/>
      </c>
      <c r="F67" s="1588" t="str">
        <f>IF('Part III A-Sources of Funds'!$H$33="","",-FV('Part III A-Sources of Funds'!$J$33/12,12,F54/12,E67))</f>
        <v/>
      </c>
      <c r="G67" s="1588" t="str">
        <f>IF('Part III A-Sources of Funds'!$H$33="","",-FV('Part III A-Sources of Funds'!$J$33/12,12,G54/12,F67))</f>
        <v/>
      </c>
      <c r="H67" s="1588" t="str">
        <f>IF('Part III A-Sources of Funds'!$H$33="","",-FV('Part III A-Sources of Funds'!$J$33/12,12,H54/12,G67))</f>
        <v/>
      </c>
      <c r="I67" s="1588" t="str">
        <f>IF('Part III A-Sources of Funds'!$H$33="","",-FV('Part III A-Sources of Funds'!$J$33/12,12,I54/12,H67))</f>
        <v/>
      </c>
      <c r="J67" s="1588" t="str">
        <f>IF('Part III A-Sources of Funds'!$H$33="","",-FV('Part III A-Sources of Funds'!$J$33/12,12,J54/12,I67))</f>
        <v/>
      </c>
      <c r="K67" s="1588" t="str">
        <f>IF('Part III A-Sources of Funds'!$H$33="","",-FV('Part III A-Sources of Funds'!$J$33/12,12,K54/12,J67))</f>
        <v/>
      </c>
      <c r="M67" s="1482"/>
      <c r="N67" s="1483"/>
    </row>
    <row r="68" spans="1:14" ht="13.15" customHeight="1">
      <c r="A68" s="678" t="s">
        <v>3668</v>
      </c>
      <c r="B68" s="1588" t="str">
        <f>IF('Part III A-Sources of Funds'!$H$34="","",-FV('Part III A-Sources of Funds'!$J$34/12,12,B55/12,K38))</f>
        <v/>
      </c>
      <c r="C68" s="1588" t="str">
        <f>IF('Part III A-Sources of Funds'!$H$34="","",-FV('Part III A-Sources of Funds'!$J$34/12,12,C55/12,B68))</f>
        <v/>
      </c>
      <c r="D68" s="1588" t="str">
        <f>IF('Part III A-Sources of Funds'!$H$34="","",-FV('Part III A-Sources of Funds'!$J$34/12,12,D55/12,C68))</f>
        <v/>
      </c>
      <c r="E68" s="1588" t="str">
        <f>IF('Part III A-Sources of Funds'!$H$34="","",-FV('Part III A-Sources of Funds'!$J$34/12,12,E55/12,D68))</f>
        <v/>
      </c>
      <c r="F68" s="1588" t="str">
        <f>IF('Part III A-Sources of Funds'!$H$34="","",-FV('Part III A-Sources of Funds'!$J$34/12,12,F55/12,E68))</f>
        <v/>
      </c>
      <c r="G68" s="1588" t="str">
        <f>IF('Part III A-Sources of Funds'!$H$34="","",-FV('Part III A-Sources of Funds'!$J$34/12,12,G55/12,F68))</f>
        <v/>
      </c>
      <c r="H68" s="1588" t="str">
        <f>IF('Part III A-Sources of Funds'!$H$34="","",-FV('Part III A-Sources of Funds'!$J$34/12,12,H55/12,G68))</f>
        <v/>
      </c>
      <c r="I68" s="1588" t="str">
        <f>IF('Part III A-Sources of Funds'!$H$34="","",-FV('Part III A-Sources of Funds'!$J$34/12,12,I55/12,H68))</f>
        <v/>
      </c>
      <c r="J68" s="1588" t="str">
        <f>IF('Part III A-Sources of Funds'!$H$34="","",-FV('Part III A-Sources of Funds'!$J$34/12,12,J55/12,I68))</f>
        <v/>
      </c>
      <c r="K68" s="1588" t="str">
        <f>IF('Part III A-Sources of Funds'!$H$34="","",-FV('Part III A-Sources of Funds'!$J$34/12,12,K55/12,J68))</f>
        <v/>
      </c>
      <c r="M68" s="1482"/>
      <c r="N68" s="1483"/>
    </row>
    <row r="69" spans="1:14" ht="13.15" customHeight="1">
      <c r="A69" s="24" t="s">
        <v>1268</v>
      </c>
      <c r="B69" s="1588" t="str">
        <f>IF('Part III A-Sources of Funds'!$H$35="","",-FV('Part III A-Sources of Funds'!$J$35/12,12,B56/12,K39))</f>
        <v/>
      </c>
      <c r="C69" s="1588" t="str">
        <f>IF('Part III A-Sources of Funds'!$H$35="","",-FV('Part III A-Sources of Funds'!$J$35/12,12,C56/12,B69))</f>
        <v/>
      </c>
      <c r="D69" s="1588" t="str">
        <f>IF('Part III A-Sources of Funds'!$H$35="","",-FV('Part III A-Sources of Funds'!$J$35/12,12,D56/12,C69))</f>
        <v/>
      </c>
      <c r="E69" s="1588" t="str">
        <f>IF('Part III A-Sources of Funds'!$H$35="","",-FV('Part III A-Sources of Funds'!$J$35/12,12,E56/12,D69))</f>
        <v/>
      </c>
      <c r="F69" s="1588" t="str">
        <f>IF('Part III A-Sources of Funds'!$H$35="","",-FV('Part III A-Sources of Funds'!$J$35/12,12,F56/12,E69))</f>
        <v/>
      </c>
      <c r="G69" s="1588" t="str">
        <f>IF('Part III A-Sources of Funds'!$H$35="","",-FV('Part III A-Sources of Funds'!$J$35/12,12,G56/12,F69))</f>
        <v/>
      </c>
      <c r="H69" s="1588" t="str">
        <f>IF('Part III A-Sources of Funds'!$H$35="","",-FV('Part III A-Sources of Funds'!$J$35/12,12,H56/12,G69))</f>
        <v/>
      </c>
      <c r="I69" s="1588" t="str">
        <f>IF('Part III A-Sources of Funds'!$H$35="","",-FV('Part III A-Sources of Funds'!$J$35/12,12,I56/12,H69))</f>
        <v/>
      </c>
      <c r="J69" s="1588" t="str">
        <f>IF('Part III A-Sources of Funds'!$H$35="","",-FV('Part III A-Sources of Funds'!$J$35/12,12,J56/12,I69))</f>
        <v/>
      </c>
      <c r="K69" s="1588" t="str">
        <f>IF('Part III A-Sources of Funds'!$H$35="","",-FV('Part III A-Sources of Funds'!$J$35/12,12,K56/12,J69))</f>
        <v/>
      </c>
      <c r="M69" s="1482"/>
      <c r="N69" s="1483"/>
    </row>
    <row r="70" spans="1:14" ht="13.15" customHeight="1">
      <c r="A70" s="678" t="s">
        <v>3651</v>
      </c>
      <c r="B70" s="1588">
        <f>'Part III A-Sources of Funds'!$H$36</f>
        <v>0</v>
      </c>
      <c r="C70" s="1588">
        <f>B70</f>
        <v>0</v>
      </c>
      <c r="D70" s="1588">
        <f t="shared" ref="D70:K70" si="29">C70</f>
        <v>0</v>
      </c>
      <c r="E70" s="1588">
        <f t="shared" si="29"/>
        <v>0</v>
      </c>
      <c r="F70" s="1588">
        <f t="shared" si="29"/>
        <v>0</v>
      </c>
      <c r="G70" s="1588">
        <f t="shared" si="29"/>
        <v>0</v>
      </c>
      <c r="H70" s="1588">
        <f t="shared" si="29"/>
        <v>0</v>
      </c>
      <c r="I70" s="1588">
        <f t="shared" si="29"/>
        <v>0</v>
      </c>
      <c r="J70" s="1588">
        <f t="shared" si="29"/>
        <v>0</v>
      </c>
      <c r="K70" s="1588">
        <f t="shared" si="29"/>
        <v>0</v>
      </c>
      <c r="M70" s="1482"/>
      <c r="N70" s="1483"/>
    </row>
    <row r="71" spans="1:14" ht="13.15" customHeight="1">
      <c r="A71" s="29" t="s">
        <v>1776</v>
      </c>
      <c r="B71" s="1591">
        <f>IF('Part III A-Sources of Funds'!$H$37="","",-FV('Part III A-Sources of Funds'!$J$37/12,12,B59/12,K41))</f>
        <v>54720</v>
      </c>
      <c r="C71" s="1591">
        <f>IF('Part III A-Sources of Funds'!$H$37="","",-FV('Part III A-Sources of Funds'!$J$37/12,12,C59/12,B71))</f>
        <v>27360</v>
      </c>
      <c r="D71" s="1591">
        <f>IF('Part III A-Sources of Funds'!$H$37="","",-FV('Part III A-Sources of Funds'!$J$37/12,12,D59/12,C71))</f>
        <v>0</v>
      </c>
      <c r="E71" s="1591">
        <f>IF('Part III A-Sources of Funds'!$H$37="","",-FV('Part III A-Sources of Funds'!$J$37/12,12,E59/12,D71))</f>
        <v>0</v>
      </c>
      <c r="F71" s="1591">
        <f>IF('Part III A-Sources of Funds'!$H$37="","",-FV('Part III A-Sources of Funds'!$J$37/12,12,F59/12,E71))</f>
        <v>0</v>
      </c>
      <c r="G71" s="1591">
        <f>IF('Part III A-Sources of Funds'!$H$37="","",-FV('Part III A-Sources of Funds'!$J$37/12,12,G59/12,F71))</f>
        <v>0</v>
      </c>
      <c r="H71" s="1591">
        <f>IF('Part III A-Sources of Funds'!$H$37="","",-FV('Part III A-Sources of Funds'!$J$37/12,12,H59/12,G71))</f>
        <v>0</v>
      </c>
      <c r="I71" s="1591">
        <f>IF('Part III A-Sources of Funds'!$H$37="","",-FV('Part III A-Sources of Funds'!$J$37/12,12,I59/12,H71))</f>
        <v>0</v>
      </c>
      <c r="J71" s="1591">
        <f>IF('Part III A-Sources of Funds'!$H$37="","",-FV('Part III A-Sources of Funds'!$J$37/12,12,J59/12,I71))</f>
        <v>0</v>
      </c>
      <c r="K71" s="1591">
        <f>IF('Part III A-Sources of Funds'!$H$37="","",-FV('Part III A-Sources of Funds'!$J$37/12,12,K59/12,J71))</f>
        <v>0</v>
      </c>
      <c r="M71" s="1485"/>
      <c r="N71" s="1486"/>
    </row>
    <row r="72" spans="1:14" ht="4.1500000000000004" customHeight="1">
      <c r="B72" s="20"/>
      <c r="C72" s="20"/>
      <c r="D72" s="20"/>
      <c r="E72" s="20"/>
      <c r="F72" s="20"/>
      <c r="G72" s="20"/>
      <c r="H72" s="20"/>
      <c r="I72" s="20"/>
      <c r="J72" s="20"/>
      <c r="K72" s="20"/>
    </row>
    <row r="73" spans="1:14" ht="14.6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3673</v>
      </c>
      <c r="N73" s="976"/>
    </row>
    <row r="74" spans="1:14" ht="13.15" customHeight="1">
      <c r="A74" s="21" t="s">
        <v>3384</v>
      </c>
      <c r="B74" s="22">
        <f t="shared" ref="B74:K74" si="31">$B$14*(1+$B$5)^(B73-1)</f>
        <v>1217971.6425876177</v>
      </c>
      <c r="C74" s="22">
        <f t="shared" si="31"/>
        <v>1242331.07543937</v>
      </c>
      <c r="D74" s="22">
        <f t="shared" si="31"/>
        <v>1267177.6969481576</v>
      </c>
      <c r="E74" s="22">
        <f t="shared" si="31"/>
        <v>1292521.2508871204</v>
      </c>
      <c r="F74" s="22">
        <f t="shared" si="31"/>
        <v>1318371.675904863</v>
      </c>
      <c r="G74" s="22">
        <f t="shared" si="31"/>
        <v>1344739.1094229603</v>
      </c>
      <c r="H74" s="22">
        <f t="shared" si="31"/>
        <v>1371633.8916114196</v>
      </c>
      <c r="I74" s="22">
        <f t="shared" si="31"/>
        <v>1399066.5694436477</v>
      </c>
      <c r="J74" s="22">
        <f t="shared" si="31"/>
        <v>1427047.900832521</v>
      </c>
      <c r="K74" s="23">
        <f t="shared" si="31"/>
        <v>1455588.8588491711</v>
      </c>
      <c r="M74" s="1480"/>
      <c r="N74" s="1481"/>
    </row>
    <row r="75" spans="1:14" ht="13.15" customHeight="1">
      <c r="A75" s="24" t="s">
        <v>1519</v>
      </c>
      <c r="B75" s="25">
        <f t="shared" ref="B75:K75" si="32">$B$15*(1+$B$5)^(B73-1)</f>
        <v>24359.432851752357</v>
      </c>
      <c r="C75" s="25">
        <f t="shared" si="32"/>
        <v>24846.621508787404</v>
      </c>
      <c r="D75" s="25">
        <f t="shared" si="32"/>
        <v>25343.553938963152</v>
      </c>
      <c r="E75" s="25">
        <f t="shared" si="32"/>
        <v>25850.425017742411</v>
      </c>
      <c r="F75" s="25">
        <f t="shared" si="32"/>
        <v>26367.433518097259</v>
      </c>
      <c r="G75" s="25">
        <f t="shared" si="32"/>
        <v>26894.782188459205</v>
      </c>
      <c r="H75" s="25">
        <f t="shared" si="32"/>
        <v>27432.677832228394</v>
      </c>
      <c r="I75" s="25">
        <f t="shared" si="32"/>
        <v>27981.331388872954</v>
      </c>
      <c r="J75" s="25">
        <f t="shared" si="32"/>
        <v>28540.95801665042</v>
      </c>
      <c r="K75" s="26">
        <f t="shared" si="32"/>
        <v>29111.777176983425</v>
      </c>
      <c r="M75" s="1482"/>
      <c r="N75" s="1483"/>
    </row>
    <row r="76" spans="1:14" ht="13.15" customHeight="1">
      <c r="A76" s="24" t="s">
        <v>3385</v>
      </c>
      <c r="B76" s="25">
        <f t="shared" ref="B76:K76" si="33">-(B74+B75)*$B$8</f>
        <v>-86963.17528075591</v>
      </c>
      <c r="C76" s="25">
        <f t="shared" si="33"/>
        <v>-88702.438786371029</v>
      </c>
      <c r="D76" s="25">
        <f t="shared" si="33"/>
        <v>-90476.487562098468</v>
      </c>
      <c r="E76" s="25">
        <f t="shared" si="33"/>
        <v>-92286.017313340402</v>
      </c>
      <c r="F76" s="25">
        <f t="shared" si="33"/>
        <v>-94131.737659607228</v>
      </c>
      <c r="G76" s="25">
        <f t="shared" si="33"/>
        <v>-96014.372412799377</v>
      </c>
      <c r="H76" s="25">
        <f t="shared" si="33"/>
        <v>-97934.659861055363</v>
      </c>
      <c r="I76" s="25">
        <f t="shared" si="33"/>
        <v>-99893.353058276465</v>
      </c>
      <c r="J76" s="25">
        <f t="shared" si="33"/>
        <v>-101891.22011944202</v>
      </c>
      <c r="K76" s="26">
        <f t="shared" si="33"/>
        <v>-103929.04452183083</v>
      </c>
      <c r="M76" s="1482"/>
      <c r="N76" s="148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82"/>
      <c r="N77" s="148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82"/>
      <c r="N78" s="1483"/>
    </row>
    <row r="79" spans="1:14" ht="13.15" customHeight="1">
      <c r="A79" s="24" t="s">
        <v>871</v>
      </c>
      <c r="B79" s="25">
        <f t="shared" ref="B79:K79" si="34">$B$19*(1+$B$6)^(B73-1)</f>
        <v>-748542.80120873835</v>
      </c>
      <c r="C79" s="25">
        <f t="shared" si="34"/>
        <v>-770999.08524500043</v>
      </c>
      <c r="D79" s="25">
        <f t="shared" si="34"/>
        <v>-794129.05780235049</v>
      </c>
      <c r="E79" s="25">
        <f t="shared" si="34"/>
        <v>-817952.92953642097</v>
      </c>
      <c r="F79" s="25">
        <f t="shared" si="34"/>
        <v>-842491.51742251357</v>
      </c>
      <c r="G79" s="25">
        <f t="shared" si="34"/>
        <v>-867766.26294518891</v>
      </c>
      <c r="H79" s="25">
        <f t="shared" si="34"/>
        <v>-893799.25083354476</v>
      </c>
      <c r="I79" s="25">
        <f t="shared" si="34"/>
        <v>-920613.22835855093</v>
      </c>
      <c r="J79" s="25">
        <f t="shared" si="34"/>
        <v>-948231.62520930753</v>
      </c>
      <c r="K79" s="26">
        <f t="shared" si="34"/>
        <v>-976678.57396558661</v>
      </c>
      <c r="M79" s="1482"/>
      <c r="N79" s="148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-57768</v>
      </c>
      <c r="C80" s="25">
        <f>IF(AND('Part VII-Pro Forma'!$G$8="Yes",'Part VII-Pro Forma'!$G$9="Yes"),"Choose One!",IF('Part VII-Pro Forma'!$G$8="Yes",ROUND((-$K$8*(1+'Part VII-Pro Forma'!$B$6)^('Part VII-Pro Forma'!C73-1)),),IF('Part VII-Pro Forma'!$G$9="Yes",ROUND((-(SUM(C74:C77)*'Part VII-Pro Forma'!$K$9)),),"Choose mgt fee")))</f>
        <v>-58924</v>
      </c>
      <c r="D80" s="25">
        <f>IF(AND('Part VII-Pro Forma'!$G$8="Yes",'Part VII-Pro Forma'!$G$9="Yes"),"Choose One!",IF('Part VII-Pro Forma'!$G$8="Yes",ROUND((-$K$8*(1+'Part VII-Pro Forma'!$B$6)^('Part VII-Pro Forma'!D73-1)),),IF('Part VII-Pro Forma'!$G$9="Yes",ROUND((-(SUM(D74:D77)*'Part VII-Pro Forma'!$K$9)),),"Choose mgt fee")))</f>
        <v>-60102</v>
      </c>
      <c r="E80" s="25">
        <f>IF(AND('Part VII-Pro Forma'!$G$8="Yes",'Part VII-Pro Forma'!$G$9="Yes"),"Choose One!",IF('Part VII-Pro Forma'!$G$8="Yes",ROUND((-$K$8*(1+'Part VII-Pro Forma'!$B$6)^('Part VII-Pro Forma'!E73-1)),),IF('Part VII-Pro Forma'!$G$9="Yes",ROUND((-(SUM(E74:E77)*'Part VII-Pro Forma'!$K$9)),),"Choose mgt fee")))</f>
        <v>-61304</v>
      </c>
      <c r="F80" s="25">
        <f>IF(AND('Part VII-Pro Forma'!$G$8="Yes",'Part VII-Pro Forma'!$G$9="Yes"),"Choose One!",IF('Part VII-Pro Forma'!$G$8="Yes",ROUND((-$K$8*(1+'Part VII-Pro Forma'!$B$6)^('Part VII-Pro Forma'!F73-1)),),IF('Part VII-Pro Forma'!$G$9="Yes",ROUND((-(SUM(F74:F77)*'Part VII-Pro Forma'!$K$9)),),"Choose mgt fee")))</f>
        <v>-62530</v>
      </c>
      <c r="G80" s="25">
        <f>IF(AND('Part VII-Pro Forma'!$G$8="Yes",'Part VII-Pro Forma'!$G$9="Yes"),"Choose One!",IF('Part VII-Pro Forma'!$G$8="Yes",ROUND((-$K$8*(1+'Part VII-Pro Forma'!$B$6)^('Part VII-Pro Forma'!G73-1)),),IF('Part VII-Pro Forma'!$G$9="Yes",ROUND((-(SUM(G74:G77)*'Part VII-Pro Forma'!$K$9)),),"Choose mgt fee")))</f>
        <v>-63781</v>
      </c>
      <c r="H80" s="25">
        <f>IF(AND('Part VII-Pro Forma'!$G$8="Yes",'Part VII-Pro Forma'!$G$9="Yes"),"Choose One!",IF('Part VII-Pro Forma'!$G$8="Yes",ROUND((-$K$8*(1+'Part VII-Pro Forma'!$B$6)^('Part VII-Pro Forma'!H73-1)),),IF('Part VII-Pro Forma'!$G$9="Yes",ROUND((-(SUM(H74:H77)*'Part VII-Pro Forma'!$K$9)),),"Choose mgt fee")))</f>
        <v>-65057</v>
      </c>
      <c r="I80" s="25">
        <f>IF(AND('Part VII-Pro Forma'!$G$8="Yes",'Part VII-Pro Forma'!$G$9="Yes"),"Choose One!",IF('Part VII-Pro Forma'!$G$8="Yes",ROUND((-$K$8*(1+'Part VII-Pro Forma'!$B$6)^('Part VII-Pro Forma'!I73-1)),),IF('Part VII-Pro Forma'!$G$9="Yes",ROUND((-(SUM(I74:I77)*'Part VII-Pro Forma'!$K$9)),),"Choose mgt fee")))</f>
        <v>-66358</v>
      </c>
      <c r="J80" s="25">
        <f>IF(AND('Part VII-Pro Forma'!$G$8="Yes",'Part VII-Pro Forma'!$G$9="Yes"),"Choose One!",IF('Part VII-Pro Forma'!$G$8="Yes",ROUND((-$K$8*(1+'Part VII-Pro Forma'!$B$6)^('Part VII-Pro Forma'!J73-1)),),IF('Part VII-Pro Forma'!$G$9="Yes",ROUND((-(SUM(J74:J77)*'Part VII-Pro Forma'!$K$9)),),"Choose mgt fee")))</f>
        <v>-67685</v>
      </c>
      <c r="K80" s="25">
        <f>IF(AND('Part VII-Pro Forma'!$G$8="Yes",'Part VII-Pro Forma'!$G$9="Yes"),"Choose One!",IF('Part VII-Pro Forma'!$G$8="Yes",ROUND((-$K$8*(1+'Part VII-Pro Forma'!$B$6)^('Part VII-Pro Forma'!K73-1)),),IF('Part VII-Pro Forma'!$G$9="Yes",ROUND((-(SUM(K74:K77)*'Part VII-Pro Forma'!$K$9)),),"Choose mgt fee")))</f>
        <v>-69039</v>
      </c>
      <c r="M80" s="1482"/>
      <c r="N80" s="1483"/>
    </row>
    <row r="81" spans="1:14" ht="13.15" customHeight="1">
      <c r="A81" s="24" t="s">
        <v>1739</v>
      </c>
      <c r="B81" s="25">
        <f t="shared" ref="B81:K81" si="35">$B$21*(1+$B$7)^(B73-1)</f>
        <v>-47410.419910072102</v>
      </c>
      <c r="C81" s="25">
        <f t="shared" si="35"/>
        <v>-48832.732507374254</v>
      </c>
      <c r="D81" s="25">
        <f t="shared" si="35"/>
        <v>-50297.714482595489</v>
      </c>
      <c r="E81" s="25">
        <f t="shared" si="35"/>
        <v>-51806.645917073358</v>
      </c>
      <c r="F81" s="25">
        <f t="shared" si="35"/>
        <v>-53360.845294585546</v>
      </c>
      <c r="G81" s="25">
        <f t="shared" si="35"/>
        <v>-54961.670653423113</v>
      </c>
      <c r="H81" s="25">
        <f t="shared" si="35"/>
        <v>-56610.520773025812</v>
      </c>
      <c r="I81" s="25">
        <f t="shared" si="35"/>
        <v>-58308.836396216582</v>
      </c>
      <c r="J81" s="25">
        <f t="shared" si="35"/>
        <v>-60058.101488103079</v>
      </c>
      <c r="K81" s="26">
        <f t="shared" si="35"/>
        <v>-61859.844532746167</v>
      </c>
      <c r="M81" s="1482"/>
      <c r="N81" s="1483"/>
    </row>
    <row r="82" spans="1:14" ht="13.15" customHeight="1">
      <c r="A82" s="24" t="s">
        <v>1740</v>
      </c>
      <c r="B82" s="25">
        <f t="shared" ref="B82:K82" si="36">SUM(B74:B81)</f>
        <v>301646.67903980368</v>
      </c>
      <c r="C82" s="25">
        <f t="shared" si="36"/>
        <v>299719.44040941179</v>
      </c>
      <c r="D82" s="25">
        <f t="shared" si="36"/>
        <v>297515.9910400763</v>
      </c>
      <c r="E82" s="25">
        <f t="shared" si="36"/>
        <v>295022.08313802804</v>
      </c>
      <c r="F82" s="25">
        <f t="shared" si="36"/>
        <v>292225.00904625386</v>
      </c>
      <c r="G82" s="25">
        <f t="shared" si="36"/>
        <v>289110.5856000082</v>
      </c>
      <c r="H82" s="25">
        <f t="shared" si="36"/>
        <v>285665.13797602197</v>
      </c>
      <c r="I82" s="25">
        <f t="shared" si="36"/>
        <v>281874.48301947681</v>
      </c>
      <c r="J82" s="25">
        <f t="shared" si="36"/>
        <v>277722.91203231883</v>
      </c>
      <c r="K82" s="26">
        <f t="shared" si="36"/>
        <v>273194.17300599098</v>
      </c>
      <c r="M82" s="1482"/>
      <c r="N82" s="1483"/>
    </row>
    <row r="83" spans="1:14" ht="13.15" customHeight="1">
      <c r="A83" s="24" t="str">
        <f>$A53</f>
        <v>Mortgage A</v>
      </c>
      <c r="B83" s="1587">
        <f>IF('Part III A-Sources of Funds'!$M$32="", 0,-'Part III A-Sources of Funds'!$M$32)</f>
        <v>-247492.52820665613</v>
      </c>
      <c r="C83" s="1587">
        <f>IF('Part III A-Sources of Funds'!$M$32="", 0,-'Part III A-Sources of Funds'!$M$32)</f>
        <v>-247492.52820665613</v>
      </c>
      <c r="D83" s="1587">
        <f>IF('Part III A-Sources of Funds'!$M$32="", 0,-'Part III A-Sources of Funds'!$M$32)</f>
        <v>-247492.52820665613</v>
      </c>
      <c r="E83" s="1587">
        <f>IF('Part III A-Sources of Funds'!$M$32="", 0,-'Part III A-Sources of Funds'!$M$32)</f>
        <v>-247492.52820665613</v>
      </c>
      <c r="F83" s="1587">
        <f>IF('Part III A-Sources of Funds'!$M$32="", 0,-'Part III A-Sources of Funds'!$M$32)</f>
        <v>-247492.52820665613</v>
      </c>
      <c r="G83" s="1587">
        <f>IF('Part III A-Sources of Funds'!$M$32="", 0,-'Part III A-Sources of Funds'!$M$32)</f>
        <v>-247492.52820665613</v>
      </c>
      <c r="H83" s="1587">
        <f>IF('Part III A-Sources of Funds'!$M$32="", 0,-'Part III A-Sources of Funds'!$M$32)</f>
        <v>-247492.52820665613</v>
      </c>
      <c r="I83" s="1587">
        <f>IF('Part III A-Sources of Funds'!$M$32="", 0,-'Part III A-Sources of Funds'!$M$32)</f>
        <v>-247492.52820665613</v>
      </c>
      <c r="J83" s="1587">
        <f>IF('Part III A-Sources of Funds'!$M$32="", 0,-'Part III A-Sources of Funds'!$M$32)</f>
        <v>-247492.52820665613</v>
      </c>
      <c r="K83" s="1587">
        <f>IF('Part III A-Sources of Funds'!$M$32="", 0,-'Part III A-Sources of Funds'!$M$32)</f>
        <v>-247492.52820665613</v>
      </c>
      <c r="M83" s="1482"/>
      <c r="N83" s="1483"/>
    </row>
    <row r="84" spans="1:14" ht="13.15" customHeight="1">
      <c r="A84" s="24" t="str">
        <f>$A54</f>
        <v>Mortgage B</v>
      </c>
      <c r="B84" s="1588">
        <f>IF('Part III A-Sources of Funds'!$M$33="", 0,-'Part III A-Sources of Funds'!$M$33)</f>
        <v>0</v>
      </c>
      <c r="C84" s="1588">
        <f>IF('Part III A-Sources of Funds'!$M$33="", 0,-'Part III A-Sources of Funds'!$M$33)</f>
        <v>0</v>
      </c>
      <c r="D84" s="1588">
        <f>IF('Part III A-Sources of Funds'!$M$33="", 0,-'Part III A-Sources of Funds'!$M$33)</f>
        <v>0</v>
      </c>
      <c r="E84" s="1588">
        <f>IF('Part III A-Sources of Funds'!$M$33="", 0,-'Part III A-Sources of Funds'!$M$33)</f>
        <v>0</v>
      </c>
      <c r="F84" s="1588">
        <f>IF('Part III A-Sources of Funds'!$M$33="", 0,-'Part III A-Sources of Funds'!$M$33)</f>
        <v>0</v>
      </c>
      <c r="G84" s="1588">
        <f>IF('Part III A-Sources of Funds'!$M$33="", 0,-'Part III A-Sources of Funds'!$M$33)</f>
        <v>0</v>
      </c>
      <c r="H84" s="1588">
        <f>IF('Part III A-Sources of Funds'!$M$33="", 0,-'Part III A-Sources of Funds'!$M$33)</f>
        <v>0</v>
      </c>
      <c r="I84" s="1588">
        <f>IF('Part III A-Sources of Funds'!$M$33="", 0,-'Part III A-Sources of Funds'!$M$33)</f>
        <v>0</v>
      </c>
      <c r="J84" s="1588">
        <f>IF('Part III A-Sources of Funds'!$M$33="", 0,-'Part III A-Sources of Funds'!$M$33)</f>
        <v>0</v>
      </c>
      <c r="K84" s="1588">
        <f>IF('Part III A-Sources of Funds'!$M$33="", 0,-'Part III A-Sources of Funds'!$M$33)</f>
        <v>0</v>
      </c>
      <c r="M84" s="1482"/>
      <c r="N84" s="1483"/>
    </row>
    <row r="85" spans="1:14" ht="13.15" customHeight="1">
      <c r="A85" s="24" t="str">
        <f>$A55</f>
        <v>Mortgage C</v>
      </c>
      <c r="B85" s="1588">
        <f>IF('Part III A-Sources of Funds'!$M$34="", 0,-'Part III A-Sources of Funds'!$M$34)</f>
        <v>0</v>
      </c>
      <c r="C85" s="1588">
        <f>IF('Part III A-Sources of Funds'!$M$34="", 0,-'Part III A-Sources of Funds'!$M$34)</f>
        <v>0</v>
      </c>
      <c r="D85" s="1588">
        <f>IF('Part III A-Sources of Funds'!$M$34="", 0,-'Part III A-Sources of Funds'!$M$34)</f>
        <v>0</v>
      </c>
      <c r="E85" s="1588">
        <f>IF('Part III A-Sources of Funds'!$M$34="", 0,-'Part III A-Sources of Funds'!$M$34)</f>
        <v>0</v>
      </c>
      <c r="F85" s="1588">
        <f>IF('Part III A-Sources of Funds'!$M$34="", 0,-'Part III A-Sources of Funds'!$M$34)</f>
        <v>0</v>
      </c>
      <c r="G85" s="1588">
        <f>IF('Part III A-Sources of Funds'!$M$34="", 0,-'Part III A-Sources of Funds'!$M$34)</f>
        <v>0</v>
      </c>
      <c r="H85" s="1588">
        <f>IF('Part III A-Sources of Funds'!$M$34="", 0,-'Part III A-Sources of Funds'!$M$34)</f>
        <v>0</v>
      </c>
      <c r="I85" s="1588">
        <f>IF('Part III A-Sources of Funds'!$M$34="", 0,-'Part III A-Sources of Funds'!$M$34)</f>
        <v>0</v>
      </c>
      <c r="J85" s="1588">
        <f>IF('Part III A-Sources of Funds'!$M$34="", 0,-'Part III A-Sources of Funds'!$M$34)</f>
        <v>0</v>
      </c>
      <c r="K85" s="1588">
        <f>IF('Part III A-Sources of Funds'!$M$34="", 0,-'Part III A-Sources of Funds'!$M$34)</f>
        <v>0</v>
      </c>
      <c r="M85" s="1482"/>
      <c r="N85" s="1483"/>
    </row>
    <row r="86" spans="1:14" ht="13.15" customHeight="1">
      <c r="A86" s="24" t="str">
        <f>$A56</f>
        <v>D/S Other Source</v>
      </c>
      <c r="B86" s="1588">
        <f>IF('Part III A-Sources of Funds'!$M$35="", 0,-'Part III A-Sources of Funds'!$M$35)</f>
        <v>0</v>
      </c>
      <c r="C86" s="1588">
        <f>IF('Part III A-Sources of Funds'!$M$35="", 0,-'Part III A-Sources of Funds'!$M$35)</f>
        <v>0</v>
      </c>
      <c r="D86" s="1588">
        <f>IF('Part III A-Sources of Funds'!$M$35="", 0,-'Part III A-Sources of Funds'!$M$35)</f>
        <v>0</v>
      </c>
      <c r="E86" s="1588">
        <f>IF('Part III A-Sources of Funds'!$M$35="", 0,-'Part III A-Sources of Funds'!$M$35)</f>
        <v>0</v>
      </c>
      <c r="F86" s="1588">
        <f>IF('Part III A-Sources of Funds'!$M$35="", 0,-'Part III A-Sources of Funds'!$M$35)</f>
        <v>0</v>
      </c>
      <c r="G86" s="1588">
        <f>IF('Part III A-Sources of Funds'!$M$35="", 0,-'Part III A-Sources of Funds'!$M$35)</f>
        <v>0</v>
      </c>
      <c r="H86" s="1588">
        <f>IF('Part III A-Sources of Funds'!$M$35="", 0,-'Part III A-Sources of Funds'!$M$35)</f>
        <v>0</v>
      </c>
      <c r="I86" s="1588">
        <f>IF('Part III A-Sources of Funds'!$M$35="", 0,-'Part III A-Sources of Funds'!$M$35)</f>
        <v>0</v>
      </c>
      <c r="J86" s="1588">
        <f>IF('Part III A-Sources of Funds'!$M$35="", 0,-'Part III A-Sources of Funds'!$M$35)</f>
        <v>0</v>
      </c>
      <c r="K86" s="1588">
        <f>IF('Part III A-Sources of Funds'!$M$35="", 0,-'Part III A-Sources of Funds'!$M$35)</f>
        <v>0</v>
      </c>
      <c r="M86" s="1482"/>
      <c r="N86" s="1483"/>
    </row>
    <row r="87" spans="1:14" ht="13.15" customHeight="1">
      <c r="A87" s="24" t="s">
        <v>1241</v>
      </c>
      <c r="B87" s="1589"/>
      <c r="C87" s="1589"/>
      <c r="D87" s="1589"/>
      <c r="E87" s="1589"/>
      <c r="F87" s="1589"/>
      <c r="G87" s="1589"/>
      <c r="H87" s="1589"/>
      <c r="I87" s="1589"/>
      <c r="J87" s="1589"/>
      <c r="K87" s="1589"/>
      <c r="M87" s="1482"/>
      <c r="N87" s="1483"/>
    </row>
    <row r="88" spans="1:14" ht="13.15" customHeight="1">
      <c r="A88" s="24" t="s">
        <v>1686</v>
      </c>
      <c r="B88" s="1590">
        <f>K58*1.03</f>
        <v>-12642.778642685906</v>
      </c>
      <c r="C88" s="1590">
        <f>B88*1.03</f>
        <v>-13022.062001966484</v>
      </c>
      <c r="D88" s="1590">
        <f t="shared" ref="D88:K88" si="37">C88*1.03</f>
        <v>-13412.723862025479</v>
      </c>
      <c r="E88" s="1590">
        <f t="shared" si="37"/>
        <v>-13815.105577886245</v>
      </c>
      <c r="F88" s="1590">
        <f t="shared" si="37"/>
        <v>-14229.558745222832</v>
      </c>
      <c r="G88" s="1590">
        <f t="shared" si="37"/>
        <v>-14656.445507579518</v>
      </c>
      <c r="H88" s="1590">
        <f t="shared" si="37"/>
        <v>-15096.138872806903</v>
      </c>
      <c r="I88" s="1590">
        <f t="shared" si="37"/>
        <v>-15549.02303899111</v>
      </c>
      <c r="J88" s="1590">
        <f t="shared" si="37"/>
        <v>-16015.493730160844</v>
      </c>
      <c r="K88" s="1590">
        <f t="shared" si="37"/>
        <v>-16495.958542065669</v>
      </c>
      <c r="M88" s="1482"/>
      <c r="N88" s="1483"/>
    </row>
    <row r="89" spans="1:14" ht="13.15" customHeight="1">
      <c r="A89" s="24" t="s">
        <v>1741</v>
      </c>
      <c r="B89" s="1591"/>
      <c r="C89" s="1591"/>
      <c r="D89" s="1591"/>
      <c r="E89" s="1591"/>
      <c r="F89" s="1591"/>
      <c r="G89" s="1591"/>
      <c r="H89" s="1591"/>
      <c r="I89" s="1591"/>
      <c r="J89" s="1591"/>
      <c r="K89" s="1588"/>
      <c r="M89" s="1482"/>
      <c r="N89" s="1483"/>
    </row>
    <row r="90" spans="1:14" ht="13.15" customHeight="1">
      <c r="A90" s="24" t="s">
        <v>1687</v>
      </c>
      <c r="B90" s="25">
        <f t="shared" ref="B90:K90" si="38">SUM(B82:B89)</f>
        <v>41511.37219046164</v>
      </c>
      <c r="C90" s="25">
        <f t="shared" si="38"/>
        <v>39204.850200789173</v>
      </c>
      <c r="D90" s="25">
        <f t="shared" si="38"/>
        <v>36610.73897139469</v>
      </c>
      <c r="E90" s="25">
        <f t="shared" si="38"/>
        <v>33714.449353485667</v>
      </c>
      <c r="F90" s="25">
        <f t="shared" si="38"/>
        <v>30502.922094374899</v>
      </c>
      <c r="G90" s="25">
        <f t="shared" si="38"/>
        <v>26961.611885772545</v>
      </c>
      <c r="H90" s="25">
        <f t="shared" si="38"/>
        <v>23076.470896558934</v>
      </c>
      <c r="I90" s="25">
        <f t="shared" si="38"/>
        <v>18832.931773829572</v>
      </c>
      <c r="J90" s="25">
        <f t="shared" si="38"/>
        <v>14214.890095501847</v>
      </c>
      <c r="K90" s="23">
        <f t="shared" si="38"/>
        <v>9205.6862572691716</v>
      </c>
      <c r="M90" s="1482"/>
      <c r="N90" s="1483"/>
    </row>
    <row r="91" spans="1:14" ht="13.15" customHeight="1">
      <c r="A91" s="24" t="str">
        <f>$A61</f>
        <v>DCR Mortgage A</v>
      </c>
      <c r="B91" s="27">
        <f>IF(B83=0,"",-B82/B83)</f>
        <v>1.2188112555379</v>
      </c>
      <c r="C91" s="27">
        <f t="shared" ref="C91:K91" si="39">IF(C83=0,"",-C82/C83)</f>
        <v>1.2110241977048544</v>
      </c>
      <c r="D91" s="27">
        <f t="shared" si="39"/>
        <v>1.2021211031940755</v>
      </c>
      <c r="E91" s="27">
        <f t="shared" si="39"/>
        <v>1.1920444034241096</v>
      </c>
      <c r="F91" s="27">
        <f t="shared" si="39"/>
        <v>1.1807427527761409</v>
      </c>
      <c r="G91" s="27">
        <f t="shared" si="39"/>
        <v>1.1681588438039674</v>
      </c>
      <c r="H91" s="27">
        <f t="shared" si="39"/>
        <v>1.1542374230283499</v>
      </c>
      <c r="I91" s="27">
        <f t="shared" si="39"/>
        <v>1.1389211830431978</v>
      </c>
      <c r="J91" s="27">
        <f t="shared" si="39"/>
        <v>1.1221466524452826</v>
      </c>
      <c r="K91" s="28">
        <f t="shared" si="39"/>
        <v>1.1038481645711502</v>
      </c>
      <c r="M91" s="1482"/>
      <c r="N91" s="148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2"/>
      <c r="N92" s="148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82"/>
      <c r="N93" s="148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82"/>
      <c r="N94" s="1483"/>
    </row>
    <row r="95" spans="1:14" ht="13.15" customHeight="1">
      <c r="A95" s="24" t="s">
        <v>1250</v>
      </c>
      <c r="B95" s="378">
        <f>IF(OR(B80="Choose mgt fee",B80="Choose One!"),"",(B74+B75+B76+B77+B78) / -(B79+B80+B81))</f>
        <v>1.3533315930046725</v>
      </c>
      <c r="C95" s="378">
        <f t="shared" ref="C95:K95" si="43">IF(OR(C80="Choose mgt fee",C80="Choose One!"),"",(C74+C75+C76+C77+C78) / -(C79+C80+C81))</f>
        <v>1.3410724963119049</v>
      </c>
      <c r="D95" s="378">
        <f t="shared" si="43"/>
        <v>1.328918217038598</v>
      </c>
      <c r="E95" s="378">
        <f t="shared" si="43"/>
        <v>1.316865669451553</v>
      </c>
      <c r="F95" s="378">
        <f t="shared" si="43"/>
        <v>1.304914844444518</v>
      </c>
      <c r="G95" s="378">
        <f t="shared" si="43"/>
        <v>1.2930643360170935</v>
      </c>
      <c r="H95" s="378">
        <f t="shared" si="43"/>
        <v>1.2813141167820499</v>
      </c>
      <c r="I95" s="378">
        <f t="shared" si="43"/>
        <v>1.269664076187665</v>
      </c>
      <c r="J95" s="378">
        <f t="shared" si="43"/>
        <v>1.2581128581753585</v>
      </c>
      <c r="K95" s="379">
        <f t="shared" si="43"/>
        <v>1.2466592117564035</v>
      </c>
      <c r="M95" s="1482"/>
      <c r="N95" s="1483"/>
    </row>
    <row r="96" spans="1:14" ht="13.15" customHeight="1">
      <c r="A96" s="678" t="s">
        <v>3666</v>
      </c>
      <c r="B96" s="1592">
        <f>IF('Part III A-Sources of Funds'!$H$32="","",-FV('Part III A-Sources of Funds'!$J$32/12,12,B83/12,K66))</f>
        <v>1649122.1183959716</v>
      </c>
      <c r="C96" s="1592">
        <f>IF('Part III A-Sources of Funds'!$H$32="","",-FV('Part III A-Sources of Funds'!$J$32/12,12,C83/12,B96))</f>
        <v>1512747.9343141462</v>
      </c>
      <c r="D96" s="1592">
        <f>IF('Part III A-Sources of Funds'!$H$32="","",-FV('Part III A-Sources of Funds'!$J$32/12,12,D83/12,C96))</f>
        <v>1366515.2494383424</v>
      </c>
      <c r="E96" s="1592">
        <f>IF('Part III A-Sources of Funds'!$H$32="","",-FV('Part III A-Sources of Funds'!$J$32/12,12,E83/12,D96))</f>
        <v>1209711.3919490422</v>
      </c>
      <c r="F96" s="1592">
        <f>IF('Part III A-Sources of Funds'!$H$32="","",-FV('Part III A-Sources of Funds'!$J$32/12,12,F83/12,E96))</f>
        <v>1041572.1709232709</v>
      </c>
      <c r="G96" s="1592">
        <f>IF('Part III A-Sources of Funds'!$H$32="","",-FV('Part III A-Sources of Funds'!$J$32/12,12,G83/12,F96))</f>
        <v>861278.1520144419</v>
      </c>
      <c r="H96" s="1592">
        <f>IF('Part III A-Sources of Funds'!$H$32="","",-FV('Part III A-Sources of Funds'!$J$32/12,12,H83/12,G96))</f>
        <v>667950.66390079795</v>
      </c>
      <c r="I96" s="1592">
        <f>IF('Part III A-Sources of Funds'!$H$32="","",-FV('Part III A-Sources of Funds'!$J$32/12,12,I83/12,H96))</f>
        <v>460647.5160396857</v>
      </c>
      <c r="J96" s="1592">
        <f>IF('Part III A-Sources of Funds'!$H$32="","",-FV('Part III A-Sources of Funds'!$J$32/12,12,J83/12,I96))</f>
        <v>238358.40685794145</v>
      </c>
      <c r="K96" s="1592">
        <f>IF('Part III A-Sources of Funds'!$H$32="","",-FV('Part III A-Sources of Funds'!$J$32/12,12,K83/12,J96))</f>
        <v>-1.1728843674063683E-8</v>
      </c>
      <c r="M96" s="1482"/>
      <c r="N96" s="1483"/>
    </row>
    <row r="97" spans="1:14" ht="13.15" customHeight="1">
      <c r="A97" s="678" t="s">
        <v>3667</v>
      </c>
      <c r="B97" s="1588" t="str">
        <f>IF('Part III A-Sources of Funds'!$H$33="","",-FV('Part III A-Sources of Funds'!$J$33/12,12,B84/12,K67))</f>
        <v/>
      </c>
      <c r="C97" s="1588" t="str">
        <f>IF('Part III A-Sources of Funds'!$H$33="","",-FV('Part III A-Sources of Funds'!$J$33/12,12,C84/12,B97))</f>
        <v/>
      </c>
      <c r="D97" s="1588" t="str">
        <f>IF('Part III A-Sources of Funds'!$H$33="","",-FV('Part III A-Sources of Funds'!$J$33/12,12,D84/12,C97))</f>
        <v/>
      </c>
      <c r="E97" s="1588" t="str">
        <f>IF('Part III A-Sources of Funds'!$H$33="","",-FV('Part III A-Sources of Funds'!$J$33/12,12,E84/12,D97))</f>
        <v/>
      </c>
      <c r="F97" s="1588" t="str">
        <f>IF('Part III A-Sources of Funds'!$H$33="","",-FV('Part III A-Sources of Funds'!$J$33/12,12,F84/12,E97))</f>
        <v/>
      </c>
      <c r="G97" s="1588" t="str">
        <f>IF('Part III A-Sources of Funds'!$H$33="","",-FV('Part III A-Sources of Funds'!$J$33/12,12,G84/12,F97))</f>
        <v/>
      </c>
      <c r="H97" s="1588" t="str">
        <f>IF('Part III A-Sources of Funds'!$H$33="","",-FV('Part III A-Sources of Funds'!$J$33/12,12,H84/12,G97))</f>
        <v/>
      </c>
      <c r="I97" s="1588" t="str">
        <f>IF('Part III A-Sources of Funds'!$H$33="","",-FV('Part III A-Sources of Funds'!$J$33/12,12,I84/12,H97))</f>
        <v/>
      </c>
      <c r="J97" s="1588" t="str">
        <f>IF('Part III A-Sources of Funds'!$H$33="","",-FV('Part III A-Sources of Funds'!$J$33/12,12,J84/12,I97))</f>
        <v/>
      </c>
      <c r="K97" s="1588" t="str">
        <f>IF('Part III A-Sources of Funds'!$H$33="","",-FV('Part III A-Sources of Funds'!$J$33/12,12,K84/12,J97))</f>
        <v/>
      </c>
      <c r="M97" s="1482"/>
      <c r="N97" s="1483"/>
    </row>
    <row r="98" spans="1:14" ht="13.15" customHeight="1">
      <c r="A98" s="678" t="s">
        <v>3668</v>
      </c>
      <c r="B98" s="1588" t="str">
        <f>IF('Part III A-Sources of Funds'!$H$34="","",-FV('Part III A-Sources of Funds'!$J$34/12,12,B85/12,K68))</f>
        <v/>
      </c>
      <c r="C98" s="1588" t="str">
        <f>IF('Part III A-Sources of Funds'!$H$34="","",-FV('Part III A-Sources of Funds'!$J$34/12,12,C85/12,B98))</f>
        <v/>
      </c>
      <c r="D98" s="1588" t="str">
        <f>IF('Part III A-Sources of Funds'!$H$34="","",-FV('Part III A-Sources of Funds'!$J$34/12,12,D85/12,C98))</f>
        <v/>
      </c>
      <c r="E98" s="1588" t="str">
        <f>IF('Part III A-Sources of Funds'!$H$34="","",-FV('Part III A-Sources of Funds'!$J$34/12,12,E85/12,D98))</f>
        <v/>
      </c>
      <c r="F98" s="1588" t="str">
        <f>IF('Part III A-Sources of Funds'!$H$34="","",-FV('Part III A-Sources of Funds'!$J$34/12,12,F85/12,E98))</f>
        <v/>
      </c>
      <c r="G98" s="1588" t="str">
        <f>IF('Part III A-Sources of Funds'!$H$34="","",-FV('Part III A-Sources of Funds'!$J$34/12,12,G85/12,F98))</f>
        <v/>
      </c>
      <c r="H98" s="1588" t="str">
        <f>IF('Part III A-Sources of Funds'!$H$34="","",-FV('Part III A-Sources of Funds'!$J$34/12,12,H85/12,G98))</f>
        <v/>
      </c>
      <c r="I98" s="1588" t="str">
        <f>IF('Part III A-Sources of Funds'!$H$34="","",-FV('Part III A-Sources of Funds'!$J$34/12,12,I85/12,H98))</f>
        <v/>
      </c>
      <c r="J98" s="1588" t="str">
        <f>IF('Part III A-Sources of Funds'!$H$34="","",-FV('Part III A-Sources of Funds'!$J$34/12,12,J85/12,I98))</f>
        <v/>
      </c>
      <c r="K98" s="1588" t="str">
        <f>IF('Part III A-Sources of Funds'!$H$34="","",-FV('Part III A-Sources of Funds'!$J$34/12,12,K85/12,J98))</f>
        <v/>
      </c>
      <c r="M98" s="1482"/>
      <c r="N98" s="1483"/>
    </row>
    <row r="99" spans="1:14" ht="13.15" customHeight="1">
      <c r="A99" s="24" t="s">
        <v>1268</v>
      </c>
      <c r="B99" s="1588" t="str">
        <f>IF('Part III A-Sources of Funds'!$H$35="","",-FV('Part III A-Sources of Funds'!$J$35/12,12,B86/12,K69))</f>
        <v/>
      </c>
      <c r="C99" s="1588" t="str">
        <f>IF('Part III A-Sources of Funds'!$H$35="","",-FV('Part III A-Sources of Funds'!$J$35/12,12,C86/12,B99))</f>
        <v/>
      </c>
      <c r="D99" s="1588" t="str">
        <f>IF('Part III A-Sources of Funds'!$H$35="","",-FV('Part III A-Sources of Funds'!$J$35/12,12,D86/12,C99))</f>
        <v/>
      </c>
      <c r="E99" s="1588" t="str">
        <f>IF('Part III A-Sources of Funds'!$H$35="","",-FV('Part III A-Sources of Funds'!$J$35/12,12,E86/12,D99))</f>
        <v/>
      </c>
      <c r="F99" s="1588" t="str">
        <f>IF('Part III A-Sources of Funds'!$H$35="","",-FV('Part III A-Sources of Funds'!$J$35/12,12,F86/12,E99))</f>
        <v/>
      </c>
      <c r="G99" s="1588" t="str">
        <f>IF('Part III A-Sources of Funds'!$H$35="","",-FV('Part III A-Sources of Funds'!$J$35/12,12,G86/12,F99))</f>
        <v/>
      </c>
      <c r="H99" s="1588" t="str">
        <f>IF('Part III A-Sources of Funds'!$H$35="","",-FV('Part III A-Sources of Funds'!$J$35/12,12,H86/12,G99))</f>
        <v/>
      </c>
      <c r="I99" s="1588" t="str">
        <f>IF('Part III A-Sources of Funds'!$H$35="","",-FV('Part III A-Sources of Funds'!$J$35/12,12,I86/12,H99))</f>
        <v/>
      </c>
      <c r="J99" s="1588" t="str">
        <f>IF('Part III A-Sources of Funds'!$H$35="","",-FV('Part III A-Sources of Funds'!$J$35/12,12,J86/12,I99))</f>
        <v/>
      </c>
      <c r="K99" s="1588" t="str">
        <f>IF('Part III A-Sources of Funds'!$H$35="","",-FV('Part III A-Sources of Funds'!$J$35/12,12,K86/12,J99))</f>
        <v/>
      </c>
      <c r="M99" s="1482"/>
      <c r="N99" s="1483"/>
    </row>
    <row r="100" spans="1:14" ht="13.15" customHeight="1">
      <c r="A100" s="678" t="s">
        <v>3651</v>
      </c>
      <c r="B100" s="1588">
        <f>'Part III A-Sources of Funds'!$H$36</f>
        <v>0</v>
      </c>
      <c r="C100" s="1588">
        <f>B100</f>
        <v>0</v>
      </c>
      <c r="D100" s="1588">
        <f t="shared" ref="D100:K100" si="44">C100</f>
        <v>0</v>
      </c>
      <c r="E100" s="1588">
        <f t="shared" si="44"/>
        <v>0</v>
      </c>
      <c r="F100" s="1588">
        <f t="shared" si="44"/>
        <v>0</v>
      </c>
      <c r="G100" s="1588">
        <f t="shared" si="44"/>
        <v>0</v>
      </c>
      <c r="H100" s="1588">
        <f t="shared" si="44"/>
        <v>0</v>
      </c>
      <c r="I100" s="1588">
        <f t="shared" si="44"/>
        <v>0</v>
      </c>
      <c r="J100" s="1588">
        <f t="shared" si="44"/>
        <v>0</v>
      </c>
      <c r="K100" s="1588">
        <f t="shared" si="44"/>
        <v>0</v>
      </c>
      <c r="M100" s="1482"/>
      <c r="N100" s="1483"/>
    </row>
    <row r="101" spans="1:14" ht="13.15" customHeight="1">
      <c r="A101" s="29" t="s">
        <v>1776</v>
      </c>
      <c r="B101" s="1591">
        <f>IF('Part III A-Sources of Funds'!$H$37="","",-FV('Part III A-Sources of Funds'!$J$37/12,12,B89/12,K71))</f>
        <v>0</v>
      </c>
      <c r="C101" s="1591">
        <f>IF('Part III A-Sources of Funds'!$H$37="","",-FV('Part III A-Sources of Funds'!$J$37/12,12,C89/12,B101))</f>
        <v>0</v>
      </c>
      <c r="D101" s="1591">
        <f>IF('Part III A-Sources of Funds'!$H$37="","",-FV('Part III A-Sources of Funds'!$J$37/12,12,D89/12,C101))</f>
        <v>0</v>
      </c>
      <c r="E101" s="1591">
        <f>IF('Part III A-Sources of Funds'!$H$37="","",-FV('Part III A-Sources of Funds'!$J$37/12,12,E89/12,D101))</f>
        <v>0</v>
      </c>
      <c r="F101" s="1591">
        <f>IF('Part III A-Sources of Funds'!$H$37="","",-FV('Part III A-Sources of Funds'!$J$37/12,12,F89/12,E101))</f>
        <v>0</v>
      </c>
      <c r="G101" s="1591">
        <f>IF('Part III A-Sources of Funds'!$H$37="","",-FV('Part III A-Sources of Funds'!$J$37/12,12,G89/12,F101))</f>
        <v>0</v>
      </c>
      <c r="H101" s="1591">
        <f>IF('Part III A-Sources of Funds'!$H$37="","",-FV('Part III A-Sources of Funds'!$J$37/12,12,H89/12,G101))</f>
        <v>0</v>
      </c>
      <c r="I101" s="1591">
        <f>IF('Part III A-Sources of Funds'!$H$37="","",-FV('Part III A-Sources of Funds'!$J$37/12,12,I89/12,H101))</f>
        <v>0</v>
      </c>
      <c r="J101" s="1591">
        <f>IF('Part III A-Sources of Funds'!$H$37="","",-FV('Part III A-Sources of Funds'!$J$37/12,12,J89/12,I101))</f>
        <v>0</v>
      </c>
      <c r="K101" s="1591">
        <f>IF('Part III A-Sources of Funds'!$H$37="","",-FV('Part III A-Sources of Funds'!$J$37/12,12,K89/12,J101))</f>
        <v>0</v>
      </c>
      <c r="M101" s="1485"/>
      <c r="N101" s="148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3"/>
      <c r="B106" s="1593"/>
      <c r="C106" s="1593"/>
      <c r="D106" s="1593"/>
      <c r="E106" s="1593"/>
      <c r="F106" s="1594"/>
      <c r="G106" s="1366"/>
      <c r="H106" s="1593"/>
      <c r="I106" s="1593"/>
      <c r="J106" s="1593"/>
      <c r="K106" s="1594"/>
      <c r="M106" s="987" t="s">
        <v>3966</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rintOptions horizontalCentered="1"/>
  <pageMargins left="0.25" right="0.25" top="0.55000000000000004" bottom="0.38" header="0.25" footer="0.19"/>
  <pageSetup scale="96"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3" manualBreakCount="3">
    <brk id="42" max="16383" man="1"/>
    <brk id="72" max="16383" man="1"/>
    <brk id="103" max="16383" man="1"/>
  </rowBreak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IV700"/>
  <sheetViews>
    <sheetView showGridLines="0" showZeros="0" zoomScale="77" zoomScaleNormal="77" zoomScaleSheetLayoutView="40" zoomScalePageLayoutView="200" workbookViewId="0">
      <selection sqref="A1:XFD1048576"/>
    </sheetView>
  </sheetViews>
  <sheetFormatPr defaultColWidth="9.140625" defaultRowHeight="12.75"/>
  <cols>
    <col min="1" max="1" width="3" style="43" customWidth="1"/>
    <col min="2" max="2" width="2.42578125" style="43" customWidth="1"/>
    <col min="3" max="3" width="2.28515625" style="43" customWidth="1"/>
    <col min="4" max="10" width="8.7109375" style="43" customWidth="1"/>
    <col min="11" max="11" width="7.42578125" style="43" customWidth="1"/>
    <col min="12" max="15" width="9.28515625" style="43" customWidth="1"/>
    <col min="16" max="16" width="8.71093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2012-018 Poplar Pointe, Hiram, Paulding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2710</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4" customHeight="1">
      <c r="A7" s="175" t="s">
        <v>340</v>
      </c>
      <c r="C7" s="176"/>
      <c r="D7" s="176"/>
    </row>
    <row r="8" spans="1:32" ht="24.4" customHeight="1">
      <c r="A8" s="1152" t="s">
        <v>1982</v>
      </c>
      <c r="B8" s="1153"/>
      <c r="C8" s="1153"/>
      <c r="D8" s="1153"/>
      <c r="E8" s="1153"/>
      <c r="F8" s="1153"/>
      <c r="G8" s="1153"/>
      <c r="H8" s="1153"/>
      <c r="I8" s="1153"/>
      <c r="J8" s="1153"/>
      <c r="K8" s="1153"/>
      <c r="L8" s="1153"/>
      <c r="M8" s="1153"/>
      <c r="N8" s="1153"/>
      <c r="O8" s="1153"/>
      <c r="P8" s="1153"/>
      <c r="Q8" s="1154"/>
      <c r="R8" s="1129" t="s">
        <v>2912</v>
      </c>
      <c r="S8" s="886"/>
    </row>
    <row r="9" spans="1:32" ht="24.4" customHeight="1">
      <c r="A9" s="1140" t="s">
        <v>270</v>
      </c>
      <c r="B9" s="1141"/>
      <c r="C9" s="1141"/>
      <c r="D9" s="1141"/>
      <c r="E9" s="1141"/>
      <c r="F9" s="1141"/>
      <c r="G9" s="1141"/>
      <c r="H9" s="1141"/>
      <c r="I9" s="1141"/>
      <c r="J9" s="1141"/>
      <c r="K9" s="1141"/>
      <c r="L9" s="1141"/>
      <c r="M9" s="1141"/>
      <c r="N9" s="1141"/>
      <c r="O9" s="1141"/>
      <c r="P9" s="1141"/>
      <c r="Q9" s="1142"/>
      <c r="R9" s="1129"/>
      <c r="S9" s="886"/>
    </row>
    <row r="10" spans="1:32" ht="24.4"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4"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4"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4"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4" customHeight="1">
      <c r="A14" s="1140" t="s">
        <v>1983</v>
      </c>
      <c r="B14" s="1141"/>
      <c r="C14" s="1141"/>
      <c r="D14" s="1141"/>
      <c r="E14" s="1141"/>
      <c r="F14" s="1141"/>
      <c r="G14" s="1141"/>
      <c r="H14" s="1141"/>
      <c r="I14" s="1141"/>
      <c r="J14" s="1141"/>
      <c r="K14" s="1141"/>
      <c r="L14" s="1141"/>
      <c r="M14" s="1141"/>
      <c r="N14" s="1141"/>
      <c r="O14" s="1141"/>
      <c r="P14" s="1141"/>
      <c r="Q14" s="1142"/>
    </row>
    <row r="15" spans="1:32" ht="24.4" customHeight="1">
      <c r="A15" s="1140" t="s">
        <v>2899</v>
      </c>
      <c r="B15" s="1141"/>
      <c r="C15" s="1141"/>
      <c r="D15" s="1141"/>
      <c r="E15" s="1141"/>
      <c r="F15" s="1141"/>
      <c r="G15" s="1141"/>
      <c r="H15" s="1141"/>
      <c r="I15" s="1141"/>
      <c r="J15" s="1141"/>
      <c r="K15" s="1141"/>
      <c r="L15" s="1141"/>
      <c r="M15" s="1141"/>
      <c r="N15" s="1141"/>
      <c r="O15" s="1141"/>
      <c r="P15" s="1141"/>
      <c r="Q15" s="1142"/>
      <c r="R15" s="886" t="s">
        <v>2912</v>
      </c>
      <c r="S15" s="886"/>
    </row>
    <row r="16" spans="1:32" ht="24.4" customHeight="1">
      <c r="A16" s="1140" t="s">
        <v>2900</v>
      </c>
      <c r="B16" s="1141"/>
      <c r="C16" s="1141"/>
      <c r="D16" s="1141"/>
      <c r="E16" s="1141"/>
      <c r="F16" s="1141"/>
      <c r="G16" s="1141"/>
      <c r="H16" s="1141"/>
      <c r="I16" s="1141"/>
      <c r="J16" s="1141"/>
      <c r="K16" s="1141"/>
      <c r="L16" s="1141"/>
      <c r="M16" s="1141"/>
      <c r="N16" s="1141"/>
      <c r="O16" s="1141"/>
      <c r="P16" s="1141"/>
      <c r="Q16" s="1142"/>
      <c r="R16" s="886"/>
      <c r="S16" s="886"/>
    </row>
    <row r="17" spans="1:19" ht="24.4" customHeight="1">
      <c r="A17" s="1140" t="s">
        <v>2901</v>
      </c>
      <c r="B17" s="1141"/>
      <c r="C17" s="1141"/>
      <c r="D17" s="1141"/>
      <c r="E17" s="1141"/>
      <c r="F17" s="1141"/>
      <c r="G17" s="1141"/>
      <c r="H17" s="1141"/>
      <c r="I17" s="1141"/>
      <c r="J17" s="1141"/>
      <c r="K17" s="1141"/>
      <c r="L17" s="1141"/>
      <c r="M17" s="1141"/>
      <c r="N17" s="1141"/>
      <c r="O17" s="1141"/>
      <c r="P17" s="1141"/>
      <c r="Q17" s="1142"/>
      <c r="R17" s="886"/>
      <c r="S17" s="886"/>
    </row>
    <row r="18" spans="1:19" ht="24.4" customHeight="1">
      <c r="A18" s="1140" t="s">
        <v>2902</v>
      </c>
      <c r="B18" s="1141"/>
      <c r="C18" s="1141"/>
      <c r="D18" s="1141"/>
      <c r="E18" s="1141"/>
      <c r="F18" s="1141"/>
      <c r="G18" s="1141"/>
      <c r="H18" s="1141"/>
      <c r="I18" s="1141"/>
      <c r="J18" s="1141"/>
      <c r="K18" s="1141"/>
      <c r="L18" s="1141"/>
      <c r="M18" s="1141"/>
      <c r="N18" s="1141"/>
      <c r="O18" s="1141"/>
      <c r="P18" s="1141"/>
      <c r="Q18" s="1142"/>
      <c r="R18" s="886"/>
      <c r="S18" s="886"/>
    </row>
    <row r="19" spans="1:19" ht="24.4" customHeight="1">
      <c r="A19" s="1140" t="s">
        <v>2903</v>
      </c>
      <c r="B19" s="1141"/>
      <c r="C19" s="1141"/>
      <c r="D19" s="1141"/>
      <c r="E19" s="1141"/>
      <c r="F19" s="1141"/>
      <c r="G19" s="1141"/>
      <c r="H19" s="1141"/>
      <c r="I19" s="1141"/>
      <c r="J19" s="1141"/>
      <c r="K19" s="1141"/>
      <c r="L19" s="1141"/>
      <c r="M19" s="1141"/>
      <c r="N19" s="1141"/>
      <c r="O19" s="1141"/>
      <c r="P19" s="1141"/>
      <c r="Q19" s="1142"/>
      <c r="R19" s="825"/>
      <c r="S19" s="825"/>
    </row>
    <row r="20" spans="1:19" ht="24.4" customHeight="1">
      <c r="A20" s="1140" t="s">
        <v>2904</v>
      </c>
      <c r="B20" s="1141"/>
      <c r="C20" s="1141"/>
      <c r="D20" s="1141"/>
      <c r="E20" s="1141"/>
      <c r="F20" s="1141"/>
      <c r="G20" s="1141"/>
      <c r="H20" s="1141"/>
      <c r="I20" s="1141"/>
      <c r="J20" s="1141"/>
      <c r="K20" s="1141"/>
      <c r="L20" s="1141"/>
      <c r="M20" s="1141"/>
      <c r="N20" s="1141"/>
      <c r="O20" s="1141"/>
      <c r="P20" s="1141"/>
      <c r="Q20" s="1142"/>
      <c r="R20" s="825"/>
      <c r="S20" s="825"/>
    </row>
    <row r="21" spans="1:19" ht="24.4" customHeight="1">
      <c r="A21" s="1140" t="s">
        <v>2905</v>
      </c>
      <c r="B21" s="1141"/>
      <c r="C21" s="1141"/>
      <c r="D21" s="1141"/>
      <c r="E21" s="1141"/>
      <c r="F21" s="1141"/>
      <c r="G21" s="1141"/>
      <c r="H21" s="1141"/>
      <c r="I21" s="1141"/>
      <c r="J21" s="1141"/>
      <c r="K21" s="1141"/>
      <c r="L21" s="1141"/>
      <c r="M21" s="1141"/>
      <c r="N21" s="1141"/>
      <c r="O21" s="1141"/>
      <c r="P21" s="1141"/>
      <c r="Q21" s="1142"/>
    </row>
    <row r="22" spans="1:19" ht="24.4" customHeight="1">
      <c r="A22" s="1140" t="s">
        <v>2906</v>
      </c>
      <c r="B22" s="1141"/>
      <c r="C22" s="1141"/>
      <c r="D22" s="1141"/>
      <c r="E22" s="1141"/>
      <c r="F22" s="1141"/>
      <c r="G22" s="1141"/>
      <c r="H22" s="1141"/>
      <c r="I22" s="1141"/>
      <c r="J22" s="1141"/>
      <c r="K22" s="1141"/>
      <c r="L22" s="1141"/>
      <c r="M22" s="1141"/>
      <c r="N22" s="1141"/>
      <c r="O22" s="1141"/>
      <c r="P22" s="1141"/>
      <c r="Q22" s="1142"/>
      <c r="R22" s="886" t="s">
        <v>2912</v>
      </c>
      <c r="S22" s="886"/>
    </row>
    <row r="23" spans="1:19" ht="24.4" customHeight="1">
      <c r="A23" s="1140" t="s">
        <v>2907</v>
      </c>
      <c r="B23" s="1141"/>
      <c r="C23" s="1141"/>
      <c r="D23" s="1141"/>
      <c r="E23" s="1141"/>
      <c r="F23" s="1141"/>
      <c r="G23" s="1141"/>
      <c r="H23" s="1141"/>
      <c r="I23" s="1141"/>
      <c r="J23" s="1141"/>
      <c r="K23" s="1141"/>
      <c r="L23" s="1141"/>
      <c r="M23" s="1141"/>
      <c r="N23" s="1141"/>
      <c r="O23" s="1141"/>
      <c r="P23" s="1141"/>
      <c r="Q23" s="1142"/>
      <c r="R23" s="886"/>
      <c r="S23" s="886"/>
    </row>
    <row r="24" spans="1:19" ht="24.4" customHeight="1">
      <c r="A24" s="1140" t="s">
        <v>2908</v>
      </c>
      <c r="B24" s="1141"/>
      <c r="C24" s="1141"/>
      <c r="D24" s="1141"/>
      <c r="E24" s="1141"/>
      <c r="F24" s="1141"/>
      <c r="G24" s="1141"/>
      <c r="H24" s="1141"/>
      <c r="I24" s="1141"/>
      <c r="J24" s="1141"/>
      <c r="K24" s="1141"/>
      <c r="L24" s="1141"/>
      <c r="M24" s="1141"/>
      <c r="N24" s="1141"/>
      <c r="O24" s="1141"/>
      <c r="P24" s="1141"/>
      <c r="Q24" s="1142"/>
      <c r="R24" s="886"/>
      <c r="S24" s="886"/>
    </row>
    <row r="25" spans="1:19" ht="24.4" customHeight="1">
      <c r="A25" s="1140" t="s">
        <v>2909</v>
      </c>
      <c r="B25" s="1141"/>
      <c r="C25" s="1141"/>
      <c r="D25" s="1141"/>
      <c r="E25" s="1141"/>
      <c r="F25" s="1141"/>
      <c r="G25" s="1141"/>
      <c r="H25" s="1141"/>
      <c r="I25" s="1141"/>
      <c r="J25" s="1141"/>
      <c r="K25" s="1141"/>
      <c r="L25" s="1141"/>
      <c r="M25" s="1141"/>
      <c r="N25" s="1141"/>
      <c r="O25" s="1141"/>
      <c r="P25" s="1141"/>
      <c r="Q25" s="1142"/>
      <c r="R25" s="886"/>
      <c r="S25" s="886"/>
    </row>
    <row r="26" spans="1:19" ht="24.4" customHeight="1">
      <c r="A26" s="1140" t="s">
        <v>2910</v>
      </c>
      <c r="B26" s="1141"/>
      <c r="C26" s="1141"/>
      <c r="D26" s="1141"/>
      <c r="E26" s="1141"/>
      <c r="F26" s="1141"/>
      <c r="G26" s="1141"/>
      <c r="H26" s="1141"/>
      <c r="I26" s="1141"/>
      <c r="J26" s="1141"/>
      <c r="K26" s="1141"/>
      <c r="L26" s="1141"/>
      <c r="M26" s="1141"/>
      <c r="N26" s="1141"/>
      <c r="O26" s="1141"/>
      <c r="P26" s="1141"/>
      <c r="Q26" s="1142"/>
      <c r="R26" s="825"/>
      <c r="S26" s="825"/>
    </row>
    <row r="27" spans="1:19" ht="24.4" customHeight="1">
      <c r="A27" s="1143" t="s">
        <v>2911</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3790</v>
      </c>
      <c r="C29" s="179"/>
      <c r="D29" s="115"/>
      <c r="E29" s="115"/>
      <c r="F29" s="115"/>
      <c r="G29" s="115"/>
      <c r="I29" s="180"/>
      <c r="J29" s="180"/>
      <c r="K29" s="180"/>
      <c r="L29" s="848"/>
      <c r="M29" s="848"/>
      <c r="O29" s="181" t="s">
        <v>2739</v>
      </c>
      <c r="P29" s="1114"/>
      <c r="Q29" s="1119"/>
    </row>
    <row r="30" spans="1:19" ht="3" customHeight="1"/>
    <row r="31" spans="1:19" ht="12" customHeight="1">
      <c r="B31" s="192" t="s">
        <v>2862</v>
      </c>
      <c r="C31" s="62" t="s">
        <v>3868</v>
      </c>
      <c r="E31" s="38"/>
      <c r="F31" s="38"/>
      <c r="G31" s="38"/>
      <c r="H31" s="38"/>
      <c r="I31" s="50"/>
      <c r="J31" s="40"/>
      <c r="K31" s="50"/>
      <c r="L31" s="40"/>
      <c r="M31" s="40"/>
      <c r="O31" s="79" t="s">
        <v>849</v>
      </c>
      <c r="P31" s="1595" t="s">
        <v>3984</v>
      </c>
      <c r="Q31" s="232"/>
    </row>
    <row r="32" spans="1:19" ht="12" customHeight="1">
      <c r="B32" s="55" t="s">
        <v>2865</v>
      </c>
      <c r="C32" s="62" t="s">
        <v>994</v>
      </c>
      <c r="E32" s="38"/>
      <c r="F32" s="38"/>
      <c r="G32" s="38"/>
      <c r="H32" s="38"/>
      <c r="J32" s="1596" t="s">
        <v>3050</v>
      </c>
      <c r="K32" s="1597"/>
      <c r="L32" s="1597"/>
      <c r="M32" s="1597"/>
      <c r="N32" s="1598"/>
      <c r="O32" s="79"/>
      <c r="P32" s="79"/>
      <c r="Q32" s="79"/>
    </row>
    <row r="33" spans="1:31" ht="11.25" customHeight="1">
      <c r="B33" s="80" t="s">
        <v>2737</v>
      </c>
      <c r="C33" s="80"/>
      <c r="D33" s="80"/>
      <c r="E33" s="80"/>
      <c r="F33" s="80"/>
      <c r="G33" s="180"/>
      <c r="H33" s="180"/>
      <c r="I33" s="180"/>
      <c r="J33" s="180"/>
      <c r="K33" s="848"/>
      <c r="L33" s="848"/>
      <c r="M33" s="848"/>
      <c r="N33" s="848"/>
      <c r="O33" s="848"/>
      <c r="P33" s="60"/>
      <c r="S33" s="215"/>
      <c r="T33" s="215"/>
    </row>
    <row r="34" spans="1:31" ht="12" customHeight="1">
      <c r="A34" s="1599"/>
      <c r="B34" s="1600"/>
      <c r="C34" s="1600"/>
      <c r="D34" s="1600"/>
      <c r="E34" s="1600"/>
      <c r="F34" s="1600"/>
      <c r="G34" s="1600"/>
      <c r="H34" s="1600"/>
      <c r="I34" s="1600"/>
      <c r="J34" s="1600"/>
      <c r="K34" s="1600"/>
      <c r="L34" s="1600"/>
      <c r="M34" s="1600"/>
      <c r="N34" s="1600"/>
      <c r="O34" s="1600"/>
      <c r="P34" s="1600"/>
      <c r="Q34" s="1601"/>
      <c r="R34" s="736" t="s">
        <v>1806</v>
      </c>
      <c r="S34" s="737"/>
      <c r="T34" s="215"/>
      <c r="U34" s="186"/>
      <c r="V34" s="186"/>
      <c r="W34" s="186"/>
      <c r="X34" s="186"/>
      <c r="Y34" s="186"/>
      <c r="Z34" s="186"/>
      <c r="AA34" s="186"/>
      <c r="AB34" s="186"/>
      <c r="AC34" s="186"/>
      <c r="AD34" s="186"/>
      <c r="AE34" s="805"/>
    </row>
    <row r="35" spans="1:31" ht="11.25" customHeight="1">
      <c r="B35" s="187" t="s">
        <v>2738</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2739</v>
      </c>
      <c r="P41" s="1114"/>
      <c r="Q41" s="1119"/>
    </row>
    <row r="42" spans="1:31" ht="3" customHeight="1"/>
    <row r="43" spans="1:31" ht="11.65" customHeight="1">
      <c r="A43" s="189"/>
      <c r="C43" s="190" t="s">
        <v>108</v>
      </c>
      <c r="D43" s="190"/>
      <c r="E43" s="190"/>
      <c r="F43" s="190"/>
      <c r="G43" s="190"/>
      <c r="H43" s="190"/>
      <c r="J43" s="1602" t="str">
        <f>'Part I-Project Information'!$H$65</f>
        <v>HFOP</v>
      </c>
      <c r="K43" s="1603"/>
      <c r="L43" s="1604"/>
      <c r="M43" s="856"/>
      <c r="N43" s="856"/>
      <c r="P43" s="1595" t="s">
        <v>3976</v>
      </c>
      <c r="Q43" s="232"/>
    </row>
    <row r="44" spans="1:31" ht="11.25" customHeight="1">
      <c r="B44" s="127" t="s">
        <v>2737</v>
      </c>
      <c r="D44" s="127"/>
      <c r="E44" s="127"/>
      <c r="F44" s="127"/>
      <c r="G44" s="127"/>
      <c r="H44" s="48"/>
      <c r="I44" s="180"/>
      <c r="J44" s="180"/>
      <c r="K44" s="187" t="s">
        <v>2738</v>
      </c>
      <c r="L44" s="848"/>
      <c r="M44" s="848"/>
      <c r="N44" s="848"/>
      <c r="O44" s="848"/>
      <c r="P44" s="848"/>
      <c r="Q44" s="60"/>
    </row>
    <row r="45" spans="1:31" ht="11.65" customHeight="1">
      <c r="A45" s="1599"/>
      <c r="B45" s="1600"/>
      <c r="C45" s="1600"/>
      <c r="D45" s="1600"/>
      <c r="E45" s="1600"/>
      <c r="F45" s="1600"/>
      <c r="G45" s="1600"/>
      <c r="H45" s="1600"/>
      <c r="I45" s="1600"/>
      <c r="J45" s="1601"/>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3791</v>
      </c>
      <c r="C47" s="154"/>
      <c r="D47" s="856"/>
      <c r="E47" s="856"/>
      <c r="F47" s="856"/>
      <c r="G47" s="856"/>
      <c r="H47" s="856"/>
      <c r="I47" s="856"/>
      <c r="J47" s="856"/>
      <c r="K47" s="856"/>
      <c r="L47" s="856"/>
      <c r="M47" s="856"/>
      <c r="O47" s="181" t="s">
        <v>2739</v>
      </c>
      <c r="P47" s="1114"/>
      <c r="Q47" s="1119"/>
    </row>
    <row r="48" spans="1:31" ht="3" customHeight="1"/>
    <row r="49" spans="1:31" ht="12.4" customHeight="1">
      <c r="B49" s="192" t="s">
        <v>2862</v>
      </c>
      <c r="C49" s="1146" t="s">
        <v>373</v>
      </c>
      <c r="D49" s="1146"/>
      <c r="E49" s="1146"/>
      <c r="F49" s="1146"/>
      <c r="G49" s="1146"/>
      <c r="H49" s="1146"/>
      <c r="I49" s="1146"/>
      <c r="J49" s="1146"/>
      <c r="K49" s="1146"/>
      <c r="L49" s="1146"/>
      <c r="M49" s="1146"/>
      <c r="O49" s="193"/>
      <c r="P49" s="1595" t="s">
        <v>4022</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95" t="s">
        <v>3976</v>
      </c>
      <c r="Q51" s="232"/>
    </row>
    <row r="52" spans="1:31" ht="10.9" customHeight="1">
      <c r="A52" s="194"/>
      <c r="B52" s="50"/>
      <c r="C52" s="79" t="s">
        <v>2591</v>
      </c>
      <c r="D52" s="38" t="s">
        <v>2669</v>
      </c>
      <c r="E52" s="853"/>
      <c r="F52" s="853"/>
      <c r="G52" s="853"/>
      <c r="H52" s="40"/>
      <c r="I52" s="50"/>
      <c r="J52" s="50"/>
      <c r="O52" s="79" t="s">
        <v>2591</v>
      </c>
      <c r="P52" s="1595" t="s">
        <v>3976</v>
      </c>
      <c r="Q52" s="232"/>
    </row>
    <row r="53" spans="1:31" ht="10.9" customHeight="1">
      <c r="A53" s="194"/>
      <c r="B53" s="50"/>
      <c r="C53" s="79" t="s">
        <v>2592</v>
      </c>
      <c r="D53" s="38" t="s">
        <v>374</v>
      </c>
      <c r="E53" s="853"/>
      <c r="J53" s="79"/>
      <c r="K53" s="79" t="s">
        <v>2592</v>
      </c>
      <c r="L53" s="1605"/>
      <c r="M53" s="1606"/>
      <c r="N53" s="1606"/>
      <c r="O53" s="1606"/>
      <c r="P53" s="1607"/>
      <c r="Q53" s="232"/>
    </row>
    <row r="54" spans="1:31" ht="11.25" customHeight="1">
      <c r="B54" s="127" t="s">
        <v>2737</v>
      </c>
      <c r="D54" s="127"/>
      <c r="E54" s="127"/>
      <c r="F54" s="127"/>
      <c r="G54" s="127"/>
      <c r="H54" s="48"/>
      <c r="I54" s="180"/>
      <c r="J54" s="180"/>
      <c r="K54" s="180"/>
      <c r="L54" s="848"/>
      <c r="M54" s="848"/>
      <c r="N54" s="848"/>
      <c r="O54" s="848"/>
      <c r="P54" s="848"/>
      <c r="Q54" s="60"/>
    </row>
    <row r="55" spans="1:31" ht="12" customHeight="1">
      <c r="A55" s="1599"/>
      <c r="B55" s="1600"/>
      <c r="C55" s="1600"/>
      <c r="D55" s="1600"/>
      <c r="E55" s="1600"/>
      <c r="F55" s="1600"/>
      <c r="G55" s="1600"/>
      <c r="H55" s="1600"/>
      <c r="I55" s="1600"/>
      <c r="J55" s="1600"/>
      <c r="K55" s="1600"/>
      <c r="L55" s="1600"/>
      <c r="M55" s="1600"/>
      <c r="N55" s="1600"/>
      <c r="O55" s="1600"/>
      <c r="P55" s="1600"/>
      <c r="Q55" s="1601"/>
      <c r="U55" s="186"/>
      <c r="V55" s="186"/>
      <c r="W55" s="186"/>
      <c r="X55" s="186"/>
      <c r="Y55" s="186"/>
      <c r="Z55" s="186"/>
      <c r="AA55" s="186"/>
      <c r="AB55" s="186"/>
      <c r="AC55" s="186"/>
      <c r="AD55" s="186"/>
      <c r="AE55" s="805"/>
    </row>
    <row r="56" spans="1:31" ht="11.25" customHeight="1">
      <c r="B56" s="187" t="s">
        <v>2738</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3792</v>
      </c>
      <c r="C59" s="857"/>
      <c r="D59" s="856"/>
      <c r="E59" s="856"/>
      <c r="F59" s="856"/>
      <c r="G59" s="856"/>
      <c r="H59" s="856"/>
      <c r="I59" s="856"/>
      <c r="J59" s="856"/>
      <c r="K59" s="856"/>
      <c r="O59" s="181" t="s">
        <v>2739</v>
      </c>
      <c r="P59" s="1114"/>
      <c r="Q59" s="1119"/>
    </row>
    <row r="60" spans="1:31" ht="3" customHeight="1"/>
    <row r="61" spans="1:31" ht="12" customHeight="1">
      <c r="B61" s="55" t="s">
        <v>2862</v>
      </c>
      <c r="C61" s="195" t="s">
        <v>3462</v>
      </c>
      <c r="D61" s="183"/>
      <c r="E61" s="183"/>
      <c r="F61" s="183"/>
      <c r="G61" s="183"/>
      <c r="H61" s="183"/>
      <c r="I61" s="50"/>
      <c r="J61" s="50"/>
      <c r="K61" s="50"/>
      <c r="L61" s="803" t="s">
        <v>2862</v>
      </c>
      <c r="M61" s="1605" t="s">
        <v>4023</v>
      </c>
      <c r="N61" s="1606"/>
      <c r="O61" s="1606"/>
      <c r="P61" s="1608"/>
      <c r="Q61" s="232"/>
    </row>
    <row r="62" spans="1:31" ht="12" customHeight="1">
      <c r="B62" s="55" t="s">
        <v>2865</v>
      </c>
      <c r="C62" s="62" t="s">
        <v>2918</v>
      </c>
      <c r="D62" s="183"/>
      <c r="E62" s="183"/>
      <c r="F62" s="183"/>
      <c r="L62" s="803" t="s">
        <v>2865</v>
      </c>
      <c r="M62" s="1605" t="s">
        <v>4068</v>
      </c>
      <c r="N62" s="1606"/>
      <c r="O62" s="1606"/>
      <c r="P62" s="1608"/>
      <c r="Q62" s="232"/>
    </row>
    <row r="63" spans="1:31" ht="12" customHeight="1">
      <c r="B63" s="55" t="s">
        <v>1145</v>
      </c>
      <c r="C63" s="62" t="s">
        <v>3463</v>
      </c>
      <c r="D63" s="183"/>
      <c r="E63" s="183"/>
      <c r="F63" s="183"/>
      <c r="L63" s="803" t="s">
        <v>1145</v>
      </c>
      <c r="M63" s="1605" t="s">
        <v>4068</v>
      </c>
      <c r="N63" s="1606"/>
      <c r="O63" s="1606"/>
      <c r="P63" s="1608"/>
      <c r="Q63" s="352"/>
    </row>
    <row r="64" spans="1:31" ht="12" customHeight="1">
      <c r="B64" s="55" t="s">
        <v>3004</v>
      </c>
      <c r="C64" s="62" t="s">
        <v>3464</v>
      </c>
      <c r="D64" s="183"/>
      <c r="E64" s="183"/>
      <c r="F64" s="183"/>
      <c r="L64" s="803" t="s">
        <v>3004</v>
      </c>
      <c r="M64" s="1605" t="s">
        <v>4079</v>
      </c>
      <c r="N64" s="1606"/>
      <c r="O64" s="1606"/>
      <c r="P64" s="1608"/>
      <c r="Q64" s="232"/>
    </row>
    <row r="65" spans="1:31" ht="22.15" customHeight="1">
      <c r="B65" s="192" t="s">
        <v>2588</v>
      </c>
      <c r="C65" s="1118" t="s">
        <v>3869</v>
      </c>
      <c r="D65" s="1118"/>
      <c r="E65" s="1118"/>
      <c r="F65" s="1118"/>
      <c r="G65" s="1118"/>
      <c r="H65" s="1118"/>
      <c r="I65" s="1118"/>
      <c r="J65" s="1118"/>
      <c r="K65" s="1118"/>
      <c r="L65" s="1118"/>
      <c r="M65" s="853"/>
      <c r="O65" s="803" t="s">
        <v>2588</v>
      </c>
      <c r="P65" s="1595"/>
      <c r="Q65" s="232"/>
    </row>
    <row r="66" spans="1:31" ht="12" customHeight="1">
      <c r="B66" s="55"/>
      <c r="C66" s="62"/>
      <c r="D66" s="821" t="s">
        <v>3351</v>
      </c>
      <c r="E66" s="38" t="s">
        <v>874</v>
      </c>
      <c r="F66" s="38"/>
      <c r="H66" s="62"/>
      <c r="I66" s="821" t="s">
        <v>3351</v>
      </c>
      <c r="J66" s="38" t="s">
        <v>874</v>
      </c>
      <c r="K66" s="38"/>
      <c r="M66" s="62"/>
      <c r="N66" s="821" t="s">
        <v>3351</v>
      </c>
      <c r="O66" s="38" t="s">
        <v>874</v>
      </c>
      <c r="P66" s="38"/>
      <c r="Q66" s="803"/>
    </row>
    <row r="67" spans="1:31" ht="12" customHeight="1">
      <c r="B67" s="55"/>
      <c r="C67" s="62">
        <v>1</v>
      </c>
      <c r="D67" s="1609"/>
      <c r="E67" s="1610"/>
      <c r="F67" s="1610"/>
      <c r="G67" s="1610"/>
      <c r="H67" s="62">
        <v>3</v>
      </c>
      <c r="I67" s="1609"/>
      <c r="J67" s="1610"/>
      <c r="K67" s="1610"/>
      <c r="L67" s="1610"/>
      <c r="M67" s="62">
        <v>5</v>
      </c>
      <c r="N67" s="1609"/>
      <c r="O67" s="1610"/>
      <c r="P67" s="1610"/>
      <c r="Q67" s="1610"/>
    </row>
    <row r="68" spans="1:31" ht="12" customHeight="1">
      <c r="B68" s="55"/>
      <c r="C68" s="62">
        <v>2</v>
      </c>
      <c r="D68" s="1609"/>
      <c r="E68" s="1610"/>
      <c r="F68" s="1610"/>
      <c r="G68" s="1610"/>
      <c r="H68" s="62">
        <v>4</v>
      </c>
      <c r="I68" s="1609"/>
      <c r="J68" s="1610"/>
      <c r="K68" s="1610"/>
      <c r="L68" s="1610"/>
      <c r="M68" s="62">
        <v>6</v>
      </c>
      <c r="N68" s="1609"/>
      <c r="O68" s="1610"/>
      <c r="P68" s="1610"/>
      <c r="Q68" s="1610"/>
    </row>
    <row r="69" spans="1:31" ht="12" customHeight="1">
      <c r="B69" s="55" t="s">
        <v>2589</v>
      </c>
      <c r="C69" s="62" t="s">
        <v>0</v>
      </c>
      <c r="D69" s="183"/>
      <c r="E69" s="183"/>
      <c r="F69" s="183"/>
      <c r="G69" s="183"/>
      <c r="H69" s="183"/>
      <c r="I69" s="50"/>
      <c r="J69" s="50"/>
      <c r="K69" s="183"/>
      <c r="L69" s="853"/>
      <c r="M69" s="853"/>
      <c r="O69" s="803" t="s">
        <v>2589</v>
      </c>
      <c r="P69" s="1611" t="s">
        <v>3976</v>
      </c>
      <c r="Q69" s="352"/>
    </row>
    <row r="70" spans="1:31" ht="11.25" customHeight="1">
      <c r="B70" s="191" t="s">
        <v>2737</v>
      </c>
      <c r="D70" s="191"/>
      <c r="E70" s="191"/>
      <c r="F70" s="191"/>
      <c r="G70" s="191"/>
      <c r="H70" s="48"/>
      <c r="I70" s="180"/>
      <c r="J70" s="180"/>
      <c r="K70" s="180"/>
      <c r="L70" s="848"/>
      <c r="M70" s="848"/>
      <c r="N70" s="848"/>
      <c r="O70" s="848"/>
      <c r="P70" s="848"/>
      <c r="Q70" s="60"/>
    </row>
    <row r="71" spans="1:31" ht="22.9" customHeight="1">
      <c r="A71" s="1599"/>
      <c r="B71" s="1600"/>
      <c r="C71" s="1600"/>
      <c r="D71" s="1600"/>
      <c r="E71" s="1600"/>
      <c r="F71" s="1600"/>
      <c r="G71" s="1600"/>
      <c r="H71" s="1600"/>
      <c r="I71" s="1600"/>
      <c r="J71" s="1600"/>
      <c r="K71" s="1600"/>
      <c r="L71" s="1600"/>
      <c r="M71" s="1600"/>
      <c r="N71" s="1600"/>
      <c r="O71" s="1600"/>
      <c r="P71" s="1600"/>
      <c r="Q71" s="1601"/>
      <c r="U71" s="186"/>
      <c r="V71" s="186"/>
      <c r="W71" s="186"/>
      <c r="X71" s="186"/>
      <c r="Y71" s="186"/>
      <c r="Z71" s="186"/>
      <c r="AA71" s="186"/>
      <c r="AB71" s="186"/>
      <c r="AC71" s="186"/>
      <c r="AD71" s="186"/>
      <c r="AE71" s="805"/>
    </row>
    <row r="72" spans="1:31" ht="11.25" customHeight="1">
      <c r="B72" s="187" t="s">
        <v>2738</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3793</v>
      </c>
      <c r="C74" s="857"/>
      <c r="D74" s="856"/>
      <c r="E74" s="856"/>
      <c r="F74" s="856"/>
      <c r="G74" s="856"/>
      <c r="H74" s="856"/>
      <c r="I74" s="856"/>
      <c r="J74" s="856"/>
      <c r="K74" s="856"/>
      <c r="L74" s="856"/>
      <c r="M74" s="856"/>
      <c r="O74" s="181" t="s">
        <v>2739</v>
      </c>
      <c r="P74" s="1114"/>
      <c r="Q74" s="1119"/>
    </row>
    <row r="75" spans="1:31" ht="3" customHeight="1"/>
    <row r="76" spans="1:31" ht="12" customHeight="1">
      <c r="B76" s="55" t="s">
        <v>2862</v>
      </c>
      <c r="C76" s="62" t="s">
        <v>684</v>
      </c>
      <c r="D76" s="62"/>
      <c r="E76" s="62"/>
      <c r="F76" s="62"/>
      <c r="G76" s="62"/>
      <c r="H76" s="62"/>
      <c r="I76" s="62"/>
      <c r="J76" s="62"/>
      <c r="K76" s="62"/>
      <c r="L76" s="62"/>
      <c r="M76" s="62"/>
      <c r="O76" s="803" t="s">
        <v>2862</v>
      </c>
      <c r="P76" s="1595" t="s">
        <v>3976</v>
      </c>
      <c r="Q76" s="232"/>
    </row>
    <row r="77" spans="1:31" ht="12" customHeight="1">
      <c r="B77" s="55" t="s">
        <v>2865</v>
      </c>
      <c r="C77" s="62" t="s">
        <v>1871</v>
      </c>
      <c r="D77" s="62"/>
      <c r="E77" s="62"/>
      <c r="F77" s="62"/>
      <c r="G77" s="62"/>
      <c r="H77" s="62"/>
      <c r="I77" s="62"/>
      <c r="J77" s="62"/>
      <c r="K77" s="62"/>
      <c r="L77" s="38"/>
      <c r="M77" s="38"/>
      <c r="O77" s="803" t="s">
        <v>2865</v>
      </c>
      <c r="P77" s="1595" t="s">
        <v>3984</v>
      </c>
      <c r="Q77" s="232"/>
    </row>
    <row r="78" spans="1:31" ht="12" customHeight="1">
      <c r="A78" s="182"/>
      <c r="B78" s="44"/>
      <c r="D78" s="47" t="s">
        <v>790</v>
      </c>
      <c r="E78" s="50"/>
      <c r="F78" s="50"/>
      <c r="G78" s="50"/>
      <c r="H78" s="50"/>
      <c r="I78" s="50"/>
      <c r="K78" s="47" t="s">
        <v>791</v>
      </c>
      <c r="M78" s="1612"/>
      <c r="N78" s="1613"/>
      <c r="O78" s="1613"/>
      <c r="P78" s="1614"/>
      <c r="Q78" s="232"/>
    </row>
    <row r="79" spans="1:31" ht="22.9" customHeight="1">
      <c r="A79" s="194"/>
      <c r="B79" s="180"/>
      <c r="C79" s="201" t="s">
        <v>2590</v>
      </c>
      <c r="D79" s="1097" t="s">
        <v>638</v>
      </c>
      <c r="E79" s="1615"/>
      <c r="F79" s="1615"/>
      <c r="G79" s="1615"/>
      <c r="H79" s="1615"/>
      <c r="I79" s="1615"/>
      <c r="J79" s="1615"/>
      <c r="K79" s="1615"/>
      <c r="L79" s="1615"/>
      <c r="M79" s="1615"/>
      <c r="N79" s="1615"/>
      <c r="O79" s="201" t="s">
        <v>2590</v>
      </c>
      <c r="P79" s="1595"/>
      <c r="Q79" s="232"/>
    </row>
    <row r="80" spans="1:31" ht="12" customHeight="1">
      <c r="A80" s="194"/>
      <c r="B80" s="180"/>
      <c r="C80" s="79" t="s">
        <v>2591</v>
      </c>
      <c r="D80" s="62" t="s">
        <v>171</v>
      </c>
      <c r="E80" s="62"/>
      <c r="F80" s="62"/>
      <c r="G80" s="62"/>
      <c r="H80" s="62"/>
      <c r="I80" s="62"/>
      <c r="J80" s="62"/>
      <c r="K80" s="62"/>
      <c r="L80" s="62"/>
      <c r="M80" s="62"/>
      <c r="O80" s="79" t="s">
        <v>2591</v>
      </c>
      <c r="P80" s="1595"/>
      <c r="Q80" s="232"/>
    </row>
    <row r="81" spans="1:32" s="182" customFormat="1" ht="24.75" customHeight="1">
      <c r="A81" s="194"/>
      <c r="B81" s="711"/>
      <c r="C81" s="201" t="s">
        <v>2592</v>
      </c>
      <c r="D81" s="1118" t="s">
        <v>3944</v>
      </c>
      <c r="E81" s="1118"/>
      <c r="F81" s="1118"/>
      <c r="G81" s="1118"/>
      <c r="H81" s="1118"/>
      <c r="I81" s="1118"/>
      <c r="J81" s="1118"/>
      <c r="K81" s="1118"/>
      <c r="L81" s="1118"/>
      <c r="M81" s="1118"/>
      <c r="N81" s="1118"/>
      <c r="O81" s="201" t="s">
        <v>2592</v>
      </c>
      <c r="P81" s="1616"/>
      <c r="Q81" s="354"/>
      <c r="AE81" s="806"/>
      <c r="AF81" s="806"/>
    </row>
    <row r="82" spans="1:32" ht="12" customHeight="1">
      <c r="B82" s="55" t="s">
        <v>1145</v>
      </c>
      <c r="C82" s="62" t="s">
        <v>173</v>
      </c>
      <c r="D82" s="62"/>
      <c r="E82" s="62"/>
      <c r="F82" s="62"/>
      <c r="G82" s="62"/>
      <c r="H82" s="62"/>
      <c r="I82" s="62"/>
      <c r="J82" s="62"/>
      <c r="K82" s="62"/>
      <c r="L82" s="62"/>
      <c r="M82" s="62"/>
      <c r="O82" s="803" t="s">
        <v>1145</v>
      </c>
      <c r="P82" s="1595"/>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95" t="s">
        <v>3984</v>
      </c>
      <c r="Q84" s="232"/>
    </row>
    <row r="85" spans="1:32" ht="12" customHeight="1">
      <c r="B85" s="55"/>
      <c r="C85" s="79" t="s">
        <v>2591</v>
      </c>
      <c r="D85" s="62" t="s">
        <v>2011</v>
      </c>
      <c r="E85" s="62"/>
      <c r="F85" s="62"/>
      <c r="G85" s="62"/>
      <c r="H85" s="62"/>
      <c r="I85" s="62"/>
      <c r="J85" s="62"/>
      <c r="K85" s="62"/>
      <c r="L85" s="38"/>
      <c r="M85" s="38"/>
      <c r="O85" s="79" t="s">
        <v>2591</v>
      </c>
      <c r="P85" s="1595" t="s">
        <v>3984</v>
      </c>
      <c r="Q85" s="232"/>
    </row>
    <row r="86" spans="1:32" ht="12" customHeight="1">
      <c r="B86" s="55"/>
      <c r="C86" s="79" t="s">
        <v>2592</v>
      </c>
      <c r="D86" s="62" t="s">
        <v>2012</v>
      </c>
      <c r="E86" s="62"/>
      <c r="F86" s="62"/>
      <c r="G86" s="62"/>
      <c r="H86" s="62"/>
      <c r="I86" s="62"/>
      <c r="J86" s="62"/>
      <c r="K86" s="62"/>
      <c r="L86" s="38"/>
      <c r="M86" s="38"/>
      <c r="O86" s="79" t="s">
        <v>2592</v>
      </c>
      <c r="P86" s="1595" t="s">
        <v>3984</v>
      </c>
      <c r="Q86" s="232"/>
    </row>
    <row r="87" spans="1:32" ht="11.25" customHeight="1">
      <c r="B87" s="191" t="s">
        <v>2737</v>
      </c>
      <c r="D87" s="191"/>
      <c r="E87" s="191"/>
      <c r="F87" s="191"/>
      <c r="G87" s="191"/>
      <c r="H87" s="48"/>
      <c r="I87" s="180"/>
      <c r="J87" s="180"/>
      <c r="K87" s="180"/>
      <c r="L87" s="848"/>
      <c r="M87" s="848"/>
      <c r="N87" s="848"/>
      <c r="O87" s="848"/>
      <c r="P87" s="848"/>
      <c r="Q87" s="60"/>
    </row>
    <row r="88" spans="1:32" ht="13.15" customHeight="1">
      <c r="A88" s="1599" t="s">
        <v>4067</v>
      </c>
      <c r="B88" s="1600"/>
      <c r="C88" s="1600"/>
      <c r="D88" s="1600"/>
      <c r="E88" s="1600"/>
      <c r="F88" s="1600"/>
      <c r="G88" s="1600"/>
      <c r="H88" s="1600"/>
      <c r="I88" s="1600"/>
      <c r="J88" s="1600"/>
      <c r="K88" s="1600"/>
      <c r="L88" s="1600"/>
      <c r="M88" s="1600"/>
      <c r="N88" s="1600"/>
      <c r="O88" s="1600"/>
      <c r="P88" s="1600"/>
      <c r="Q88" s="1601"/>
      <c r="U88" s="186"/>
      <c r="V88" s="186"/>
      <c r="W88" s="186"/>
      <c r="X88" s="186"/>
      <c r="Y88" s="186"/>
      <c r="Z88" s="186"/>
      <c r="AA88" s="186"/>
      <c r="AB88" s="186"/>
      <c r="AC88" s="186"/>
      <c r="AD88" s="186"/>
      <c r="AE88" s="805"/>
    </row>
    <row r="89" spans="1:32" ht="11.25" customHeight="1">
      <c r="B89" s="187" t="s">
        <v>2738</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3794</v>
      </c>
      <c r="C92" s="48"/>
      <c r="D92" s="856"/>
      <c r="E92" s="856"/>
      <c r="F92" s="856"/>
      <c r="G92" s="856"/>
      <c r="H92" s="856"/>
      <c r="I92" s="856"/>
      <c r="J92" s="856"/>
      <c r="K92" s="856"/>
      <c r="L92" s="856"/>
      <c r="M92" s="856"/>
      <c r="O92" s="181" t="s">
        <v>2739</v>
      </c>
      <c r="P92" s="1114"/>
      <c r="Q92" s="1119"/>
    </row>
    <row r="93" spans="1:32" ht="6.4" customHeight="1"/>
    <row r="94" spans="1:32" ht="12" customHeight="1">
      <c r="B94" s="55" t="s">
        <v>2862</v>
      </c>
      <c r="C94" s="62" t="s">
        <v>3936</v>
      </c>
      <c r="D94" s="183"/>
      <c r="E94" s="183"/>
      <c r="F94" s="183"/>
      <c r="G94" s="183"/>
      <c r="H94" s="183"/>
      <c r="I94" s="50"/>
      <c r="J94" s="50"/>
      <c r="K94" s="50"/>
      <c r="L94" s="803" t="s">
        <v>2862</v>
      </c>
      <c r="M94" s="1605" t="s">
        <v>4059</v>
      </c>
      <c r="N94" s="1606"/>
      <c r="O94" s="1606"/>
      <c r="P94" s="1607"/>
      <c r="Q94" s="232"/>
    </row>
    <row r="95" spans="1:32" ht="12" customHeight="1">
      <c r="B95" s="55" t="s">
        <v>2865</v>
      </c>
      <c r="C95" s="62" t="s">
        <v>2141</v>
      </c>
      <c r="D95" s="183"/>
      <c r="E95" s="183"/>
      <c r="F95" s="183"/>
      <c r="G95" s="183"/>
      <c r="H95" s="183"/>
      <c r="I95" s="50"/>
      <c r="J95" s="50"/>
      <c r="K95" s="183"/>
      <c r="L95" s="183"/>
      <c r="M95" s="853"/>
      <c r="O95" s="803" t="s">
        <v>2865</v>
      </c>
      <c r="P95" s="1595" t="s">
        <v>3984</v>
      </c>
      <c r="Q95" s="352"/>
    </row>
    <row r="96" spans="1:32" ht="12" customHeight="1">
      <c r="B96" s="55" t="s">
        <v>1145</v>
      </c>
      <c r="C96" s="62" t="s">
        <v>186</v>
      </c>
      <c r="D96" s="183"/>
      <c r="E96" s="183"/>
      <c r="F96" s="183"/>
      <c r="G96" s="183"/>
      <c r="H96" s="183"/>
      <c r="I96" s="50"/>
      <c r="J96" s="50"/>
      <c r="K96" s="183"/>
      <c r="L96" s="853"/>
      <c r="M96" s="853"/>
      <c r="O96" s="803" t="s">
        <v>1145</v>
      </c>
      <c r="P96" s="1595" t="s">
        <v>3976</v>
      </c>
      <c r="Q96" s="232"/>
    </row>
    <row r="97" spans="2:17" ht="12" customHeight="1">
      <c r="B97" s="55"/>
      <c r="C97" s="78" t="s">
        <v>2590</v>
      </c>
      <c r="D97" s="62" t="s">
        <v>3937</v>
      </c>
      <c r="E97" s="183"/>
      <c r="F97" s="183"/>
      <c r="G97" s="183"/>
      <c r="H97" s="183"/>
      <c r="I97" s="50"/>
      <c r="J97" s="50"/>
      <c r="K97" s="183"/>
      <c r="L97" s="79" t="s">
        <v>2590</v>
      </c>
      <c r="M97" s="1605" t="s">
        <v>4069</v>
      </c>
      <c r="N97" s="1606"/>
      <c r="O97" s="1606"/>
      <c r="P97" s="1607"/>
      <c r="Q97" s="352"/>
    </row>
    <row r="98" spans="2:17" ht="12" customHeight="1">
      <c r="B98" s="189"/>
      <c r="C98" s="79" t="s">
        <v>2591</v>
      </c>
      <c r="D98" s="44" t="s">
        <v>3644</v>
      </c>
      <c r="E98" s="50"/>
      <c r="F98" s="50"/>
      <c r="G98" s="50"/>
      <c r="H98" s="62"/>
      <c r="I98" s="50"/>
      <c r="J98" s="50"/>
      <c r="K98" s="183"/>
      <c r="L98" s="853"/>
      <c r="M98" s="853"/>
      <c r="O98" s="803" t="s">
        <v>2591</v>
      </c>
      <c r="P98" s="1611">
        <v>64.7</v>
      </c>
      <c r="Q98" s="352"/>
    </row>
    <row r="99" spans="2:17" ht="12" customHeight="1">
      <c r="B99" s="189"/>
      <c r="C99" s="803" t="s">
        <v>2592</v>
      </c>
      <c r="D99" s="62" t="s">
        <v>1953</v>
      </c>
      <c r="E99" s="50"/>
      <c r="F99" s="50"/>
      <c r="G99" s="50"/>
      <c r="H99" s="62"/>
      <c r="I99" s="50"/>
      <c r="J99" s="50"/>
      <c r="K99" s="183"/>
      <c r="L99" s="853"/>
      <c r="M99" s="853"/>
      <c r="N99" s="853"/>
      <c r="O99" s="853"/>
    </row>
    <row r="100" spans="2:17" ht="11.65" customHeight="1">
      <c r="B100" s="848"/>
      <c r="C100" s="79"/>
      <c r="D100" s="1617" t="s">
        <v>4070</v>
      </c>
      <c r="E100" s="1618"/>
      <c r="F100" s="1618"/>
      <c r="G100" s="1618"/>
      <c r="H100" s="1618"/>
      <c r="I100" s="1618"/>
      <c r="J100" s="1618"/>
      <c r="K100" s="1618"/>
      <c r="L100" s="1618"/>
      <c r="M100" s="1618"/>
      <c r="N100" s="1618"/>
      <c r="O100" s="1619"/>
      <c r="P100" s="856"/>
      <c r="Q100" s="848"/>
    </row>
    <row r="101" spans="2:17" ht="12" customHeight="1">
      <c r="B101" s="55" t="s">
        <v>3004</v>
      </c>
      <c r="C101" s="62" t="s">
        <v>1815</v>
      </c>
      <c r="D101" s="183"/>
      <c r="E101" s="183"/>
      <c r="F101" s="183"/>
      <c r="G101" s="183"/>
      <c r="H101" s="183"/>
      <c r="I101" s="50"/>
      <c r="J101" s="50"/>
      <c r="K101" s="183"/>
      <c r="L101" s="853"/>
      <c r="M101" s="853"/>
      <c r="N101" s="853"/>
      <c r="O101" s="803" t="s">
        <v>3004</v>
      </c>
    </row>
    <row r="102" spans="2:17" ht="12" customHeight="1">
      <c r="B102" s="55"/>
      <c r="C102" s="79" t="s">
        <v>2590</v>
      </c>
      <c r="D102" s="62" t="s">
        <v>184</v>
      </c>
      <c r="E102" s="183"/>
      <c r="F102" s="183"/>
      <c r="G102" s="183"/>
      <c r="H102" s="183"/>
      <c r="I102" s="50"/>
      <c r="J102" s="50"/>
      <c r="K102" s="183"/>
      <c r="L102" s="853"/>
      <c r="M102" s="853"/>
      <c r="O102" s="79" t="s">
        <v>2590</v>
      </c>
      <c r="P102" s="1595" t="s">
        <v>3984</v>
      </c>
      <c r="Q102" s="232"/>
    </row>
    <row r="103" spans="2:17" ht="12" customHeight="1">
      <c r="B103" s="55"/>
      <c r="C103" s="79" t="s">
        <v>2591</v>
      </c>
      <c r="D103" s="62" t="s">
        <v>1816</v>
      </c>
      <c r="E103" s="183"/>
      <c r="F103" s="183"/>
      <c r="G103" s="183"/>
      <c r="H103" s="50"/>
      <c r="I103" s="50"/>
      <c r="J103" s="50"/>
      <c r="K103" s="183"/>
      <c r="L103" s="853"/>
      <c r="M103" s="853"/>
      <c r="O103" s="79" t="s">
        <v>2591</v>
      </c>
      <c r="P103" s="1611" t="s">
        <v>3984</v>
      </c>
      <c r="Q103" s="352"/>
    </row>
    <row r="104" spans="2:17" ht="12" customHeight="1">
      <c r="B104" s="55"/>
      <c r="C104" s="79"/>
      <c r="D104" s="62" t="s">
        <v>3764</v>
      </c>
      <c r="E104" s="728" t="s">
        <v>3419</v>
      </c>
      <c r="F104" s="62" t="s">
        <v>3765</v>
      </c>
      <c r="G104" s="50"/>
      <c r="H104" s="62"/>
      <c r="I104" s="50"/>
      <c r="J104" s="50"/>
      <c r="K104" s="183"/>
      <c r="L104" s="853"/>
      <c r="M104" s="853"/>
      <c r="O104" s="728" t="s">
        <v>3419</v>
      </c>
      <c r="P104" s="1620"/>
      <c r="Q104" s="448"/>
    </row>
    <row r="105" spans="2:17" ht="12" customHeight="1">
      <c r="B105" s="55"/>
      <c r="C105" s="79"/>
      <c r="E105" s="728" t="s">
        <v>3420</v>
      </c>
      <c r="F105" s="62" t="s">
        <v>3766</v>
      </c>
      <c r="G105" s="50"/>
      <c r="H105" s="62"/>
      <c r="I105" s="50"/>
      <c r="J105" s="50"/>
      <c r="K105" s="183"/>
      <c r="L105" s="853"/>
      <c r="M105" s="853"/>
      <c r="O105" s="728" t="s">
        <v>3420</v>
      </c>
      <c r="P105" s="1611"/>
      <c r="Q105" s="352"/>
    </row>
    <row r="106" spans="2:17" ht="12" customHeight="1">
      <c r="B106" s="55"/>
      <c r="C106" s="79"/>
      <c r="E106" s="728" t="s">
        <v>3421</v>
      </c>
      <c r="F106" s="62" t="s">
        <v>3767</v>
      </c>
      <c r="G106" s="50"/>
      <c r="H106" s="62"/>
      <c r="I106" s="50"/>
      <c r="J106" s="50"/>
      <c r="K106" s="183"/>
      <c r="L106" s="853"/>
      <c r="M106" s="853"/>
      <c r="O106" s="728" t="s">
        <v>3421</v>
      </c>
      <c r="P106" s="1611"/>
      <c r="Q106" s="352"/>
    </row>
    <row r="107" spans="2:17" ht="12" customHeight="1">
      <c r="B107" s="55"/>
      <c r="C107" s="79" t="s">
        <v>2592</v>
      </c>
      <c r="D107" s="62" t="s">
        <v>1817</v>
      </c>
      <c r="E107" s="183"/>
      <c r="F107" s="183"/>
      <c r="G107" s="183"/>
      <c r="H107" s="62"/>
      <c r="I107" s="50"/>
      <c r="J107" s="50"/>
      <c r="K107" s="183"/>
      <c r="L107" s="853"/>
      <c r="M107" s="853"/>
      <c r="O107" s="79" t="s">
        <v>2592</v>
      </c>
      <c r="P107" s="1595" t="s">
        <v>3984</v>
      </c>
      <c r="Q107" s="232"/>
    </row>
    <row r="108" spans="2:17" ht="12" customHeight="1">
      <c r="B108" s="55"/>
      <c r="C108" s="79"/>
      <c r="D108" s="62" t="s">
        <v>3764</v>
      </c>
      <c r="E108" s="728" t="s">
        <v>3419</v>
      </c>
      <c r="F108" s="62" t="s">
        <v>3768</v>
      </c>
      <c r="G108" s="50"/>
      <c r="H108" s="62"/>
      <c r="I108" s="50"/>
      <c r="J108" s="50"/>
      <c r="K108" s="183"/>
      <c r="L108" s="853"/>
      <c r="O108" s="728" t="s">
        <v>3419</v>
      </c>
      <c r="P108" s="1620"/>
      <c r="Q108" s="353"/>
    </row>
    <row r="109" spans="2:17" ht="12" customHeight="1">
      <c r="B109" s="55"/>
      <c r="C109" s="79"/>
      <c r="E109" s="728" t="s">
        <v>3420</v>
      </c>
      <c r="F109" s="62" t="s">
        <v>3769</v>
      </c>
      <c r="G109" s="50"/>
      <c r="H109" s="62"/>
      <c r="I109" s="50"/>
      <c r="J109" s="50"/>
      <c r="K109" s="183"/>
      <c r="L109" s="853"/>
      <c r="O109" s="728" t="s">
        <v>3420</v>
      </c>
      <c r="P109" s="1611"/>
      <c r="Q109" s="352"/>
    </row>
    <row r="110" spans="2:17" ht="12" customHeight="1">
      <c r="B110" s="55"/>
      <c r="C110" s="79"/>
      <c r="E110" s="728" t="s">
        <v>3421</v>
      </c>
      <c r="F110" s="62" t="s">
        <v>3767</v>
      </c>
      <c r="G110" s="50"/>
      <c r="H110" s="62"/>
      <c r="I110" s="50"/>
      <c r="J110" s="50"/>
      <c r="K110" s="183"/>
      <c r="L110" s="853"/>
      <c r="O110" s="728" t="s">
        <v>3421</v>
      </c>
      <c r="P110" s="1611"/>
      <c r="Q110" s="352"/>
    </row>
    <row r="111" spans="2:17" ht="12" customHeight="1">
      <c r="B111" s="44"/>
      <c r="C111" s="79" t="s">
        <v>3331</v>
      </c>
      <c r="D111" s="62" t="s">
        <v>3770</v>
      </c>
      <c r="E111" s="183"/>
      <c r="F111" s="183"/>
      <c r="G111" s="183"/>
      <c r="H111" s="183"/>
      <c r="I111" s="50"/>
      <c r="J111" s="50"/>
      <c r="K111" s="183"/>
      <c r="L111" s="853"/>
      <c r="M111" s="853"/>
      <c r="O111" s="79" t="s">
        <v>3331</v>
      </c>
      <c r="P111" s="1595" t="s">
        <v>3976</v>
      </c>
      <c r="Q111" s="232"/>
    </row>
    <row r="112" spans="2:17" ht="12" customHeight="1">
      <c r="B112" s="55" t="s">
        <v>2588</v>
      </c>
      <c r="C112" s="196" t="s">
        <v>3396</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3397</v>
      </c>
      <c r="E113" s="183"/>
      <c r="F113" s="1595" t="s">
        <v>3984</v>
      </c>
      <c r="G113" s="232"/>
      <c r="H113" s="79" t="s">
        <v>3331</v>
      </c>
      <c r="I113" s="62" t="s">
        <v>2156</v>
      </c>
      <c r="J113" s="1595" t="s">
        <v>3984</v>
      </c>
      <c r="K113" s="232"/>
      <c r="L113" s="803" t="s">
        <v>107</v>
      </c>
      <c r="M113" s="62" t="s">
        <v>2157</v>
      </c>
      <c r="O113" s="1595" t="s">
        <v>3984</v>
      </c>
      <c r="P113" s="232"/>
    </row>
    <row r="114" spans="1:31" ht="12" customHeight="1">
      <c r="B114" s="44"/>
      <c r="C114" s="79" t="s">
        <v>2591</v>
      </c>
      <c r="D114" s="62" t="s">
        <v>3502</v>
      </c>
      <c r="E114" s="183"/>
      <c r="F114" s="1595" t="s">
        <v>3984</v>
      </c>
      <c r="G114" s="232"/>
      <c r="H114" s="79" t="s">
        <v>2153</v>
      </c>
      <c r="I114" s="62" t="s">
        <v>3772</v>
      </c>
      <c r="J114" s="1621" t="s">
        <v>3984</v>
      </c>
      <c r="K114" s="663"/>
      <c r="L114" s="803" t="s">
        <v>743</v>
      </c>
      <c r="M114" s="65" t="s">
        <v>3773</v>
      </c>
      <c r="O114" s="1621" t="s">
        <v>3984</v>
      </c>
      <c r="P114" s="663"/>
    </row>
    <row r="115" spans="1:31" ht="12" customHeight="1">
      <c r="B115" s="44"/>
      <c r="C115" s="79" t="s">
        <v>2592</v>
      </c>
      <c r="D115" s="62" t="s">
        <v>3771</v>
      </c>
      <c r="E115" s="183"/>
      <c r="F115" s="1595" t="s">
        <v>3984</v>
      </c>
      <c r="G115" s="232"/>
      <c r="H115" s="79" t="s">
        <v>2154</v>
      </c>
      <c r="I115" s="62" t="s">
        <v>2155</v>
      </c>
      <c r="J115" s="1621" t="s">
        <v>3984</v>
      </c>
      <c r="K115" s="663"/>
      <c r="L115" s="803" t="s">
        <v>744</v>
      </c>
      <c r="M115" s="65" t="s">
        <v>3774</v>
      </c>
      <c r="O115" s="1621" t="s">
        <v>3984</v>
      </c>
      <c r="P115" s="663"/>
    </row>
    <row r="116" spans="1:31" ht="12" customHeight="1">
      <c r="B116" s="44"/>
      <c r="C116" s="803" t="s">
        <v>745</v>
      </c>
      <c r="D116" s="62" t="s">
        <v>3775</v>
      </c>
      <c r="E116" s="183"/>
      <c r="F116" s="183"/>
      <c r="G116" s="183"/>
      <c r="H116" s="183"/>
      <c r="J116" s="1605"/>
      <c r="K116" s="1606"/>
      <c r="L116" s="1606"/>
      <c r="M116" s="1606"/>
      <c r="N116" s="1606"/>
      <c r="O116" s="1606"/>
      <c r="P116" s="1607"/>
      <c r="Q116" s="232"/>
    </row>
    <row r="117" spans="1:31" ht="12" customHeight="1">
      <c r="B117" s="55" t="s">
        <v>2589</v>
      </c>
      <c r="C117" s="62" t="s">
        <v>1851</v>
      </c>
      <c r="D117" s="183"/>
      <c r="E117" s="183"/>
      <c r="F117" s="183"/>
      <c r="G117" s="183"/>
      <c r="H117" s="183"/>
      <c r="I117" s="50"/>
      <c r="J117" s="50"/>
      <c r="K117" s="183"/>
      <c r="L117" s="183"/>
      <c r="M117" s="853"/>
      <c r="O117" s="803" t="s">
        <v>2589</v>
      </c>
      <c r="P117" s="1595" t="s">
        <v>3976</v>
      </c>
      <c r="Q117" s="232"/>
    </row>
    <row r="118" spans="1:31" ht="12" customHeight="1">
      <c r="A118" s="194"/>
      <c r="B118" s="50"/>
      <c r="C118" s="79" t="s">
        <v>2590</v>
      </c>
      <c r="D118" s="62" t="s">
        <v>995</v>
      </c>
      <c r="E118" s="183"/>
      <c r="F118" s="183"/>
      <c r="G118" s="183"/>
      <c r="H118" s="183"/>
      <c r="O118" s="79" t="s">
        <v>2590</v>
      </c>
      <c r="P118" s="1595" t="s">
        <v>3976</v>
      </c>
      <c r="Q118" s="232"/>
    </row>
    <row r="119" spans="1:31" ht="12" customHeight="1">
      <c r="A119" s="194"/>
      <c r="B119" s="180"/>
      <c r="C119" s="79" t="s">
        <v>2591</v>
      </c>
      <c r="D119" s="62" t="s">
        <v>681</v>
      </c>
      <c r="E119" s="62"/>
      <c r="F119" s="62"/>
      <c r="G119" s="62"/>
      <c r="H119" s="62"/>
      <c r="I119" s="50"/>
      <c r="J119" s="50"/>
      <c r="K119" s="62"/>
      <c r="L119" s="62"/>
      <c r="M119" s="62"/>
      <c r="O119" s="79" t="s">
        <v>2591</v>
      </c>
      <c r="P119" s="1595" t="s">
        <v>3976</v>
      </c>
      <c r="Q119" s="232"/>
    </row>
    <row r="120" spans="1:31" ht="12" customHeight="1">
      <c r="A120" s="194"/>
      <c r="B120" s="180"/>
      <c r="C120" s="79" t="s">
        <v>2592</v>
      </c>
      <c r="D120" s="62" t="s">
        <v>951</v>
      </c>
      <c r="E120" s="62"/>
      <c r="F120" s="62"/>
      <c r="G120" s="62"/>
      <c r="H120" s="62"/>
      <c r="I120" s="50"/>
      <c r="J120" s="50"/>
      <c r="K120" s="62"/>
      <c r="L120" s="62"/>
      <c r="M120" s="62"/>
      <c r="O120" s="79" t="s">
        <v>2592</v>
      </c>
      <c r="P120" s="1595" t="s">
        <v>3976</v>
      </c>
      <c r="Q120" s="232"/>
    </row>
    <row r="121" spans="1:31" ht="12" customHeight="1">
      <c r="B121" s="55" t="s">
        <v>2825</v>
      </c>
      <c r="C121" s="62" t="s">
        <v>2607</v>
      </c>
      <c r="D121" s="183"/>
      <c r="E121" s="183"/>
      <c r="F121" s="183"/>
      <c r="G121" s="183"/>
      <c r="H121" s="183"/>
      <c r="I121" s="50"/>
      <c r="J121" s="50"/>
      <c r="K121" s="183"/>
      <c r="L121" s="183"/>
      <c r="M121" s="853"/>
      <c r="O121" s="803" t="s">
        <v>2825</v>
      </c>
      <c r="P121" s="1595" t="s">
        <v>1469</v>
      </c>
      <c r="Q121" s="232"/>
    </row>
    <row r="122" spans="1:31" ht="4.9000000000000004" customHeight="1"/>
    <row r="123" spans="1:31" ht="11.25" customHeight="1">
      <c r="B123" s="191" t="s">
        <v>2737</v>
      </c>
      <c r="D123" s="191"/>
      <c r="E123" s="191"/>
      <c r="F123" s="191"/>
      <c r="G123" s="191"/>
      <c r="H123" s="48"/>
      <c r="I123" s="180"/>
      <c r="J123" s="180"/>
      <c r="K123" s="180"/>
      <c r="L123" s="848"/>
      <c r="M123" s="848"/>
      <c r="N123" s="848"/>
      <c r="O123" s="848"/>
      <c r="P123" s="848"/>
      <c r="Q123" s="60"/>
    </row>
    <row r="124" spans="1:31" ht="38.450000000000003" customHeight="1">
      <c r="A124" s="1599" t="s">
        <v>4073</v>
      </c>
      <c r="B124" s="1600"/>
      <c r="C124" s="1600"/>
      <c r="D124" s="1600"/>
      <c r="E124" s="1600"/>
      <c r="F124" s="1600"/>
      <c r="G124" s="1600"/>
      <c r="H124" s="1600"/>
      <c r="I124" s="1600"/>
      <c r="J124" s="1600"/>
      <c r="K124" s="1600"/>
      <c r="L124" s="1600"/>
      <c r="M124" s="1600"/>
      <c r="N124" s="1600"/>
      <c r="O124" s="1600"/>
      <c r="P124" s="1600"/>
      <c r="Q124" s="1601"/>
      <c r="R124" s="736" t="s">
        <v>1806</v>
      </c>
      <c r="S124" s="737"/>
      <c r="U124" s="186"/>
      <c r="V124" s="186"/>
      <c r="W124" s="186"/>
      <c r="X124" s="186"/>
      <c r="Y124" s="186"/>
      <c r="Z124" s="186"/>
      <c r="AA124" s="186"/>
      <c r="AB124" s="186"/>
      <c r="AC124" s="186"/>
      <c r="AD124" s="186"/>
      <c r="AE124" s="805"/>
    </row>
    <row r="125" spans="1:31" ht="11.25" customHeight="1">
      <c r="B125" s="187" t="s">
        <v>2738</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65"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3795</v>
      </c>
      <c r="C128" s="857"/>
      <c r="D128" s="856"/>
      <c r="E128" s="856"/>
      <c r="F128" s="856"/>
      <c r="G128" s="856"/>
      <c r="H128" s="856"/>
      <c r="I128" s="856"/>
      <c r="J128" s="856"/>
      <c r="K128" s="856"/>
      <c r="O128" s="181" t="s">
        <v>2739</v>
      </c>
      <c r="P128" s="1114"/>
      <c r="Q128" s="1119"/>
    </row>
    <row r="129" spans="1:31" ht="10.9" customHeight="1">
      <c r="B129" s="55" t="s">
        <v>2862</v>
      </c>
      <c r="C129" s="62" t="s">
        <v>3776</v>
      </c>
      <c r="D129" s="62"/>
      <c r="E129" s="62"/>
      <c r="F129" s="62"/>
      <c r="G129" s="62"/>
      <c r="H129" s="62"/>
      <c r="N129" s="62"/>
      <c r="O129" s="803" t="s">
        <v>2862</v>
      </c>
      <c r="P129" s="1595" t="s">
        <v>3976</v>
      </c>
      <c r="Q129" s="232"/>
    </row>
    <row r="130" spans="1:31" ht="12" customHeight="1">
      <c r="A130" s="189"/>
      <c r="B130" s="55" t="s">
        <v>2865</v>
      </c>
      <c r="C130" s="190" t="s">
        <v>185</v>
      </c>
      <c r="D130" s="190"/>
      <c r="E130" s="190"/>
      <c r="F130" s="190"/>
      <c r="G130" s="190"/>
      <c r="H130" s="190"/>
      <c r="M130" s="803" t="s">
        <v>2865</v>
      </c>
      <c r="N130" s="1622" t="s">
        <v>4060</v>
      </c>
      <c r="O130" s="1623"/>
      <c r="P130" s="1130"/>
      <c r="Q130" s="1131"/>
    </row>
    <row r="131" spans="1:31" ht="12" customHeight="1">
      <c r="A131" s="189"/>
      <c r="B131" s="55" t="s">
        <v>1145</v>
      </c>
      <c r="C131" s="190" t="s">
        <v>952</v>
      </c>
      <c r="D131" s="190"/>
      <c r="E131" s="190"/>
      <c r="F131" s="190"/>
      <c r="G131" s="190"/>
      <c r="H131" s="190"/>
      <c r="J131" s="803" t="s">
        <v>1145</v>
      </c>
      <c r="K131" s="1624" t="s">
        <v>3990</v>
      </c>
      <c r="L131" s="1625"/>
      <c r="M131" s="1625"/>
      <c r="N131" s="1625"/>
      <c r="O131" s="1625"/>
      <c r="P131" s="1626"/>
      <c r="Q131" s="232"/>
    </row>
    <row r="132" spans="1:31" ht="12" customHeight="1">
      <c r="B132" s="191" t="s">
        <v>2737</v>
      </c>
      <c r="D132" s="191"/>
      <c r="E132" s="191"/>
      <c r="F132" s="191"/>
      <c r="G132" s="191"/>
      <c r="H132" s="48"/>
      <c r="I132" s="180"/>
      <c r="J132" s="180"/>
      <c r="K132" s="180"/>
      <c r="L132" s="848"/>
      <c r="M132" s="848"/>
      <c r="N132" s="848"/>
      <c r="O132" s="848"/>
      <c r="P132" s="848"/>
      <c r="Q132" s="60"/>
    </row>
    <row r="133" spans="1:31" ht="11.65" customHeight="1">
      <c r="A133" s="1599"/>
      <c r="B133" s="1600"/>
      <c r="C133" s="1600"/>
      <c r="D133" s="1600"/>
      <c r="E133" s="1600"/>
      <c r="F133" s="1600"/>
      <c r="G133" s="1600"/>
      <c r="H133" s="1600"/>
      <c r="I133" s="1600"/>
      <c r="J133" s="1600"/>
      <c r="K133" s="1600"/>
      <c r="L133" s="1600"/>
      <c r="M133" s="1600"/>
      <c r="N133" s="1600"/>
      <c r="O133" s="1600"/>
      <c r="P133" s="1600"/>
      <c r="Q133" s="1601"/>
      <c r="U133" s="186"/>
      <c r="V133" s="186"/>
      <c r="W133" s="186"/>
      <c r="X133" s="186"/>
      <c r="Y133" s="186"/>
      <c r="Z133" s="186"/>
      <c r="AA133" s="186"/>
      <c r="AB133" s="186"/>
      <c r="AC133" s="186"/>
      <c r="AD133" s="186"/>
      <c r="AE133" s="805"/>
    </row>
    <row r="134" spans="1:31" ht="12" customHeight="1">
      <c r="B134" s="187" t="s">
        <v>2738</v>
      </c>
      <c r="C134" s="188"/>
      <c r="D134" s="856"/>
      <c r="E134" s="856"/>
      <c r="F134" s="856"/>
      <c r="G134" s="856"/>
      <c r="H134" s="856"/>
      <c r="I134" s="856"/>
      <c r="J134" s="856"/>
      <c r="K134" s="856"/>
      <c r="L134" s="856"/>
      <c r="M134" s="856"/>
      <c r="N134" s="856"/>
      <c r="O134" s="856"/>
      <c r="P134" s="856"/>
      <c r="Q134" s="856"/>
    </row>
    <row r="135" spans="1:31" ht="11.6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3796</v>
      </c>
      <c r="C137" s="857"/>
      <c r="D137" s="856"/>
      <c r="E137" s="856"/>
      <c r="F137" s="856"/>
      <c r="G137" s="856"/>
      <c r="H137" s="856"/>
      <c r="I137" s="856"/>
      <c r="J137" s="856"/>
      <c r="K137" s="856"/>
      <c r="L137" s="856"/>
      <c r="M137" s="856"/>
      <c r="O137" s="181" t="s">
        <v>2739</v>
      </c>
      <c r="P137" s="1114"/>
      <c r="Q137" s="1119"/>
    </row>
    <row r="138" spans="1:31" ht="12" customHeight="1">
      <c r="B138" s="192" t="s">
        <v>2862</v>
      </c>
      <c r="C138" s="190" t="s">
        <v>104</v>
      </c>
      <c r="D138" s="190"/>
      <c r="E138" s="190"/>
      <c r="F138" s="190"/>
      <c r="G138" s="190"/>
      <c r="H138" s="190"/>
      <c r="I138" s="190"/>
      <c r="J138" s="190"/>
      <c r="K138" s="190"/>
      <c r="L138" s="197"/>
      <c r="M138" s="197"/>
      <c r="N138" s="197"/>
      <c r="O138" s="219" t="s">
        <v>2862</v>
      </c>
      <c r="P138" s="1595" t="s">
        <v>3976</v>
      </c>
      <c r="Q138" s="232"/>
    </row>
    <row r="139" spans="1:31" ht="22.15" customHeight="1">
      <c r="B139" s="192" t="s">
        <v>2865</v>
      </c>
      <c r="C139" s="1118" t="s">
        <v>3518</v>
      </c>
      <c r="D139" s="1118"/>
      <c r="E139" s="1118"/>
      <c r="F139" s="1118"/>
      <c r="G139" s="1118"/>
      <c r="H139" s="1118"/>
      <c r="I139" s="1118"/>
      <c r="J139" s="1118"/>
      <c r="K139" s="1118"/>
      <c r="L139" s="1118"/>
      <c r="M139" s="1118"/>
      <c r="N139" s="1118"/>
      <c r="O139" s="219" t="s">
        <v>2865</v>
      </c>
      <c r="P139" s="1595"/>
      <c r="Q139" s="232"/>
    </row>
    <row r="140" spans="1:31" ht="21.75" customHeight="1">
      <c r="B140" s="192" t="s">
        <v>1145</v>
      </c>
      <c r="C140" s="1118" t="s">
        <v>3778</v>
      </c>
      <c r="D140" s="1118"/>
      <c r="E140" s="1118"/>
      <c r="F140" s="1118"/>
      <c r="G140" s="1118"/>
      <c r="H140" s="1118"/>
      <c r="I140" s="1118"/>
      <c r="J140" s="1118"/>
      <c r="K140" s="1118"/>
      <c r="L140" s="1118"/>
      <c r="M140" s="1118"/>
      <c r="N140" s="1118"/>
      <c r="O140" s="219" t="s">
        <v>1145</v>
      </c>
      <c r="P140" s="1595" t="s">
        <v>3976</v>
      </c>
      <c r="Q140" s="232"/>
    </row>
    <row r="141" spans="1:31" ht="12" customHeight="1">
      <c r="B141" s="191" t="s">
        <v>2737</v>
      </c>
      <c r="D141" s="191"/>
      <c r="E141" s="191"/>
      <c r="F141" s="191"/>
      <c r="G141" s="191"/>
      <c r="H141" s="48"/>
      <c r="I141" s="180"/>
      <c r="J141" s="180"/>
      <c r="K141" s="180"/>
      <c r="L141" s="848"/>
      <c r="M141" s="848"/>
      <c r="N141" s="848"/>
      <c r="O141" s="848"/>
      <c r="P141" s="848"/>
      <c r="Q141" s="60"/>
    </row>
    <row r="142" spans="1:31" ht="11.65" customHeight="1">
      <c r="A142" s="1599" t="s">
        <v>4061</v>
      </c>
      <c r="B142" s="1600"/>
      <c r="C142" s="1600"/>
      <c r="D142" s="1600"/>
      <c r="E142" s="1600"/>
      <c r="F142" s="1600"/>
      <c r="G142" s="1600"/>
      <c r="H142" s="1600"/>
      <c r="I142" s="1600"/>
      <c r="J142" s="1600"/>
      <c r="K142" s="1600"/>
      <c r="L142" s="1600"/>
      <c r="M142" s="1600"/>
      <c r="N142" s="1600"/>
      <c r="O142" s="1600"/>
      <c r="P142" s="1600"/>
      <c r="Q142" s="1601"/>
      <c r="U142" s="186"/>
      <c r="V142" s="186"/>
      <c r="W142" s="186"/>
      <c r="X142" s="186"/>
      <c r="Y142" s="186"/>
      <c r="Z142" s="186"/>
      <c r="AA142" s="186"/>
      <c r="AB142" s="186"/>
      <c r="AC142" s="186"/>
      <c r="AD142" s="186"/>
      <c r="AE142" s="805"/>
    </row>
    <row r="143" spans="1:31" ht="12" customHeight="1">
      <c r="B143" s="187" t="s">
        <v>2738</v>
      </c>
      <c r="C143" s="188"/>
      <c r="D143" s="856"/>
      <c r="E143" s="856"/>
      <c r="F143" s="856"/>
      <c r="G143" s="856"/>
      <c r="H143" s="856"/>
      <c r="I143" s="856"/>
      <c r="J143" s="856"/>
      <c r="K143" s="856"/>
      <c r="L143" s="856"/>
      <c r="M143" s="856"/>
      <c r="N143" s="856"/>
      <c r="O143" s="856"/>
      <c r="P143" s="856"/>
      <c r="Q143" s="856"/>
    </row>
    <row r="144" spans="1:31" ht="11.6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3797</v>
      </c>
      <c r="C146" s="1120"/>
      <c r="D146" s="1120"/>
      <c r="O146" s="181" t="s">
        <v>2739</v>
      </c>
      <c r="P146" s="1114"/>
      <c r="Q146" s="1119"/>
    </row>
    <row r="147" spans="1:32" ht="12" customHeight="1">
      <c r="B147" s="192" t="s">
        <v>2862</v>
      </c>
      <c r="C147" s="197" t="s">
        <v>653</v>
      </c>
      <c r="D147" s="197"/>
      <c r="E147" s="197"/>
      <c r="F147" s="197"/>
      <c r="G147" s="197"/>
      <c r="H147" s="197"/>
      <c r="I147" s="197"/>
      <c r="J147" s="197"/>
      <c r="K147" s="197"/>
      <c r="L147" s="197"/>
      <c r="M147" s="197"/>
      <c r="O147" s="219" t="s">
        <v>2862</v>
      </c>
      <c r="P147" s="1595" t="s">
        <v>3976</v>
      </c>
      <c r="Q147" s="232"/>
    </row>
    <row r="148" spans="1:32" ht="12" customHeight="1">
      <c r="B148" s="192" t="s">
        <v>2865</v>
      </c>
      <c r="C148" s="197" t="s">
        <v>3779</v>
      </c>
      <c r="D148" s="197"/>
      <c r="E148" s="197"/>
      <c r="F148" s="197"/>
      <c r="G148" s="197"/>
      <c r="H148" s="197"/>
      <c r="I148" s="197"/>
      <c r="J148" s="197"/>
      <c r="K148" s="197"/>
      <c r="L148" s="197"/>
      <c r="M148" s="197"/>
      <c r="O148" s="219" t="s">
        <v>2865</v>
      </c>
      <c r="P148" s="1595" t="s">
        <v>3976</v>
      </c>
      <c r="Q148" s="232"/>
    </row>
    <row r="149" spans="1:32" ht="12" customHeight="1">
      <c r="B149" s="192" t="s">
        <v>1145</v>
      </c>
      <c r="C149" s="197" t="s">
        <v>3780</v>
      </c>
      <c r="D149" s="197"/>
      <c r="E149" s="197"/>
      <c r="F149" s="197"/>
      <c r="G149" s="197"/>
      <c r="H149" s="197"/>
      <c r="I149" s="197"/>
      <c r="J149" s="197"/>
      <c r="K149" s="197"/>
      <c r="L149" s="197"/>
      <c r="M149" s="197"/>
      <c r="O149" s="219" t="s">
        <v>1145</v>
      </c>
      <c r="P149" s="1595" t="s">
        <v>3976</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95" t="s">
        <v>3976</v>
      </c>
      <c r="Q150" s="232"/>
    </row>
    <row r="151" spans="1:32" ht="12" customHeight="1">
      <c r="B151" s="192"/>
      <c r="C151" s="197"/>
      <c r="D151" s="197"/>
      <c r="E151" s="728" t="s">
        <v>2591</v>
      </c>
      <c r="F151" s="197" t="s">
        <v>3782</v>
      </c>
      <c r="G151" s="197"/>
      <c r="H151" s="197"/>
      <c r="I151" s="197"/>
      <c r="J151" s="197"/>
      <c r="K151" s="197"/>
      <c r="L151" s="197"/>
      <c r="M151" s="197"/>
      <c r="O151" s="728" t="s">
        <v>2591</v>
      </c>
      <c r="P151" s="1595" t="s">
        <v>3976</v>
      </c>
      <c r="Q151" s="232"/>
    </row>
    <row r="152" spans="1:32" s="182" customFormat="1" ht="21.75" customHeight="1">
      <c r="B152" s="192"/>
      <c r="C152" s="197"/>
      <c r="D152" s="197"/>
      <c r="E152" s="219" t="s">
        <v>2592</v>
      </c>
      <c r="F152" s="1118" t="s">
        <v>3783</v>
      </c>
      <c r="G152" s="1118"/>
      <c r="H152" s="1118"/>
      <c r="I152" s="1118"/>
      <c r="J152" s="1118"/>
      <c r="K152" s="1118"/>
      <c r="L152" s="1118"/>
      <c r="M152" s="1118"/>
      <c r="N152" s="1118"/>
      <c r="O152" s="219" t="s">
        <v>2592</v>
      </c>
      <c r="P152" s="1616" t="s">
        <v>3976</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95" t="s">
        <v>3976</v>
      </c>
      <c r="Q153" s="232"/>
    </row>
    <row r="154" spans="1:32" s="182" customFormat="1" ht="21.75" customHeight="1">
      <c r="B154" s="192"/>
      <c r="C154" s="197"/>
      <c r="D154" s="197"/>
      <c r="E154" s="219" t="s">
        <v>2153</v>
      </c>
      <c r="F154" s="1118" t="s">
        <v>3785</v>
      </c>
      <c r="G154" s="1118"/>
      <c r="H154" s="1118"/>
      <c r="I154" s="1118"/>
      <c r="J154" s="1118"/>
      <c r="K154" s="1118"/>
      <c r="L154" s="1118"/>
      <c r="M154" s="1118"/>
      <c r="N154" s="1118"/>
      <c r="O154" s="219" t="s">
        <v>2153</v>
      </c>
      <c r="P154" s="1616" t="s">
        <v>3984</v>
      </c>
      <c r="Q154" s="354"/>
      <c r="AE154" s="806"/>
      <c r="AF154" s="806"/>
    </row>
    <row r="155" spans="1:32" ht="21.75" customHeight="1">
      <c r="B155" s="192" t="s">
        <v>3004</v>
      </c>
      <c r="C155" s="1118" t="s">
        <v>3786</v>
      </c>
      <c r="D155" s="1118"/>
      <c r="E155" s="1118"/>
      <c r="F155" s="1118"/>
      <c r="G155" s="1118"/>
      <c r="H155" s="1118"/>
      <c r="I155" s="1118"/>
      <c r="J155" s="1118"/>
      <c r="K155" s="1118"/>
      <c r="L155" s="1118"/>
      <c r="M155" s="1118"/>
      <c r="N155" s="1118"/>
      <c r="O155" s="219" t="s">
        <v>3004</v>
      </c>
      <c r="P155" s="1595" t="s">
        <v>3976</v>
      </c>
      <c r="Q155" s="232"/>
    </row>
    <row r="156" spans="1:32" ht="12" customHeight="1">
      <c r="B156" s="192" t="s">
        <v>2588</v>
      </c>
      <c r="C156" s="197" t="s">
        <v>3352</v>
      </c>
      <c r="D156" s="197"/>
      <c r="E156" s="197"/>
      <c r="F156" s="197"/>
      <c r="G156" s="197"/>
      <c r="H156" s="197"/>
      <c r="I156" s="197"/>
      <c r="J156" s="197"/>
      <c r="K156" s="197"/>
      <c r="L156" s="197"/>
      <c r="M156" s="197"/>
      <c r="O156" s="219" t="s">
        <v>2588</v>
      </c>
      <c r="P156" s="1595" t="s">
        <v>3976</v>
      </c>
      <c r="Q156" s="232"/>
    </row>
    <row r="157" spans="1:32" ht="12" customHeight="1">
      <c r="B157" s="191" t="s">
        <v>2737</v>
      </c>
      <c r="D157" s="191"/>
      <c r="E157" s="191"/>
      <c r="F157" s="191"/>
      <c r="G157" s="191"/>
      <c r="H157" s="48"/>
      <c r="I157" s="180"/>
      <c r="J157" s="180"/>
      <c r="K157" s="180"/>
      <c r="L157" s="848"/>
      <c r="M157" s="848"/>
      <c r="N157" s="848"/>
      <c r="O157" s="848"/>
      <c r="P157" s="848"/>
      <c r="Q157" s="60"/>
    </row>
    <row r="158" spans="1:32" ht="11.65" customHeight="1">
      <c r="A158" s="1599"/>
      <c r="B158" s="1600"/>
      <c r="C158" s="1600"/>
      <c r="D158" s="1600"/>
      <c r="E158" s="1600"/>
      <c r="F158" s="1600"/>
      <c r="G158" s="1600"/>
      <c r="H158" s="1600"/>
      <c r="I158" s="1600"/>
      <c r="J158" s="1600"/>
      <c r="K158" s="1600"/>
      <c r="L158" s="1600"/>
      <c r="M158" s="1600"/>
      <c r="N158" s="1600"/>
      <c r="O158" s="1600"/>
      <c r="P158" s="1600"/>
      <c r="Q158" s="1601"/>
      <c r="U158" s="186"/>
      <c r="V158" s="186"/>
      <c r="W158" s="186"/>
      <c r="X158" s="186"/>
      <c r="Y158" s="186"/>
      <c r="Z158" s="186"/>
      <c r="AA158" s="186"/>
      <c r="AB158" s="186"/>
      <c r="AC158" s="186"/>
      <c r="AD158" s="186"/>
      <c r="AE158" s="805"/>
    </row>
    <row r="159" spans="1:32" ht="12" customHeight="1">
      <c r="B159" s="187" t="s">
        <v>2738</v>
      </c>
      <c r="C159" s="188"/>
      <c r="D159" s="856"/>
      <c r="E159" s="856"/>
      <c r="F159" s="856"/>
      <c r="G159" s="856"/>
      <c r="H159" s="856"/>
      <c r="I159" s="856"/>
      <c r="J159" s="856"/>
      <c r="K159" s="856"/>
      <c r="L159" s="856"/>
      <c r="M159" s="856"/>
      <c r="N159" s="856"/>
      <c r="O159" s="856"/>
      <c r="P159" s="856"/>
      <c r="Q159" s="856"/>
    </row>
    <row r="160" spans="1:32" ht="11.6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3798</v>
      </c>
      <c r="C162" s="857"/>
      <c r="D162" s="856"/>
      <c r="E162" s="198"/>
      <c r="F162" s="198"/>
      <c r="G162" s="856"/>
      <c r="J162" s="1148"/>
      <c r="K162" s="1148"/>
      <c r="L162" s="1148"/>
      <c r="M162" s="1148"/>
      <c r="N162" s="1148"/>
      <c r="O162" s="181" t="s">
        <v>2739</v>
      </c>
      <c r="P162" s="1114"/>
      <c r="Q162" s="1119"/>
    </row>
    <row r="163" spans="1:31" ht="12" customHeight="1">
      <c r="A163" s="189"/>
      <c r="B163" s="55" t="s">
        <v>2862</v>
      </c>
      <c r="C163" s="1118" t="s">
        <v>105</v>
      </c>
      <c r="D163" s="1118"/>
      <c r="E163" s="1118"/>
      <c r="F163" s="1118"/>
      <c r="G163" s="1118"/>
      <c r="H163" s="79" t="s">
        <v>2590</v>
      </c>
      <c r="I163" s="62" t="s">
        <v>187</v>
      </c>
      <c r="J163" s="1605" t="s">
        <v>4062</v>
      </c>
      <c r="K163" s="1606"/>
      <c r="L163" s="1606"/>
      <c r="M163" s="1606"/>
      <c r="N163" s="1607"/>
      <c r="O163" s="79" t="s">
        <v>2590</v>
      </c>
      <c r="P163" s="1595"/>
      <c r="Q163" s="232"/>
    </row>
    <row r="164" spans="1:31" ht="12" customHeight="1">
      <c r="A164" s="189"/>
      <c r="B164" s="180"/>
      <c r="C164" s="143"/>
      <c r="D164" s="143"/>
      <c r="E164" s="143"/>
      <c r="F164" s="143"/>
      <c r="H164" s="79" t="s">
        <v>2591</v>
      </c>
      <c r="I164" s="62" t="s">
        <v>2204</v>
      </c>
      <c r="J164" s="1605" t="s">
        <v>4063</v>
      </c>
      <c r="K164" s="1606"/>
      <c r="L164" s="1606"/>
      <c r="M164" s="1606"/>
      <c r="N164" s="1607"/>
      <c r="O164" s="79" t="s">
        <v>2591</v>
      </c>
      <c r="P164" s="1595" t="s">
        <v>3976</v>
      </c>
      <c r="Q164" s="232"/>
    </row>
    <row r="165" spans="1:31" ht="12" customHeight="1">
      <c r="B165" s="191" t="s">
        <v>2737</v>
      </c>
      <c r="D165" s="191"/>
      <c r="E165" s="191"/>
      <c r="F165" s="191"/>
      <c r="G165" s="191"/>
      <c r="J165" s="180"/>
      <c r="K165" s="180"/>
      <c r="L165" s="848"/>
      <c r="M165" s="848"/>
      <c r="N165" s="848"/>
      <c r="O165" s="848"/>
      <c r="P165" s="848"/>
      <c r="Q165" s="60"/>
    </row>
    <row r="166" spans="1:31" ht="11.65" customHeight="1">
      <c r="A166" s="1599"/>
      <c r="B166" s="1600"/>
      <c r="C166" s="1600"/>
      <c r="D166" s="1600"/>
      <c r="E166" s="1600"/>
      <c r="F166" s="1600"/>
      <c r="G166" s="1600"/>
      <c r="H166" s="1600"/>
      <c r="I166" s="1600"/>
      <c r="J166" s="1600"/>
      <c r="K166" s="1600"/>
      <c r="L166" s="1600"/>
      <c r="M166" s="1600"/>
      <c r="N166" s="1600"/>
      <c r="O166" s="1600"/>
      <c r="P166" s="1600"/>
      <c r="Q166" s="1601"/>
      <c r="U166" s="186"/>
      <c r="V166" s="186"/>
      <c r="W166" s="186"/>
      <c r="X166" s="186"/>
      <c r="Y166" s="186"/>
      <c r="Z166" s="186"/>
      <c r="AA166" s="186"/>
      <c r="AB166" s="186"/>
      <c r="AC166" s="186"/>
      <c r="AD166" s="186"/>
      <c r="AE166" s="805"/>
    </row>
    <row r="167" spans="1:31" ht="12" customHeight="1">
      <c r="B167" s="187" t="s">
        <v>2738</v>
      </c>
      <c r="C167" s="188"/>
      <c r="D167" s="856"/>
      <c r="E167" s="856"/>
      <c r="F167" s="856"/>
      <c r="G167" s="856"/>
      <c r="H167" s="856"/>
      <c r="I167" s="856"/>
      <c r="J167" s="856"/>
      <c r="K167" s="856"/>
      <c r="L167" s="856"/>
      <c r="M167" s="856"/>
      <c r="N167" s="856"/>
      <c r="O167" s="856"/>
      <c r="P167" s="856"/>
      <c r="Q167" s="856"/>
    </row>
    <row r="168" spans="1:31" ht="11.6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3799</v>
      </c>
      <c r="C170" s="5"/>
      <c r="D170" s="115"/>
      <c r="E170" s="115"/>
      <c r="F170" s="115"/>
      <c r="G170" s="856"/>
      <c r="H170" s="856"/>
      <c r="I170" s="856"/>
      <c r="J170" s="856"/>
      <c r="K170" s="856"/>
      <c r="L170" s="856"/>
      <c r="M170" s="856"/>
      <c r="O170" s="181" t="s">
        <v>2739</v>
      </c>
      <c r="P170" s="1114"/>
      <c r="Q170" s="1119"/>
    </row>
    <row r="171" spans="1:31" ht="4.1500000000000004" customHeight="1"/>
    <row r="172" spans="1:31" ht="11.65" customHeight="1">
      <c r="B172" s="192" t="s">
        <v>2862</v>
      </c>
      <c r="C172" s="635" t="s">
        <v>2590</v>
      </c>
      <c r="D172" s="634" t="s">
        <v>746</v>
      </c>
      <c r="E172" s="634"/>
      <c r="F172" s="634"/>
      <c r="G172" s="634"/>
      <c r="H172" s="634"/>
      <c r="I172" s="634"/>
      <c r="J172" s="634"/>
      <c r="K172" s="634"/>
      <c r="L172" s="634"/>
      <c r="M172" s="634"/>
      <c r="N172" s="634"/>
      <c r="O172" s="219" t="s">
        <v>2081</v>
      </c>
      <c r="P172" s="1595" t="s">
        <v>3984</v>
      </c>
      <c r="Q172" s="232"/>
    </row>
    <row r="173" spans="1:31" ht="11.65" customHeight="1">
      <c r="B173" s="192"/>
      <c r="C173" s="635" t="s">
        <v>2591</v>
      </c>
      <c r="D173" s="634" t="s">
        <v>2058</v>
      </c>
      <c r="E173" s="634"/>
      <c r="F173" s="634"/>
      <c r="G173" s="634"/>
      <c r="H173" s="634"/>
      <c r="I173" s="634"/>
      <c r="J173" s="634"/>
      <c r="K173" s="634"/>
      <c r="L173" s="634"/>
      <c r="M173" s="634"/>
      <c r="N173" s="634"/>
      <c r="O173" s="219" t="s">
        <v>2591</v>
      </c>
      <c r="P173" s="1595"/>
      <c r="Q173" s="232"/>
    </row>
    <row r="174" spans="1:31" ht="11.65" customHeight="1">
      <c r="A174" s="189"/>
      <c r="B174" s="192" t="s">
        <v>2865</v>
      </c>
      <c r="C174" s="1118" t="s">
        <v>2720</v>
      </c>
      <c r="D174" s="1118"/>
      <c r="E174" s="1118"/>
      <c r="F174" s="1118"/>
      <c r="G174" s="1118"/>
      <c r="H174" s="79" t="s">
        <v>2590</v>
      </c>
      <c r="I174" s="62" t="s">
        <v>894</v>
      </c>
      <c r="J174" s="1605" t="s">
        <v>3985</v>
      </c>
      <c r="K174" s="1606"/>
      <c r="L174" s="1606"/>
      <c r="M174" s="1606"/>
      <c r="N174" s="1607"/>
      <c r="O174" s="79" t="s">
        <v>2030</v>
      </c>
      <c r="P174" s="1595" t="s">
        <v>3976</v>
      </c>
      <c r="Q174" s="232"/>
    </row>
    <row r="175" spans="1:31" ht="11.65" customHeight="1">
      <c r="A175" s="189"/>
      <c r="B175" s="859"/>
      <c r="C175" s="1118"/>
      <c r="D175" s="1118"/>
      <c r="E175" s="1118"/>
      <c r="F175" s="1118"/>
      <c r="G175" s="1118"/>
      <c r="H175" s="79" t="s">
        <v>2591</v>
      </c>
      <c r="I175" s="62" t="s">
        <v>125</v>
      </c>
      <c r="J175" s="1605" t="s">
        <v>3985</v>
      </c>
      <c r="K175" s="1606"/>
      <c r="L175" s="1606"/>
      <c r="M175" s="1606"/>
      <c r="N175" s="1607"/>
      <c r="O175" s="79" t="s">
        <v>2591</v>
      </c>
      <c r="P175" s="1595" t="s">
        <v>3976</v>
      </c>
      <c r="Q175" s="232"/>
    </row>
    <row r="176" spans="1:31" ht="11.25" customHeight="1">
      <c r="B176" s="191" t="s">
        <v>2737</v>
      </c>
      <c r="D176" s="191"/>
      <c r="E176" s="191"/>
      <c r="F176" s="191"/>
      <c r="G176" s="191"/>
      <c r="H176" s="48"/>
      <c r="I176" s="180"/>
      <c r="J176" s="180"/>
      <c r="K176" s="180"/>
      <c r="L176" s="848"/>
      <c r="M176" s="848"/>
      <c r="N176" s="848"/>
      <c r="O176" s="848"/>
      <c r="P176" s="848"/>
      <c r="Q176" s="60"/>
    </row>
    <row r="177" spans="1:32" ht="11.65" customHeight="1">
      <c r="A177" s="1599"/>
      <c r="B177" s="1600"/>
      <c r="C177" s="1600"/>
      <c r="D177" s="1600"/>
      <c r="E177" s="1600"/>
      <c r="F177" s="1600"/>
      <c r="G177" s="1600"/>
      <c r="H177" s="1600"/>
      <c r="I177" s="1600"/>
      <c r="J177" s="1600"/>
      <c r="K177" s="1600"/>
      <c r="L177" s="1600"/>
      <c r="M177" s="1600"/>
      <c r="N177" s="1600"/>
      <c r="O177" s="1600"/>
      <c r="P177" s="1600"/>
      <c r="Q177" s="1601"/>
      <c r="U177" s="186"/>
      <c r="V177" s="186"/>
      <c r="W177" s="186"/>
      <c r="X177" s="186"/>
      <c r="Y177" s="186"/>
      <c r="Z177" s="186"/>
      <c r="AA177" s="186"/>
      <c r="AB177" s="186"/>
      <c r="AC177" s="186"/>
      <c r="AD177" s="186"/>
      <c r="AE177" s="805"/>
    </row>
    <row r="178" spans="1:32" ht="11.25" customHeight="1">
      <c r="B178" s="187" t="s">
        <v>2738</v>
      </c>
      <c r="C178" s="188"/>
      <c r="D178" s="856"/>
      <c r="E178" s="856"/>
      <c r="F178" s="856"/>
      <c r="G178" s="856"/>
      <c r="H178" s="856"/>
      <c r="I178" s="856"/>
      <c r="J178" s="856"/>
      <c r="K178" s="856"/>
      <c r="L178" s="856"/>
      <c r="M178" s="856"/>
      <c r="N178" s="856"/>
      <c r="O178" s="856"/>
      <c r="P178" s="856"/>
      <c r="Q178" s="856"/>
    </row>
    <row r="179" spans="1:32" ht="11.6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3800</v>
      </c>
      <c r="C181" s="5"/>
      <c r="D181" s="115"/>
      <c r="E181" s="115"/>
      <c r="F181" s="115"/>
      <c r="G181" s="115"/>
      <c r="H181" s="856"/>
      <c r="I181" s="856"/>
      <c r="J181" s="856"/>
      <c r="K181" s="856"/>
      <c r="L181" s="856"/>
      <c r="M181" s="856"/>
      <c r="O181" s="181" t="s">
        <v>2739</v>
      </c>
      <c r="P181" s="1114"/>
      <c r="Q181" s="1119"/>
    </row>
    <row r="182" spans="1:32" ht="10.9" customHeight="1">
      <c r="B182" s="195" t="s">
        <v>175</v>
      </c>
    </row>
    <row r="183" spans="1:32" ht="11.65" customHeight="1">
      <c r="B183" s="55" t="s">
        <v>2862</v>
      </c>
      <c r="C183" s="62" t="s">
        <v>179</v>
      </c>
      <c r="D183" s="50"/>
      <c r="E183" s="62"/>
      <c r="F183" s="62"/>
      <c r="G183" s="62"/>
      <c r="H183" s="62"/>
      <c r="I183" s="50"/>
      <c r="J183" s="50"/>
      <c r="K183" s="50"/>
      <c r="L183" s="197"/>
      <c r="M183" s="197"/>
      <c r="O183" s="219" t="s">
        <v>2862</v>
      </c>
      <c r="P183" s="1595" t="s">
        <v>3976</v>
      </c>
      <c r="Q183" s="232"/>
    </row>
    <row r="184" spans="1:32" ht="11.65" customHeight="1">
      <c r="B184" s="55" t="s">
        <v>2865</v>
      </c>
      <c r="C184" s="62" t="s">
        <v>176</v>
      </c>
      <c r="D184" s="62"/>
      <c r="E184" s="62"/>
      <c r="F184" s="62"/>
      <c r="G184" s="62"/>
      <c r="H184" s="62"/>
      <c r="I184" s="50"/>
      <c r="J184" s="50"/>
      <c r="K184" s="50"/>
      <c r="L184" s="190"/>
      <c r="M184" s="190"/>
      <c r="O184" s="219" t="s">
        <v>2865</v>
      </c>
      <c r="P184" s="1595" t="s">
        <v>3976</v>
      </c>
      <c r="Q184" s="232"/>
    </row>
    <row r="185" spans="1:32" s="199" customFormat="1" ht="11.65" customHeight="1">
      <c r="B185" s="55" t="s">
        <v>1145</v>
      </c>
      <c r="C185" s="62" t="s">
        <v>177</v>
      </c>
      <c r="D185" s="62"/>
      <c r="E185" s="62"/>
      <c r="F185" s="62"/>
      <c r="G185" s="62"/>
      <c r="H185" s="62"/>
      <c r="I185" s="126"/>
      <c r="J185" s="126"/>
      <c r="K185" s="126"/>
      <c r="L185" s="197"/>
      <c r="M185" s="197"/>
      <c r="N185" s="43"/>
      <c r="O185" s="219" t="s">
        <v>1145</v>
      </c>
      <c r="P185" s="1595" t="s">
        <v>3984</v>
      </c>
      <c r="Q185" s="232"/>
      <c r="AE185" s="807"/>
      <c r="AF185" s="807"/>
    </row>
    <row r="186" spans="1:32" s="199" customFormat="1" ht="11.65" customHeight="1">
      <c r="B186" s="55" t="s">
        <v>3004</v>
      </c>
      <c r="C186" s="62" t="s">
        <v>178</v>
      </c>
      <c r="D186" s="62"/>
      <c r="E186" s="62"/>
      <c r="F186" s="62"/>
      <c r="G186" s="62"/>
      <c r="H186" s="62"/>
      <c r="I186" s="126"/>
      <c r="J186" s="126"/>
      <c r="K186" s="126"/>
      <c r="L186" s="126"/>
      <c r="M186" s="126"/>
      <c r="O186" s="803" t="s">
        <v>3004</v>
      </c>
      <c r="P186" s="1595" t="s">
        <v>3976</v>
      </c>
      <c r="Q186" s="232"/>
      <c r="AE186" s="807"/>
      <c r="AF186" s="807"/>
    </row>
    <row r="187" spans="1:32" ht="11.25" customHeight="1">
      <c r="B187" s="191" t="s">
        <v>2737</v>
      </c>
      <c r="D187" s="191"/>
      <c r="E187" s="191"/>
      <c r="F187" s="191"/>
      <c r="G187" s="191"/>
      <c r="H187" s="48"/>
      <c r="I187" s="180"/>
      <c r="J187" s="180"/>
      <c r="K187" s="180"/>
      <c r="L187" s="848"/>
      <c r="M187" s="848"/>
      <c r="N187" s="848"/>
      <c r="O187" s="848"/>
      <c r="P187" s="848"/>
      <c r="Q187" s="60"/>
    </row>
    <row r="188" spans="1:32" ht="13.15" customHeight="1">
      <c r="A188" s="1599"/>
      <c r="B188" s="1600"/>
      <c r="C188" s="1600"/>
      <c r="D188" s="1600"/>
      <c r="E188" s="1600"/>
      <c r="F188" s="1600"/>
      <c r="G188" s="1600"/>
      <c r="H188" s="1600"/>
      <c r="I188" s="1600"/>
      <c r="J188" s="1600"/>
      <c r="K188" s="1600"/>
      <c r="L188" s="1600"/>
      <c r="M188" s="1600"/>
      <c r="N188" s="1600"/>
      <c r="O188" s="1600"/>
      <c r="P188" s="1600"/>
      <c r="Q188" s="1601"/>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3801</v>
      </c>
      <c r="C193" s="154"/>
      <c r="D193" s="856"/>
      <c r="E193" s="856"/>
      <c r="F193" s="856"/>
      <c r="G193" s="856"/>
      <c r="H193" s="856"/>
      <c r="I193" s="856"/>
      <c r="J193" s="856"/>
      <c r="K193" s="856"/>
      <c r="L193" s="856"/>
      <c r="M193" s="856"/>
      <c r="O193" s="181" t="s">
        <v>2739</v>
      </c>
      <c r="P193" s="1114"/>
      <c r="Q193" s="1119"/>
    </row>
    <row r="194" spans="1:32" s="31" customFormat="1" ht="11.65" customHeight="1">
      <c r="B194" s="195" t="s">
        <v>1716</v>
      </c>
      <c r="N194" s="166"/>
      <c r="P194" s="1595" t="s">
        <v>3984</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65" customHeight="1">
      <c r="B196" s="55"/>
      <c r="C196" s="79" t="s">
        <v>2590</v>
      </c>
      <c r="D196" s="62" t="s">
        <v>2809</v>
      </c>
      <c r="E196" s="62"/>
      <c r="F196" s="62"/>
      <c r="G196" s="62"/>
      <c r="H196" s="62"/>
      <c r="I196" s="50"/>
      <c r="J196" s="50"/>
      <c r="K196" s="50"/>
      <c r="L196" s="79" t="s">
        <v>2081</v>
      </c>
      <c r="M196" s="1605" t="s">
        <v>4065</v>
      </c>
      <c r="N196" s="1606"/>
      <c r="O196" s="1607"/>
      <c r="P196" s="1595" t="s">
        <v>4022</v>
      </c>
      <c r="Q196" s="232"/>
    </row>
    <row r="197" spans="1:32" ht="11.65" customHeight="1">
      <c r="B197" s="55"/>
      <c r="C197" s="79" t="s">
        <v>2591</v>
      </c>
      <c r="D197" s="38" t="s">
        <v>180</v>
      </c>
      <c r="E197" s="38"/>
      <c r="F197" s="38"/>
      <c r="G197" s="38"/>
      <c r="H197" s="38"/>
      <c r="I197" s="50"/>
      <c r="J197" s="50"/>
      <c r="K197" s="50"/>
      <c r="L197" s="79" t="s">
        <v>2082</v>
      </c>
      <c r="M197" s="1605" t="s">
        <v>4025</v>
      </c>
      <c r="N197" s="1606"/>
      <c r="O197" s="1607"/>
      <c r="P197" s="1595" t="s">
        <v>4022</v>
      </c>
      <c r="Q197" s="232"/>
    </row>
    <row r="198" spans="1:32" ht="11.65" customHeight="1">
      <c r="B198" s="55"/>
      <c r="C198" s="79" t="s">
        <v>2592</v>
      </c>
      <c r="D198" s="38" t="s">
        <v>796</v>
      </c>
      <c r="E198" s="38"/>
      <c r="F198" s="38"/>
      <c r="G198" s="38"/>
      <c r="H198" s="38"/>
      <c r="I198" s="50"/>
      <c r="J198" s="50"/>
      <c r="K198" s="50"/>
      <c r="L198" s="79" t="s">
        <v>2083</v>
      </c>
      <c r="M198" s="1627" t="s">
        <v>4026</v>
      </c>
      <c r="N198" s="1628"/>
      <c r="O198" s="1629"/>
      <c r="P198" s="1595" t="s">
        <v>4022</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95" t="s">
        <v>4022</v>
      </c>
      <c r="Q200" s="232"/>
    </row>
    <row r="201" spans="1:32" ht="10.9" customHeight="1">
      <c r="B201" s="55"/>
      <c r="C201" s="62" t="s">
        <v>3519</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65" customHeight="1">
      <c r="A203" s="126"/>
      <c r="B203" s="61"/>
      <c r="C203" s="79" t="s">
        <v>2590</v>
      </c>
      <c r="D203" s="1630" t="s">
        <v>4027</v>
      </c>
      <c r="E203" s="1631"/>
      <c r="F203" s="1631"/>
      <c r="G203" s="1631"/>
      <c r="H203" s="1632"/>
      <c r="I203" s="447"/>
      <c r="J203" s="292"/>
      <c r="K203" s="79" t="s">
        <v>2592</v>
      </c>
      <c r="L203" s="1630"/>
      <c r="M203" s="1631"/>
      <c r="N203" s="1631"/>
      <c r="O203" s="1632"/>
      <c r="P203" s="355"/>
      <c r="Q203" s="292"/>
      <c r="AE203" s="64"/>
      <c r="AF203" s="64"/>
    </row>
    <row r="204" spans="1:32" s="51" customFormat="1" ht="11.65" customHeight="1">
      <c r="A204" s="126"/>
      <c r="B204" s="61"/>
      <c r="C204" s="79" t="s">
        <v>2591</v>
      </c>
      <c r="D204" s="1633" t="s">
        <v>4028</v>
      </c>
      <c r="E204" s="1634"/>
      <c r="F204" s="1634"/>
      <c r="G204" s="1634"/>
      <c r="H204" s="1635"/>
      <c r="I204" s="652"/>
      <c r="J204" s="293"/>
      <c r="K204" s="79" t="s">
        <v>3331</v>
      </c>
      <c r="L204" s="1633"/>
      <c r="M204" s="1634"/>
      <c r="N204" s="1634"/>
      <c r="O204" s="1635"/>
      <c r="P204" s="356"/>
      <c r="Q204" s="293"/>
      <c r="AE204" s="64"/>
      <c r="AF204" s="64"/>
    </row>
    <row r="205" spans="1:32" ht="3.4"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95" t="s">
        <v>4022</v>
      </c>
      <c r="Q206" s="232"/>
    </row>
    <row r="207" spans="1:32" ht="11.65" customHeight="1">
      <c r="B207" s="55"/>
      <c r="C207" s="79" t="s">
        <v>2590</v>
      </c>
      <c r="D207" s="62" t="s">
        <v>188</v>
      </c>
      <c r="E207" s="62"/>
      <c r="F207" s="62"/>
      <c r="G207" s="62"/>
      <c r="H207" s="62"/>
      <c r="I207" s="50"/>
      <c r="J207" s="40"/>
      <c r="K207" s="50"/>
      <c r="L207" s="40"/>
      <c r="M207" s="40"/>
      <c r="O207" s="79" t="s">
        <v>2590</v>
      </c>
      <c r="P207" s="1595" t="s">
        <v>3976</v>
      </c>
      <c r="Q207" s="232"/>
    </row>
    <row r="208" spans="1:32" ht="11.65" customHeight="1">
      <c r="C208" s="79" t="s">
        <v>2591</v>
      </c>
      <c r="D208" s="38" t="s">
        <v>2490</v>
      </c>
      <c r="E208" s="38"/>
      <c r="F208" s="38"/>
      <c r="G208" s="38"/>
      <c r="H208" s="38"/>
      <c r="I208" s="50"/>
      <c r="J208" s="40"/>
      <c r="K208" s="50"/>
      <c r="L208" s="40"/>
      <c r="M208" s="40"/>
      <c r="O208" s="79" t="s">
        <v>2591</v>
      </c>
      <c r="P208" s="1595" t="s">
        <v>3976</v>
      </c>
      <c r="Q208" s="232"/>
    </row>
    <row r="209" spans="1:31" ht="11.65" customHeight="1">
      <c r="C209" s="79" t="s">
        <v>2592</v>
      </c>
      <c r="D209" s="38" t="s">
        <v>2107</v>
      </c>
      <c r="E209" s="38"/>
      <c r="F209" s="38"/>
      <c r="G209" s="38"/>
      <c r="H209" s="38"/>
      <c r="I209" s="50"/>
      <c r="J209" s="40"/>
      <c r="K209" s="50"/>
      <c r="L209" s="40"/>
      <c r="M209" s="40"/>
      <c r="O209" s="79" t="s">
        <v>2592</v>
      </c>
      <c r="P209" s="1595" t="s">
        <v>3976</v>
      </c>
      <c r="Q209" s="232"/>
    </row>
    <row r="210" spans="1:31" ht="11.65" customHeight="1">
      <c r="B210" s="55"/>
      <c r="C210" s="79" t="s">
        <v>3331</v>
      </c>
      <c r="D210" s="38" t="s">
        <v>189</v>
      </c>
      <c r="E210" s="38"/>
      <c r="F210" s="38"/>
      <c r="G210" s="38"/>
      <c r="H210" s="38"/>
      <c r="I210" s="50"/>
      <c r="J210" s="40"/>
      <c r="K210" s="50"/>
      <c r="L210" s="40"/>
      <c r="M210" s="40"/>
      <c r="O210" s="79" t="s">
        <v>3331</v>
      </c>
      <c r="P210" s="1595" t="s">
        <v>3976</v>
      </c>
      <c r="Q210" s="232"/>
    </row>
    <row r="211" spans="1:31" ht="11.65" customHeight="1">
      <c r="B211" s="55"/>
      <c r="C211" s="79" t="s">
        <v>2153</v>
      </c>
      <c r="D211" s="62" t="s">
        <v>1256</v>
      </c>
      <c r="E211" s="62"/>
      <c r="F211" s="62"/>
      <c r="G211" s="62"/>
      <c r="H211" s="62"/>
      <c r="I211" s="50"/>
      <c r="J211" s="40"/>
      <c r="K211" s="50"/>
      <c r="L211" s="40"/>
      <c r="M211" s="40"/>
      <c r="O211" s="79" t="s">
        <v>1257</v>
      </c>
      <c r="P211" s="1595" t="s">
        <v>3976</v>
      </c>
      <c r="Q211" s="232"/>
    </row>
    <row r="212" spans="1:31" ht="11.65" customHeight="1">
      <c r="B212" s="55"/>
      <c r="C212" s="79"/>
      <c r="D212" s="62" t="s">
        <v>2084</v>
      </c>
      <c r="E212" s="62"/>
      <c r="F212" s="62"/>
      <c r="G212" s="62"/>
      <c r="H212" s="62"/>
      <c r="I212" s="50"/>
      <c r="J212" s="40"/>
      <c r="K212" s="50"/>
      <c r="L212" s="40"/>
      <c r="M212" s="40"/>
      <c r="O212" s="79" t="s">
        <v>1258</v>
      </c>
      <c r="P212" s="1595"/>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95" t="s">
        <v>4022</v>
      </c>
      <c r="Q214" s="232"/>
    </row>
    <row r="215" spans="1:31" ht="11.65" customHeight="1">
      <c r="B215" s="55"/>
      <c r="C215" s="79" t="s">
        <v>2590</v>
      </c>
      <c r="D215" s="47" t="s">
        <v>1807</v>
      </c>
      <c r="E215" s="50"/>
      <c r="F215" s="50"/>
      <c r="G215" s="47"/>
      <c r="H215" s="38"/>
      <c r="I215" s="50"/>
      <c r="J215" s="38"/>
      <c r="K215" s="50"/>
      <c r="L215" s="38"/>
      <c r="M215" s="38"/>
      <c r="O215" s="79" t="s">
        <v>2590</v>
      </c>
      <c r="P215" s="1595" t="s">
        <v>3976</v>
      </c>
      <c r="Q215" s="232"/>
    </row>
    <row r="216" spans="1:31" ht="11.65" customHeight="1">
      <c r="B216" s="55"/>
      <c r="C216" s="79" t="s">
        <v>2591</v>
      </c>
      <c r="D216" s="47" t="s">
        <v>181</v>
      </c>
      <c r="E216" s="50"/>
      <c r="F216" s="50"/>
      <c r="G216" s="38"/>
      <c r="H216" s="38"/>
      <c r="I216" s="50"/>
      <c r="J216" s="38"/>
      <c r="K216" s="50"/>
      <c r="L216" s="38"/>
      <c r="M216" s="38"/>
      <c r="O216" s="79" t="s">
        <v>2591</v>
      </c>
      <c r="P216" s="1595" t="s">
        <v>3976</v>
      </c>
      <c r="Q216" s="232"/>
    </row>
    <row r="217" spans="1:31" ht="11.65" customHeight="1">
      <c r="B217" s="55"/>
      <c r="C217" s="79" t="s">
        <v>2592</v>
      </c>
      <c r="D217" s="38" t="s">
        <v>2468</v>
      </c>
      <c r="E217" s="50"/>
      <c r="F217" s="50"/>
      <c r="G217" s="38"/>
      <c r="H217" s="38"/>
      <c r="I217" s="50"/>
      <c r="J217" s="38"/>
      <c r="K217" s="50"/>
      <c r="L217" s="38"/>
      <c r="M217" s="38"/>
      <c r="O217" s="79" t="s">
        <v>3340</v>
      </c>
      <c r="P217" s="1595" t="s">
        <v>3976</v>
      </c>
      <c r="Q217" s="232"/>
    </row>
    <row r="218" spans="1:31" ht="11.65" customHeight="1">
      <c r="B218" s="44"/>
      <c r="C218" s="50"/>
      <c r="D218" s="38" t="s">
        <v>1852</v>
      </c>
      <c r="E218" s="50"/>
      <c r="F218" s="50"/>
      <c r="G218" s="38"/>
      <c r="H218" s="38"/>
      <c r="I218" s="50"/>
      <c r="J218" s="38"/>
      <c r="K218" s="50"/>
      <c r="L218" s="38"/>
      <c r="M218" s="38"/>
      <c r="O218" s="79" t="s">
        <v>3341</v>
      </c>
      <c r="P218" s="1595"/>
      <c r="Q218" s="232"/>
    </row>
    <row r="219" spans="1:31" ht="11.25" customHeight="1">
      <c r="B219" s="191" t="s">
        <v>2737</v>
      </c>
      <c r="D219" s="191"/>
      <c r="E219" s="191"/>
      <c r="F219" s="191"/>
      <c r="G219" s="191"/>
      <c r="H219" s="48"/>
      <c r="I219" s="180"/>
      <c r="J219" s="180"/>
      <c r="K219" s="180"/>
      <c r="L219" s="848"/>
      <c r="M219" s="848"/>
      <c r="N219" s="848"/>
      <c r="O219" s="848"/>
      <c r="P219" s="848"/>
      <c r="Q219" s="60"/>
    </row>
    <row r="220" spans="1:31" ht="11.65" customHeight="1">
      <c r="A220" s="1599"/>
      <c r="B220" s="1600"/>
      <c r="C220" s="1600"/>
      <c r="D220" s="1600"/>
      <c r="E220" s="1600"/>
      <c r="F220" s="1600"/>
      <c r="G220" s="1600"/>
      <c r="H220" s="1600"/>
      <c r="I220" s="1600"/>
      <c r="J220" s="1600"/>
      <c r="K220" s="1600"/>
      <c r="L220" s="1600"/>
      <c r="M220" s="1600"/>
      <c r="N220" s="1600"/>
      <c r="O220" s="1600"/>
      <c r="P220" s="1600"/>
      <c r="Q220" s="1601"/>
      <c r="R220" s="736" t="s">
        <v>1806</v>
      </c>
      <c r="S220" s="737"/>
      <c r="U220" s="186"/>
      <c r="V220" s="186"/>
      <c r="W220" s="186"/>
      <c r="X220" s="186"/>
      <c r="Y220" s="186"/>
      <c r="Z220" s="186"/>
      <c r="AA220" s="186"/>
      <c r="AB220" s="186"/>
      <c r="AC220" s="186"/>
      <c r="AD220" s="186"/>
      <c r="AE220" s="805"/>
    </row>
    <row r="221" spans="1:31" ht="11.25" customHeight="1">
      <c r="B221" s="187" t="s">
        <v>2738</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3802</v>
      </c>
      <c r="C224" s="5"/>
      <c r="D224" s="115"/>
      <c r="E224" s="115"/>
      <c r="F224" s="115"/>
      <c r="G224" s="115"/>
      <c r="H224" s="856"/>
      <c r="I224" s="856"/>
      <c r="J224" s="856"/>
      <c r="K224" s="856"/>
      <c r="L224" s="856"/>
      <c r="M224" s="856"/>
      <c r="O224" s="181" t="s">
        <v>2739</v>
      </c>
      <c r="P224" s="1114"/>
      <c r="Q224" s="1119"/>
    </row>
    <row r="225" spans="1:32" ht="4.9000000000000004" customHeight="1"/>
    <row r="226" spans="1:32" ht="11.65" customHeight="1">
      <c r="B226" s="55" t="s">
        <v>2862</v>
      </c>
      <c r="C226" s="62" t="s">
        <v>1823</v>
      </c>
      <c r="D226" s="50"/>
      <c r="E226" s="62"/>
      <c r="F226" s="62"/>
      <c r="G226" s="62"/>
      <c r="H226" s="62"/>
      <c r="I226" s="50"/>
      <c r="J226" s="50"/>
      <c r="K226" s="50"/>
      <c r="L226" s="803" t="s">
        <v>2862</v>
      </c>
      <c r="M226" s="1605" t="s">
        <v>2626</v>
      </c>
      <c r="N226" s="1606"/>
      <c r="O226" s="1607"/>
      <c r="P226" s="1132" t="s">
        <v>2626</v>
      </c>
      <c r="Q226" s="1133"/>
    </row>
    <row r="227" spans="1:32" ht="11.65" customHeight="1">
      <c r="B227" s="55" t="s">
        <v>2865</v>
      </c>
      <c r="C227" s="62" t="s">
        <v>1795</v>
      </c>
      <c r="D227" s="62"/>
      <c r="E227" s="62"/>
      <c r="F227" s="62"/>
      <c r="G227" s="62"/>
      <c r="H227" s="62"/>
      <c r="I227" s="50"/>
      <c r="J227" s="50"/>
      <c r="K227" s="50"/>
      <c r="L227" s="803" t="s">
        <v>2865</v>
      </c>
      <c r="M227" s="1636"/>
      <c r="N227" s="1637"/>
      <c r="O227" s="1638"/>
      <c r="P227" s="1163"/>
      <c r="Q227" s="1164"/>
    </row>
    <row r="228" spans="1:32" s="199" customFormat="1" ht="11.65" customHeight="1">
      <c r="B228" s="55" t="s">
        <v>1145</v>
      </c>
      <c r="C228" s="62" t="s">
        <v>2823</v>
      </c>
      <c r="D228" s="62"/>
      <c r="E228" s="62"/>
      <c r="F228" s="62"/>
      <c r="G228" s="62"/>
      <c r="H228" s="62"/>
      <c r="I228" s="126"/>
      <c r="J228" s="126"/>
      <c r="K228" s="126"/>
      <c r="L228" s="803" t="s">
        <v>1145</v>
      </c>
      <c r="M228" s="1605"/>
      <c r="N228" s="1606"/>
      <c r="O228" s="1607"/>
      <c r="P228" s="1132"/>
      <c r="Q228" s="1133"/>
      <c r="AE228" s="807"/>
      <c r="AF228" s="807"/>
    </row>
    <row r="229" spans="1:32" s="199" customFormat="1" ht="11.65" customHeight="1">
      <c r="B229" s="55" t="s">
        <v>3004</v>
      </c>
      <c r="C229" s="62" t="s">
        <v>3568</v>
      </c>
      <c r="D229" s="62"/>
      <c r="E229" s="62"/>
      <c r="F229" s="62"/>
      <c r="G229" s="62"/>
      <c r="H229" s="62"/>
      <c r="I229" s="126"/>
      <c r="J229" s="126"/>
      <c r="K229" s="126"/>
      <c r="L229" s="126"/>
      <c r="M229" s="126"/>
      <c r="O229" s="803" t="s">
        <v>3004</v>
      </c>
      <c r="P229" s="1595"/>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95"/>
      <c r="Q230" s="232"/>
      <c r="AE230" s="807"/>
      <c r="AF230" s="807"/>
    </row>
    <row r="231" spans="1:32" ht="11.25" customHeight="1">
      <c r="B231" s="191" t="s">
        <v>2737</v>
      </c>
      <c r="D231" s="191"/>
      <c r="E231" s="191"/>
      <c r="F231" s="191"/>
      <c r="G231" s="191"/>
      <c r="H231" s="48"/>
      <c r="I231" s="180"/>
      <c r="J231" s="180"/>
      <c r="K231" s="180"/>
      <c r="L231" s="848"/>
      <c r="M231" s="848"/>
      <c r="N231" s="848"/>
      <c r="O231" s="848"/>
      <c r="P231" s="848"/>
      <c r="Q231" s="60"/>
    </row>
    <row r="232" spans="1:32" ht="13.15" customHeight="1">
      <c r="A232" s="1599"/>
      <c r="B232" s="1600"/>
      <c r="C232" s="1600"/>
      <c r="D232" s="1600"/>
      <c r="E232" s="1600"/>
      <c r="F232" s="1600"/>
      <c r="G232" s="1600"/>
      <c r="H232" s="1600"/>
      <c r="I232" s="1600"/>
      <c r="J232" s="1600"/>
      <c r="K232" s="1600"/>
      <c r="L232" s="1600"/>
      <c r="M232" s="1600"/>
      <c r="N232" s="1600"/>
      <c r="O232" s="1600"/>
      <c r="P232" s="1600"/>
      <c r="Q232" s="1601"/>
      <c r="R232" s="736" t="s">
        <v>1806</v>
      </c>
      <c r="S232" s="737"/>
      <c r="U232" s="186"/>
      <c r="V232" s="186"/>
      <c r="W232" s="186"/>
      <c r="X232" s="186"/>
      <c r="Y232" s="186"/>
      <c r="Z232" s="186"/>
      <c r="AA232" s="186"/>
      <c r="AB232" s="186"/>
      <c r="AC232" s="186"/>
      <c r="AD232" s="186"/>
      <c r="AE232" s="805"/>
    </row>
    <row r="233" spans="1:32" ht="10.9" customHeight="1">
      <c r="B233" s="187" t="s">
        <v>2738</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3803</v>
      </c>
      <c r="C236" s="5"/>
      <c r="D236" s="115"/>
      <c r="E236" s="115"/>
      <c r="F236" s="115"/>
      <c r="G236" s="115"/>
      <c r="H236" s="856"/>
      <c r="I236" s="856"/>
      <c r="J236" s="856"/>
      <c r="K236" s="856"/>
      <c r="L236" s="856"/>
      <c r="M236" s="856"/>
      <c r="O236" s="181" t="s">
        <v>2739</v>
      </c>
      <c r="P236" s="1114"/>
      <c r="Q236" s="1119"/>
    </row>
    <row r="237" spans="1:32" ht="3" customHeight="1"/>
    <row r="238" spans="1:32" s="661" customFormat="1" ht="11.25" customHeight="1">
      <c r="B238" s="192" t="s">
        <v>2862</v>
      </c>
      <c r="C238" s="1118" t="s">
        <v>3846</v>
      </c>
      <c r="D238" s="1118"/>
      <c r="E238" s="1118"/>
      <c r="F238" s="1118"/>
      <c r="G238" s="1118"/>
      <c r="H238" s="1118"/>
      <c r="I238" s="1118"/>
      <c r="J238" s="1118"/>
      <c r="K238" s="1118"/>
      <c r="L238" s="1118"/>
      <c r="M238" s="1118"/>
      <c r="N238" s="1118"/>
      <c r="O238" s="219" t="s">
        <v>2862</v>
      </c>
      <c r="P238" s="1616" t="s">
        <v>3976</v>
      </c>
      <c r="Q238" s="354"/>
      <c r="AE238" s="808"/>
      <c r="AF238" s="808"/>
    </row>
    <row r="239" spans="1:32" s="199" customFormat="1" ht="11.65" customHeight="1">
      <c r="B239" s="55" t="s">
        <v>2865</v>
      </c>
      <c r="C239" s="62" t="s">
        <v>1977</v>
      </c>
      <c r="D239" s="62"/>
      <c r="E239" s="62"/>
      <c r="F239" s="62"/>
      <c r="G239" s="62"/>
      <c r="H239" s="62"/>
      <c r="I239" s="62"/>
      <c r="J239" s="62"/>
      <c r="K239" s="62"/>
      <c r="L239" s="62"/>
      <c r="M239" s="62"/>
      <c r="O239" s="803" t="s">
        <v>2865</v>
      </c>
      <c r="P239" s="1595" t="s">
        <v>3976</v>
      </c>
      <c r="Q239" s="232"/>
      <c r="AE239" s="807"/>
      <c r="AF239" s="807"/>
    </row>
    <row r="240" spans="1:32" ht="11.25" customHeight="1">
      <c r="B240" s="191" t="s">
        <v>2737</v>
      </c>
      <c r="D240" s="191"/>
      <c r="E240" s="191"/>
      <c r="F240" s="191"/>
      <c r="G240" s="191"/>
      <c r="H240" s="48"/>
      <c r="I240" s="180"/>
      <c r="J240" s="180"/>
      <c r="K240" s="180"/>
      <c r="L240" s="848"/>
      <c r="M240" s="848"/>
      <c r="N240" s="848"/>
      <c r="O240" s="848"/>
      <c r="P240" s="848"/>
      <c r="Q240" s="60"/>
    </row>
    <row r="241" spans="1:32" ht="13.15" customHeight="1">
      <c r="A241" s="1599"/>
      <c r="B241" s="1600"/>
      <c r="C241" s="1600"/>
      <c r="D241" s="1600"/>
      <c r="E241" s="1600"/>
      <c r="F241" s="1600"/>
      <c r="G241" s="1600"/>
      <c r="H241" s="1600"/>
      <c r="I241" s="1600"/>
      <c r="J241" s="1600"/>
      <c r="K241" s="1600"/>
      <c r="L241" s="1600"/>
      <c r="M241" s="1600"/>
      <c r="N241" s="1600"/>
      <c r="O241" s="1600"/>
      <c r="P241" s="1600"/>
      <c r="Q241" s="1601"/>
      <c r="R241" s="736" t="s">
        <v>1806</v>
      </c>
      <c r="S241" s="737"/>
      <c r="U241" s="186"/>
      <c r="V241" s="186"/>
      <c r="W241" s="186"/>
      <c r="X241" s="186"/>
      <c r="Y241" s="186"/>
      <c r="Z241" s="186"/>
      <c r="AA241" s="186"/>
      <c r="AB241" s="186"/>
      <c r="AC241" s="186"/>
      <c r="AD241" s="186"/>
      <c r="AE241" s="805"/>
    </row>
    <row r="242" spans="1:32" ht="11.25" customHeight="1">
      <c r="B242" s="187" t="s">
        <v>2738</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3804</v>
      </c>
      <c r="C245" s="857"/>
      <c r="D245" s="856"/>
      <c r="E245" s="856"/>
      <c r="F245" s="856"/>
      <c r="G245" s="856"/>
      <c r="H245" s="856"/>
      <c r="I245" s="856"/>
      <c r="J245" s="856"/>
      <c r="K245" s="856"/>
      <c r="L245" s="856"/>
      <c r="M245" s="856"/>
      <c r="O245" s="181" t="s">
        <v>2739</v>
      </c>
      <c r="P245" s="1114"/>
      <c r="Q245" s="1119"/>
    </row>
    <row r="246" spans="1:32" ht="3" customHeight="1"/>
    <row r="247" spans="1:32" s="661" customFormat="1" ht="24" customHeight="1">
      <c r="B247" s="192" t="s">
        <v>2862</v>
      </c>
      <c r="C247" s="1113" t="s">
        <v>3890</v>
      </c>
      <c r="D247" s="1006"/>
      <c r="E247" s="1006"/>
      <c r="F247" s="1006"/>
      <c r="G247" s="1006"/>
      <c r="H247" s="1006"/>
      <c r="I247" s="1006"/>
      <c r="J247" s="1006"/>
      <c r="K247" s="1006"/>
      <c r="L247" s="1006"/>
      <c r="M247" s="1006"/>
      <c r="N247" s="1006"/>
      <c r="O247" s="219" t="s">
        <v>2862</v>
      </c>
      <c r="P247" s="1595" t="s">
        <v>4022</v>
      </c>
      <c r="Q247" s="232"/>
      <c r="AE247" s="808"/>
      <c r="AF247" s="808"/>
    </row>
    <row r="248" spans="1:32" s="661" customFormat="1" ht="24" customHeight="1">
      <c r="B248" s="192" t="s">
        <v>2865</v>
      </c>
      <c r="C248" s="1113" t="s">
        <v>3891</v>
      </c>
      <c r="D248" s="1006"/>
      <c r="E248" s="1006"/>
      <c r="F248" s="1006"/>
      <c r="G248" s="1006"/>
      <c r="H248" s="1006"/>
      <c r="I248" s="1006"/>
      <c r="J248" s="1006"/>
      <c r="K248" s="1006"/>
      <c r="L248" s="1006"/>
      <c r="M248" s="1006"/>
      <c r="N248" s="1006"/>
      <c r="O248" s="219" t="s">
        <v>2865</v>
      </c>
      <c r="P248" s="1595" t="s">
        <v>4022</v>
      </c>
      <c r="Q248" s="232"/>
      <c r="AE248" s="808"/>
      <c r="AF248" s="808"/>
    </row>
    <row r="249" spans="1:32" ht="11.25" customHeight="1">
      <c r="B249" s="191" t="s">
        <v>2737</v>
      </c>
      <c r="D249" s="191"/>
      <c r="E249" s="191"/>
      <c r="F249" s="191"/>
      <c r="G249" s="191"/>
      <c r="H249" s="48"/>
      <c r="I249" s="180"/>
      <c r="J249" s="180"/>
      <c r="K249" s="180"/>
      <c r="L249" s="848"/>
      <c r="M249" s="848"/>
      <c r="N249" s="848"/>
      <c r="O249" s="848"/>
      <c r="P249" s="848"/>
      <c r="Q249" s="60"/>
    </row>
    <row r="250" spans="1:32" ht="13.15" customHeight="1">
      <c r="A250" s="1599"/>
      <c r="B250" s="1600"/>
      <c r="C250" s="1600"/>
      <c r="D250" s="1600"/>
      <c r="E250" s="1600"/>
      <c r="F250" s="1600"/>
      <c r="G250" s="1600"/>
      <c r="H250" s="1600"/>
      <c r="I250" s="1600"/>
      <c r="J250" s="1600"/>
      <c r="K250" s="1600"/>
      <c r="L250" s="1600"/>
      <c r="M250" s="1600"/>
      <c r="N250" s="1600"/>
      <c r="O250" s="1600"/>
      <c r="P250" s="1600"/>
      <c r="Q250" s="1601"/>
      <c r="R250" s="736" t="s">
        <v>1806</v>
      </c>
      <c r="S250" s="737"/>
      <c r="U250" s="186"/>
      <c r="V250" s="186"/>
      <c r="W250" s="186"/>
      <c r="X250" s="186"/>
      <c r="Y250" s="186"/>
      <c r="Z250" s="186"/>
      <c r="AA250" s="186"/>
      <c r="AB250" s="186"/>
      <c r="AC250" s="186"/>
      <c r="AD250" s="186"/>
      <c r="AE250" s="805"/>
    </row>
    <row r="251" spans="1:32" ht="11.25" customHeight="1">
      <c r="B251" s="187" t="s">
        <v>2738</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6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3805</v>
      </c>
      <c r="C254" s="200"/>
      <c r="D254" s="855"/>
      <c r="E254" s="856"/>
      <c r="F254" s="856"/>
      <c r="G254" s="856"/>
      <c r="H254" s="856"/>
      <c r="I254" s="856"/>
      <c r="J254" s="856"/>
      <c r="K254" s="856"/>
      <c r="L254" s="856"/>
      <c r="M254" s="856"/>
      <c r="O254" s="181" t="s">
        <v>2739</v>
      </c>
      <c r="P254" s="1114"/>
      <c r="Q254" s="1119"/>
    </row>
    <row r="255" spans="1:32" s="199" customFormat="1" ht="46.5" customHeight="1">
      <c r="B255" s="192" t="s">
        <v>2862</v>
      </c>
      <c r="C255" s="1113" t="s">
        <v>3833</v>
      </c>
      <c r="D255" s="1113"/>
      <c r="E255" s="1113"/>
      <c r="F255" s="1113"/>
      <c r="G255" s="1113"/>
      <c r="H255" s="1113"/>
      <c r="I255" s="1113"/>
      <c r="J255" s="1113"/>
      <c r="K255" s="1113"/>
      <c r="L255" s="1113"/>
      <c r="M255" s="1113"/>
      <c r="N255" s="1113"/>
      <c r="O255" s="219" t="s">
        <v>2862</v>
      </c>
      <c r="P255" s="1616" t="s">
        <v>3976</v>
      </c>
      <c r="Q255" s="232"/>
      <c r="AE255" s="807"/>
      <c r="AF255" s="807"/>
    </row>
    <row r="256" spans="1:32" s="126" customFormat="1">
      <c r="B256" s="55" t="s">
        <v>2865</v>
      </c>
      <c r="C256" s="1097" t="s">
        <v>3834</v>
      </c>
      <c r="D256" s="1097"/>
      <c r="E256" s="1097"/>
      <c r="F256" s="1097"/>
      <c r="G256" s="1097"/>
      <c r="H256" s="1097"/>
      <c r="I256" s="1097"/>
      <c r="J256" s="1097"/>
      <c r="K256" s="1097"/>
      <c r="L256" s="1097"/>
      <c r="M256" s="1097"/>
      <c r="N256" s="1097"/>
      <c r="O256" s="803" t="s">
        <v>2865</v>
      </c>
      <c r="P256" s="1595" t="s">
        <v>3976</v>
      </c>
      <c r="Q256" s="232"/>
      <c r="AE256" s="809"/>
      <c r="AF256" s="809"/>
    </row>
    <row r="257" spans="1:256" s="661" customFormat="1" ht="22.9" customHeight="1">
      <c r="B257" s="192" t="s">
        <v>1145</v>
      </c>
      <c r="C257" s="1113" t="s">
        <v>2708</v>
      </c>
      <c r="D257" s="1006"/>
      <c r="E257" s="1006"/>
      <c r="F257" s="1006"/>
      <c r="G257" s="1006"/>
      <c r="H257" s="1006"/>
      <c r="I257" s="1006"/>
      <c r="J257" s="1006"/>
      <c r="K257" s="1006"/>
      <c r="L257" s="1006"/>
      <c r="M257" s="1006"/>
      <c r="N257" s="1006"/>
      <c r="O257" s="219" t="s">
        <v>1145</v>
      </c>
      <c r="P257" s="1616" t="s">
        <v>3976</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95" t="s">
        <v>3976</v>
      </c>
      <c r="Q258" s="232"/>
      <c r="AE258" s="807"/>
      <c r="AF258" s="807"/>
    </row>
    <row r="259" spans="1:256" s="661" customFormat="1" ht="24.75" customHeight="1">
      <c r="B259" s="192" t="s">
        <v>2588</v>
      </c>
      <c r="C259" s="1113" t="s">
        <v>3847</v>
      </c>
      <c r="D259" s="1006"/>
      <c r="E259" s="1006"/>
      <c r="F259" s="1006"/>
      <c r="G259" s="1006"/>
      <c r="H259" s="1006"/>
      <c r="I259" s="1006"/>
      <c r="J259" s="1006"/>
      <c r="K259" s="1006"/>
      <c r="L259" s="1006"/>
      <c r="M259" s="1006"/>
      <c r="N259" s="1006"/>
      <c r="O259" s="219" t="s">
        <v>2588</v>
      </c>
      <c r="P259" s="1616" t="s">
        <v>3976</v>
      </c>
      <c r="Q259" s="354"/>
      <c r="AE259" s="808"/>
      <c r="AF259" s="808"/>
    </row>
    <row r="260" spans="1:256" ht="11.25" customHeight="1">
      <c r="B260" s="191" t="s">
        <v>2737</v>
      </c>
      <c r="D260" s="191"/>
      <c r="E260" s="191"/>
      <c r="F260" s="191"/>
      <c r="G260" s="191"/>
      <c r="H260" s="48"/>
      <c r="I260" s="180"/>
      <c r="J260" s="180"/>
      <c r="K260" s="180"/>
      <c r="L260" s="848"/>
      <c r="M260" s="848"/>
      <c r="N260" s="848"/>
      <c r="O260" s="848"/>
      <c r="P260" s="848"/>
      <c r="Q260" s="60"/>
    </row>
    <row r="261" spans="1:256" ht="11.65" customHeight="1">
      <c r="A261" s="1599"/>
      <c r="B261" s="1600"/>
      <c r="C261" s="1600"/>
      <c r="D261" s="1600"/>
      <c r="E261" s="1600"/>
      <c r="F261" s="1600"/>
      <c r="G261" s="1600"/>
      <c r="H261" s="1600"/>
      <c r="I261" s="1600"/>
      <c r="J261" s="1600"/>
      <c r="K261" s="1600"/>
      <c r="L261" s="1600"/>
      <c r="M261" s="1600"/>
      <c r="N261" s="1600"/>
      <c r="O261" s="1600"/>
      <c r="P261" s="1600"/>
      <c r="Q261" s="1601"/>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6"/>
      <c r="E262" s="856"/>
      <c r="F262" s="856"/>
      <c r="G262" s="856"/>
      <c r="H262" s="856"/>
      <c r="I262" s="856"/>
      <c r="J262" s="856"/>
      <c r="K262" s="856"/>
      <c r="L262" s="856"/>
      <c r="M262" s="856"/>
      <c r="N262" s="856"/>
      <c r="O262" s="856"/>
      <c r="P262" s="856"/>
      <c r="Q262" s="856"/>
    </row>
    <row r="263" spans="1:256" ht="11.6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3806</v>
      </c>
      <c r="C264" s="11"/>
      <c r="D264" s="11"/>
      <c r="E264" s="11"/>
      <c r="F264" s="11"/>
      <c r="G264" s="11"/>
      <c r="H264" s="856"/>
      <c r="I264" s="856"/>
      <c r="J264" s="856"/>
      <c r="K264" s="856"/>
      <c r="L264" s="856"/>
      <c r="M264" s="856"/>
      <c r="O264" s="181" t="s">
        <v>2739</v>
      </c>
      <c r="P264" s="1171"/>
      <c r="Q264" s="1172"/>
    </row>
    <row r="265" spans="1:256" ht="11.65" customHeight="1">
      <c r="B265" s="195" t="s">
        <v>3164</v>
      </c>
      <c r="P265" s="1595" t="s">
        <v>3984</v>
      </c>
      <c r="Q265" s="232"/>
    </row>
    <row r="266" spans="1:256" ht="12" customHeight="1">
      <c r="B266" s="197" t="s">
        <v>3112</v>
      </c>
      <c r="C266" s="197"/>
      <c r="D266" s="197"/>
      <c r="E266" s="197"/>
      <c r="F266" s="197"/>
      <c r="G266" s="197"/>
      <c r="H266" s="197"/>
      <c r="I266" s="197"/>
      <c r="J266" s="197"/>
      <c r="K266" s="197"/>
      <c r="L266" s="197"/>
      <c r="P266" s="1595" t="s">
        <v>3976</v>
      </c>
      <c r="Q266" s="232"/>
    </row>
    <row r="267" spans="1:256" ht="11.65" customHeight="1">
      <c r="B267" s="192" t="s">
        <v>2862</v>
      </c>
      <c r="C267" s="259" t="s">
        <v>633</v>
      </c>
      <c r="D267" s="38"/>
      <c r="E267" s="38"/>
      <c r="F267" s="38"/>
      <c r="G267" s="38"/>
      <c r="H267" s="38"/>
      <c r="I267" s="38"/>
      <c r="J267" s="38"/>
      <c r="K267" s="38"/>
      <c r="L267" s="38"/>
      <c r="M267" s="38"/>
      <c r="N267" s="219"/>
    </row>
    <row r="268" spans="1:256" ht="33.4" customHeight="1">
      <c r="A268" s="194"/>
      <c r="C268" s="1113" t="s">
        <v>3938</v>
      </c>
      <c r="D268" s="1113"/>
      <c r="E268" s="1113"/>
      <c r="F268" s="1113"/>
      <c r="G268" s="1113"/>
      <c r="H268" s="1113"/>
      <c r="I268" s="1113"/>
      <c r="J268" s="1113"/>
      <c r="K268" s="1113"/>
      <c r="L268" s="1113"/>
      <c r="M268" s="1113"/>
      <c r="N268" s="1113"/>
      <c r="O268" s="219" t="s">
        <v>2862</v>
      </c>
      <c r="P268" s="1616"/>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4" customHeight="1">
      <c r="B270" s="192" t="s">
        <v>2865</v>
      </c>
      <c r="C270" s="1147" t="s">
        <v>634</v>
      </c>
      <c r="D270" s="1147"/>
      <c r="E270" s="1147"/>
      <c r="F270" s="1147"/>
      <c r="G270" s="1147"/>
      <c r="H270" s="1147"/>
      <c r="I270" s="1147"/>
      <c r="J270" s="1147"/>
      <c r="K270" s="1147"/>
      <c r="L270" s="1147"/>
      <c r="M270" s="1147"/>
      <c r="O270" s="219" t="s">
        <v>2865</v>
      </c>
      <c r="P270" s="848"/>
      <c r="Q270" s="60"/>
    </row>
    <row r="271" spans="1:256" ht="23.25" customHeight="1">
      <c r="A271" s="194"/>
      <c r="C271" s="294" t="s">
        <v>2590</v>
      </c>
      <c r="D271" s="295" t="s">
        <v>1647</v>
      </c>
      <c r="E271" s="182"/>
      <c r="F271" s="182"/>
      <c r="G271" s="1639" t="s">
        <v>2027</v>
      </c>
      <c r="H271" s="1640"/>
      <c r="I271" s="1640"/>
      <c r="J271" s="1640"/>
      <c r="K271" s="1640"/>
      <c r="L271" s="1640"/>
      <c r="M271" s="1640"/>
      <c r="N271" s="1641"/>
      <c r="O271" s="298" t="s">
        <v>2590</v>
      </c>
      <c r="P271" s="1616" t="s">
        <v>3976</v>
      </c>
      <c r="Q271" s="354"/>
    </row>
    <row r="272" spans="1:256" ht="23.25" customHeight="1">
      <c r="A272" s="194"/>
      <c r="C272" s="294" t="s">
        <v>2591</v>
      </c>
      <c r="D272" s="1165" t="s">
        <v>1648</v>
      </c>
      <c r="E272" s="1166"/>
      <c r="F272" s="1167"/>
      <c r="G272" s="1599" t="s">
        <v>3788</v>
      </c>
      <c r="H272" s="1466"/>
      <c r="I272" s="1466"/>
      <c r="J272" s="1466"/>
      <c r="K272" s="1466"/>
      <c r="L272" s="1466"/>
      <c r="M272" s="1466"/>
      <c r="N272" s="1467"/>
      <c r="O272" s="298" t="s">
        <v>2591</v>
      </c>
      <c r="P272" s="1616" t="s">
        <v>3976</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3835</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42"/>
      <c r="E275" s="1643"/>
      <c r="F275" s="1643"/>
      <c r="G275" s="1643"/>
      <c r="H275" s="1643"/>
      <c r="I275" s="1643"/>
      <c r="J275" s="1643"/>
      <c r="K275" s="1643"/>
      <c r="L275" s="1643"/>
      <c r="M275" s="1643"/>
      <c r="N275" s="1644"/>
      <c r="O275" s="298" t="s">
        <v>2590</v>
      </c>
      <c r="P275" s="1616"/>
      <c r="Q275" s="354"/>
      <c r="AE275" s="806"/>
      <c r="AF275" s="806"/>
    </row>
    <row r="276" spans="1:256" s="182" customFormat="1" ht="11.25" customHeight="1">
      <c r="A276" s="194"/>
      <c r="C276" s="294" t="s">
        <v>2591</v>
      </c>
      <c r="D276" s="1642"/>
      <c r="E276" s="1643"/>
      <c r="F276" s="1643"/>
      <c r="G276" s="1643"/>
      <c r="H276" s="1643"/>
      <c r="I276" s="1643"/>
      <c r="J276" s="1643"/>
      <c r="K276" s="1643"/>
      <c r="L276" s="1643"/>
      <c r="M276" s="1643"/>
      <c r="N276" s="1644"/>
      <c r="O276" s="298" t="s">
        <v>2591</v>
      </c>
      <c r="P276" s="1616"/>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2737</v>
      </c>
      <c r="D278" s="191"/>
      <c r="E278" s="191"/>
      <c r="F278" s="191"/>
      <c r="G278" s="191"/>
      <c r="H278" s="48"/>
      <c r="I278" s="180"/>
      <c r="J278" s="180"/>
      <c r="K278" s="180"/>
      <c r="L278" s="848"/>
      <c r="M278" s="848"/>
      <c r="N278" s="848"/>
      <c r="O278" s="848"/>
      <c r="P278" s="848"/>
      <c r="Q278" s="60"/>
    </row>
    <row r="279" spans="1:256" ht="11.65" customHeight="1">
      <c r="A279" s="1599"/>
      <c r="B279" s="1600"/>
      <c r="C279" s="1600"/>
      <c r="D279" s="1600"/>
      <c r="E279" s="1600"/>
      <c r="F279" s="1600"/>
      <c r="G279" s="1600"/>
      <c r="H279" s="1600"/>
      <c r="I279" s="1600"/>
      <c r="J279" s="1600"/>
      <c r="K279" s="1600"/>
      <c r="L279" s="1600"/>
      <c r="M279" s="1600"/>
      <c r="N279" s="1600"/>
      <c r="O279" s="1600"/>
      <c r="P279" s="1600"/>
      <c r="Q279" s="1601"/>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6"/>
      <c r="E280" s="856"/>
      <c r="F280" s="856"/>
      <c r="G280" s="856"/>
      <c r="H280" s="856"/>
      <c r="I280" s="856"/>
      <c r="J280" s="856"/>
      <c r="K280" s="856"/>
      <c r="L280" s="856"/>
      <c r="M280" s="856"/>
      <c r="N280" s="856"/>
      <c r="O280" s="856"/>
      <c r="P280" s="856"/>
      <c r="Q280" s="856"/>
    </row>
    <row r="281" spans="1:256" ht="11.6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3807</v>
      </c>
      <c r="C283" s="857"/>
      <c r="D283" s="856"/>
      <c r="E283" s="856"/>
      <c r="F283" s="856"/>
      <c r="G283" s="856"/>
      <c r="H283" s="856"/>
      <c r="O283" s="181" t="s">
        <v>2739</v>
      </c>
      <c r="P283" s="1114"/>
      <c r="Q283" s="1119"/>
    </row>
    <row r="284" spans="1:256" ht="3" customHeight="1"/>
    <row r="285" spans="1:256" ht="11.65" customHeight="1">
      <c r="B285" s="195" t="s">
        <v>3284</v>
      </c>
      <c r="P285" s="1595" t="s">
        <v>3976</v>
      </c>
      <c r="Q285" s="232"/>
    </row>
    <row r="286" spans="1:256" ht="11.65" customHeight="1">
      <c r="B286" s="195" t="s">
        <v>3285</v>
      </c>
      <c r="P286" s="1595" t="s">
        <v>3984</v>
      </c>
      <c r="Q286" s="232"/>
    </row>
    <row r="287" spans="1:256" ht="11.65" customHeight="1">
      <c r="B287" s="195" t="s">
        <v>850</v>
      </c>
      <c r="L287" s="1645" t="s">
        <v>4029</v>
      </c>
      <c r="M287" s="1646"/>
      <c r="N287" s="1646"/>
      <c r="O287" s="1647"/>
    </row>
    <row r="288" spans="1:256" ht="11.65" customHeight="1">
      <c r="B288" s="653" t="s">
        <v>3286</v>
      </c>
      <c r="L288" s="1168"/>
      <c r="M288" s="1169"/>
      <c r="N288" s="1169"/>
      <c r="O288" s="1170"/>
    </row>
    <row r="289" spans="1:31" ht="11.25" customHeight="1">
      <c r="B289" s="191" t="s">
        <v>2737</v>
      </c>
      <c r="D289" s="191"/>
      <c r="E289" s="191"/>
      <c r="F289" s="191"/>
      <c r="G289" s="191"/>
      <c r="H289" s="48"/>
      <c r="I289" s="180"/>
      <c r="J289" s="180"/>
      <c r="K289" s="180"/>
      <c r="L289" s="848"/>
      <c r="M289" s="848"/>
      <c r="N289" s="848"/>
      <c r="O289" s="848"/>
      <c r="P289" s="848"/>
      <c r="Q289" s="60"/>
    </row>
    <row r="290" spans="1:31" ht="13.15" customHeight="1">
      <c r="A290" s="1599"/>
      <c r="B290" s="1600"/>
      <c r="C290" s="1600"/>
      <c r="D290" s="1600"/>
      <c r="E290" s="1600"/>
      <c r="F290" s="1600"/>
      <c r="G290" s="1600"/>
      <c r="H290" s="1600"/>
      <c r="I290" s="1600"/>
      <c r="J290" s="1600"/>
      <c r="K290" s="1600"/>
      <c r="L290" s="1600"/>
      <c r="M290" s="1600"/>
      <c r="N290" s="1600"/>
      <c r="O290" s="1600"/>
      <c r="P290" s="1600"/>
      <c r="Q290" s="1601"/>
      <c r="R290" s="736" t="s">
        <v>1806</v>
      </c>
      <c r="S290" s="737"/>
      <c r="U290" s="186"/>
      <c r="V290" s="186"/>
      <c r="W290" s="186"/>
      <c r="X290" s="186"/>
      <c r="Y290" s="186"/>
      <c r="Z290" s="186"/>
      <c r="AA290" s="186"/>
      <c r="AB290" s="186"/>
      <c r="AC290" s="186"/>
      <c r="AD290" s="186"/>
      <c r="AE290" s="805"/>
    </row>
    <row r="291" spans="1:31" ht="11.25" customHeight="1">
      <c r="B291" s="187" t="s">
        <v>2738</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3808</v>
      </c>
      <c r="C294" s="5"/>
      <c r="D294" s="115"/>
      <c r="E294" s="856"/>
      <c r="F294" s="856"/>
      <c r="G294" s="856"/>
      <c r="H294" s="856"/>
      <c r="I294" s="856"/>
      <c r="J294" s="856"/>
      <c r="K294" s="856"/>
      <c r="L294" s="856"/>
      <c r="M294" s="856"/>
      <c r="O294" s="181" t="s">
        <v>2739</v>
      </c>
      <c r="P294" s="1114"/>
      <c r="Q294" s="1119"/>
    </row>
    <row r="295" spans="1:31" ht="3" customHeight="1"/>
    <row r="296" spans="1:31" ht="22.15" customHeight="1">
      <c r="B296" s="192" t="s">
        <v>2862</v>
      </c>
      <c r="C296" s="1118" t="s">
        <v>3836</v>
      </c>
      <c r="D296" s="1118"/>
      <c r="E296" s="1118"/>
      <c r="F296" s="1118"/>
      <c r="G296" s="1118"/>
      <c r="H296" s="1118"/>
      <c r="I296" s="1118"/>
      <c r="J296" s="1118"/>
      <c r="K296" s="1118"/>
      <c r="L296" s="1118"/>
      <c r="M296" s="1118"/>
      <c r="N296" s="1118"/>
      <c r="O296" s="219" t="s">
        <v>2862</v>
      </c>
      <c r="P296" s="1595" t="s">
        <v>3976</v>
      </c>
      <c r="Q296" s="232"/>
    </row>
    <row r="297" spans="1:31" ht="11.65" customHeight="1">
      <c r="B297" s="192" t="s">
        <v>2865</v>
      </c>
      <c r="C297" s="1118" t="s">
        <v>3892</v>
      </c>
      <c r="D297" s="1118"/>
      <c r="E297" s="1118"/>
      <c r="F297" s="1118"/>
      <c r="G297" s="1118"/>
      <c r="H297" s="1118"/>
      <c r="I297" s="1118"/>
      <c r="J297" s="1118"/>
      <c r="K297" s="1118"/>
      <c r="L297" s="1118"/>
      <c r="M297" s="1118"/>
      <c r="N297" s="1118"/>
      <c r="O297" s="219" t="s">
        <v>2865</v>
      </c>
      <c r="P297" s="1595" t="s">
        <v>3976</v>
      </c>
      <c r="Q297" s="232"/>
    </row>
    <row r="298" spans="1:31" ht="11.65" customHeight="1">
      <c r="B298" s="192" t="s">
        <v>1145</v>
      </c>
      <c r="C298" s="197" t="s">
        <v>3837</v>
      </c>
      <c r="D298" s="197"/>
      <c r="E298" s="197"/>
      <c r="F298" s="197"/>
      <c r="G298" s="197"/>
      <c r="H298" s="197"/>
      <c r="I298" s="197"/>
      <c r="J298" s="197"/>
      <c r="K298" s="197"/>
      <c r="L298" s="197"/>
      <c r="M298" s="197"/>
      <c r="O298" s="219" t="s">
        <v>1145</v>
      </c>
      <c r="P298" s="1595" t="s">
        <v>3976</v>
      </c>
      <c r="Q298" s="232"/>
    </row>
    <row r="299" spans="1:31" ht="22.15" customHeight="1">
      <c r="B299" s="192" t="s">
        <v>3004</v>
      </c>
      <c r="C299" s="1118" t="s">
        <v>3871</v>
      </c>
      <c r="D299" s="1118"/>
      <c r="E299" s="1118"/>
      <c r="F299" s="1118"/>
      <c r="G299" s="1118"/>
      <c r="H299" s="1118"/>
      <c r="I299" s="1118"/>
      <c r="J299" s="1118"/>
      <c r="K299" s="1118"/>
      <c r="L299" s="1118"/>
      <c r="M299" s="1118"/>
      <c r="N299" s="1118"/>
      <c r="O299" s="219" t="s">
        <v>3004</v>
      </c>
      <c r="P299" s="1595" t="s">
        <v>3976</v>
      </c>
      <c r="Q299" s="232"/>
    </row>
    <row r="300" spans="1:31" ht="11.25" customHeight="1">
      <c r="B300" s="191" t="s">
        <v>2737</v>
      </c>
      <c r="D300" s="191"/>
      <c r="E300" s="191"/>
      <c r="F300" s="191"/>
      <c r="G300" s="191"/>
      <c r="H300" s="48"/>
      <c r="I300" s="180"/>
      <c r="J300" s="180"/>
      <c r="K300" s="180"/>
      <c r="L300" s="848"/>
      <c r="M300" s="848"/>
      <c r="N300" s="848"/>
      <c r="O300" s="848"/>
      <c r="P300" s="848"/>
      <c r="Q300" s="60"/>
    </row>
    <row r="301" spans="1:31" ht="11.65" customHeight="1">
      <c r="A301" s="1599"/>
      <c r="B301" s="1600"/>
      <c r="C301" s="1600"/>
      <c r="D301" s="1600"/>
      <c r="E301" s="1600"/>
      <c r="F301" s="1600"/>
      <c r="G301" s="1600"/>
      <c r="H301" s="1600"/>
      <c r="I301" s="1600"/>
      <c r="J301" s="1600"/>
      <c r="K301" s="1600"/>
      <c r="L301" s="1600"/>
      <c r="M301" s="1600"/>
      <c r="N301" s="1600"/>
      <c r="O301" s="1600"/>
      <c r="P301" s="1600"/>
      <c r="Q301" s="1601"/>
      <c r="U301" s="186"/>
      <c r="V301" s="186"/>
      <c r="W301" s="186"/>
      <c r="X301" s="186"/>
      <c r="Y301" s="186"/>
      <c r="Z301" s="186"/>
      <c r="AA301" s="186"/>
      <c r="AB301" s="186"/>
      <c r="AC301" s="186"/>
      <c r="AD301" s="186"/>
      <c r="AE301" s="805"/>
    </row>
    <row r="302" spans="1:31" ht="11.25" customHeight="1">
      <c r="B302" s="187" t="s">
        <v>2738</v>
      </c>
      <c r="C302" s="188"/>
      <c r="D302" s="856"/>
      <c r="E302" s="856"/>
      <c r="F302" s="856"/>
      <c r="G302" s="856"/>
      <c r="H302" s="856"/>
      <c r="I302" s="856"/>
      <c r="J302" s="856"/>
      <c r="K302" s="856"/>
      <c r="L302" s="856"/>
      <c r="M302" s="856"/>
      <c r="N302" s="856"/>
      <c r="O302" s="856"/>
      <c r="P302" s="856"/>
      <c r="Q302" s="856"/>
    </row>
    <row r="303" spans="1:31" ht="11.6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3878</v>
      </c>
      <c r="C305" s="5"/>
      <c r="D305" s="5"/>
      <c r="E305" s="5"/>
      <c r="F305" s="5"/>
      <c r="G305" s="5"/>
      <c r="H305" s="856"/>
      <c r="I305" s="856"/>
      <c r="J305" s="856"/>
      <c r="K305" s="856"/>
      <c r="L305" s="856"/>
      <c r="M305" s="856"/>
      <c r="O305" s="181" t="s">
        <v>2739</v>
      </c>
      <c r="P305" s="1114"/>
      <c r="Q305" s="1119"/>
    </row>
    <row r="306" spans="1:32" ht="12" customHeight="1">
      <c r="B306" s="55" t="s">
        <v>2862</v>
      </c>
      <c r="C306" s="161" t="s">
        <v>3873</v>
      </c>
      <c r="D306" s="859"/>
      <c r="E306" s="859"/>
      <c r="F306" s="859"/>
      <c r="G306" s="859"/>
      <c r="H306" s="859"/>
      <c r="I306" s="50"/>
      <c r="J306" s="803" t="s">
        <v>2862</v>
      </c>
      <c r="K306" s="1624" t="s">
        <v>3995</v>
      </c>
      <c r="L306" s="1625"/>
      <c r="M306" s="1625"/>
      <c r="N306" s="1625"/>
      <c r="O306" s="1625"/>
      <c r="P306" s="1626"/>
      <c r="Q306" s="232"/>
    </row>
    <row r="307" spans="1:32" ht="22.5" customHeight="1">
      <c r="B307" s="192" t="s">
        <v>2865</v>
      </c>
      <c r="C307" s="1097" t="s">
        <v>3872</v>
      </c>
      <c r="D307" s="1097"/>
      <c r="E307" s="1097"/>
      <c r="F307" s="1097"/>
      <c r="G307" s="1097"/>
      <c r="H307" s="1097"/>
      <c r="I307" s="1097"/>
      <c r="J307" s="1097"/>
      <c r="K307" s="1097"/>
      <c r="L307" s="1097"/>
      <c r="M307" s="1097"/>
      <c r="N307" s="1097"/>
      <c r="O307" s="219" t="s">
        <v>2865</v>
      </c>
      <c r="P307" s="1616" t="s">
        <v>3976</v>
      </c>
      <c r="Q307" s="232"/>
    </row>
    <row r="308" spans="1:32" ht="11.65" customHeight="1">
      <c r="B308" s="55" t="s">
        <v>1145</v>
      </c>
      <c r="C308" s="62" t="s">
        <v>3874</v>
      </c>
      <c r="D308" s="62"/>
      <c r="E308" s="62"/>
      <c r="F308" s="62"/>
      <c r="G308" s="62"/>
      <c r="H308" s="62"/>
      <c r="I308" s="62"/>
      <c r="J308" s="62"/>
      <c r="K308" s="62"/>
      <c r="L308" s="38"/>
      <c r="M308" s="38"/>
      <c r="O308" s="803" t="s">
        <v>1145</v>
      </c>
      <c r="P308" s="1595" t="s">
        <v>3976</v>
      </c>
      <c r="Q308" s="232"/>
    </row>
    <row r="309" spans="1:32" ht="11.65" customHeight="1">
      <c r="B309" s="55" t="s">
        <v>3004</v>
      </c>
      <c r="C309" s="62" t="s">
        <v>3875</v>
      </c>
      <c r="D309" s="62"/>
      <c r="E309" s="62"/>
      <c r="F309" s="62"/>
      <c r="G309" s="62"/>
      <c r="H309" s="62"/>
      <c r="I309" s="62"/>
      <c r="J309" s="62"/>
      <c r="K309" s="62"/>
      <c r="L309" s="62"/>
      <c r="M309" s="62"/>
      <c r="O309" s="803" t="s">
        <v>3004</v>
      </c>
      <c r="P309" s="1595" t="s">
        <v>3976</v>
      </c>
      <c r="Q309" s="232"/>
    </row>
    <row r="310" spans="1:32" s="182" customFormat="1" ht="11.65" customHeight="1">
      <c r="B310" s="192" t="s">
        <v>2588</v>
      </c>
      <c r="C310" s="1118" t="s">
        <v>3880</v>
      </c>
      <c r="D310" s="1118"/>
      <c r="E310" s="1118"/>
      <c r="F310" s="1118"/>
      <c r="G310" s="1118"/>
      <c r="H310" s="1118"/>
      <c r="I310" s="1118"/>
      <c r="J310" s="1118"/>
      <c r="K310" s="1118"/>
      <c r="L310" s="1118"/>
      <c r="M310" s="1118"/>
      <c r="N310" s="1118"/>
      <c r="O310" s="219" t="s">
        <v>2588</v>
      </c>
      <c r="P310" s="1616"/>
      <c r="Q310" s="354"/>
      <c r="AE310" s="806"/>
      <c r="AF310" s="806"/>
    </row>
    <row r="311" spans="1:32" s="182" customFormat="1" ht="11.65" customHeight="1">
      <c r="B311" s="192" t="s">
        <v>2589</v>
      </c>
      <c r="C311" s="1118" t="s">
        <v>3893</v>
      </c>
      <c r="D311" s="1118"/>
      <c r="E311" s="1118"/>
      <c r="F311" s="1118"/>
      <c r="G311" s="1118"/>
      <c r="H311" s="1118"/>
      <c r="I311" s="1118"/>
      <c r="J311" s="1118"/>
      <c r="K311" s="1118"/>
      <c r="L311" s="1118"/>
      <c r="M311" s="1118"/>
      <c r="N311" s="1118"/>
      <c r="O311" s="219" t="s">
        <v>2589</v>
      </c>
      <c r="P311" s="1616" t="s">
        <v>3976</v>
      </c>
      <c r="Q311" s="354"/>
      <c r="AE311" s="806"/>
      <c r="AF311" s="806"/>
    </row>
    <row r="312" spans="1:32" ht="11.65" customHeight="1">
      <c r="B312" s="55" t="s">
        <v>2825</v>
      </c>
      <c r="C312" s="62" t="s">
        <v>3876</v>
      </c>
      <c r="D312" s="62"/>
      <c r="E312" s="62"/>
      <c r="F312" s="62"/>
      <c r="G312" s="62"/>
      <c r="H312" s="62"/>
      <c r="I312" s="62"/>
      <c r="J312" s="62"/>
      <c r="K312" s="62"/>
      <c r="L312" s="62"/>
      <c r="M312" s="62"/>
      <c r="O312" s="803" t="s">
        <v>2825</v>
      </c>
      <c r="P312" s="1595" t="s">
        <v>3976</v>
      </c>
      <c r="Q312" s="232"/>
    </row>
    <row r="313" spans="1:32" ht="11.25" customHeight="1">
      <c r="B313" s="191" t="s">
        <v>2737</v>
      </c>
      <c r="D313" s="191"/>
      <c r="E313" s="191"/>
      <c r="F313" s="191"/>
      <c r="G313" s="191"/>
      <c r="H313" s="48"/>
      <c r="I313" s="180"/>
      <c r="J313" s="180"/>
      <c r="K313" s="180"/>
      <c r="L313" s="848"/>
      <c r="M313" s="848"/>
      <c r="N313" s="848"/>
      <c r="O313" s="848"/>
      <c r="P313" s="848"/>
      <c r="Q313" s="60"/>
    </row>
    <row r="314" spans="1:32" ht="46.9" customHeight="1">
      <c r="A314" s="1599" t="s">
        <v>4076</v>
      </c>
      <c r="B314" s="1600"/>
      <c r="C314" s="1600"/>
      <c r="D314" s="1600"/>
      <c r="E314" s="1600"/>
      <c r="F314" s="1600"/>
      <c r="G314" s="1600"/>
      <c r="H314" s="1600"/>
      <c r="I314" s="1600"/>
      <c r="J314" s="1600"/>
      <c r="K314" s="1600"/>
      <c r="L314" s="1600"/>
      <c r="M314" s="1600"/>
      <c r="N314" s="1600"/>
      <c r="O314" s="1600"/>
      <c r="P314" s="1600"/>
      <c r="Q314" s="1601"/>
      <c r="U314" s="186"/>
      <c r="V314" s="186"/>
      <c r="W314" s="186"/>
      <c r="X314" s="186"/>
      <c r="Y314" s="186"/>
      <c r="Z314" s="186"/>
      <c r="AA314" s="186"/>
      <c r="AB314" s="186"/>
      <c r="AC314" s="186"/>
      <c r="AD314" s="186"/>
      <c r="AE314" s="805"/>
    </row>
    <row r="315" spans="1:32" ht="11.25" customHeight="1">
      <c r="B315" s="187" t="s">
        <v>2738</v>
      </c>
      <c r="C315" s="188"/>
      <c r="D315" s="856"/>
      <c r="E315" s="856"/>
      <c r="F315" s="856"/>
      <c r="G315" s="856"/>
      <c r="H315" s="856"/>
      <c r="I315" s="856"/>
      <c r="J315" s="856"/>
      <c r="K315" s="856"/>
      <c r="L315" s="856"/>
      <c r="M315" s="856"/>
      <c r="N315" s="856"/>
      <c r="O315" s="856"/>
      <c r="P315" s="856"/>
      <c r="Q315" s="856"/>
    </row>
    <row r="316" spans="1:32" ht="11.6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3933</v>
      </c>
      <c r="C318" s="5"/>
      <c r="D318" s="5"/>
      <c r="E318" s="5"/>
      <c r="F318" s="5"/>
      <c r="G318" s="5"/>
      <c r="H318" s="856"/>
      <c r="I318" s="856"/>
      <c r="J318" s="856"/>
      <c r="O318" s="181" t="s">
        <v>2739</v>
      </c>
      <c r="P318" s="1114"/>
      <c r="Q318" s="1119"/>
    </row>
    <row r="319" spans="1:32" ht="13.9" customHeight="1">
      <c r="A319" s="857"/>
      <c r="B319" s="149" t="s">
        <v>3814</v>
      </c>
      <c r="C319" s="5"/>
      <c r="D319" s="5"/>
      <c r="E319" s="5"/>
      <c r="F319" s="5"/>
      <c r="G319" s="5"/>
      <c r="H319" s="856"/>
      <c r="I319" s="856"/>
      <c r="J319" s="856"/>
    </row>
    <row r="320" spans="1:32" ht="11.65" customHeight="1">
      <c r="B320" s="55" t="s">
        <v>2862</v>
      </c>
      <c r="C320" s="653" t="s">
        <v>3817</v>
      </c>
      <c r="D320" s="65"/>
      <c r="E320" s="859"/>
      <c r="F320" s="859"/>
      <c r="G320" s="859"/>
      <c r="H320" s="859"/>
      <c r="I320" s="50"/>
      <c r="O320" s="803" t="s">
        <v>2862</v>
      </c>
    </row>
    <row r="321" spans="2:32" s="182" customFormat="1" ht="21.75" customHeight="1">
      <c r="B321" s="192"/>
      <c r="C321" s="201" t="s">
        <v>2590</v>
      </c>
      <c r="D321" s="1125" t="s">
        <v>3815</v>
      </c>
      <c r="E321" s="1125"/>
      <c r="F321" s="1125"/>
      <c r="G321" s="1125"/>
      <c r="H321" s="1125"/>
      <c r="I321" s="1125"/>
      <c r="J321" s="1125"/>
      <c r="K321" s="1125"/>
      <c r="L321" s="1125"/>
      <c r="M321" s="1125"/>
      <c r="N321" s="1125"/>
      <c r="O321" s="201" t="s">
        <v>2590</v>
      </c>
      <c r="P321" s="1616"/>
      <c r="Q321" s="354"/>
      <c r="AE321" s="806"/>
      <c r="AF321" s="806"/>
    </row>
    <row r="322" spans="2:32" s="182" customFormat="1" ht="21.75" customHeight="1">
      <c r="C322" s="201" t="s">
        <v>2591</v>
      </c>
      <c r="D322" s="1113" t="s">
        <v>3816</v>
      </c>
      <c r="E322" s="1113"/>
      <c r="F322" s="1113"/>
      <c r="G322" s="1113"/>
      <c r="H322" s="1113"/>
      <c r="I322" s="1113"/>
      <c r="J322" s="1113"/>
      <c r="K322" s="1113"/>
      <c r="L322" s="1113"/>
      <c r="M322" s="1113"/>
      <c r="N322" s="1113"/>
      <c r="O322" s="201" t="s">
        <v>2591</v>
      </c>
      <c r="P322" s="1616"/>
      <c r="Q322" s="354"/>
      <c r="AE322" s="806"/>
      <c r="AF322" s="806"/>
    </row>
    <row r="323" spans="2:32" s="182" customFormat="1" ht="21.75" customHeight="1">
      <c r="B323" s="192"/>
      <c r="C323" s="201" t="s">
        <v>2592</v>
      </c>
      <c r="D323" s="1113" t="s">
        <v>3819</v>
      </c>
      <c r="E323" s="1113"/>
      <c r="F323" s="1113"/>
      <c r="G323" s="1113"/>
      <c r="H323" s="1113"/>
      <c r="I323" s="1113"/>
      <c r="J323" s="1113"/>
      <c r="K323" s="1113"/>
      <c r="L323" s="1113"/>
      <c r="M323" s="1113"/>
      <c r="N323" s="1113"/>
      <c r="O323" s="201" t="s">
        <v>2592</v>
      </c>
      <c r="P323" s="1616"/>
      <c r="Q323" s="354"/>
      <c r="AE323" s="806"/>
      <c r="AF323" s="806"/>
    </row>
    <row r="324" spans="2:32" s="182" customFormat="1" ht="22.15" customHeight="1">
      <c r="B324" s="192"/>
      <c r="C324" s="201" t="s">
        <v>3331</v>
      </c>
      <c r="D324" s="1113" t="s">
        <v>3820</v>
      </c>
      <c r="E324" s="1113"/>
      <c r="F324" s="1113"/>
      <c r="G324" s="1113"/>
      <c r="H324" s="1113"/>
      <c r="I324" s="1113"/>
      <c r="J324" s="1113"/>
      <c r="K324" s="1113"/>
      <c r="L324" s="1113"/>
      <c r="M324" s="1113"/>
      <c r="N324" s="1113"/>
      <c r="O324" s="201" t="s">
        <v>3331</v>
      </c>
      <c r="P324" s="1616"/>
      <c r="Q324" s="354"/>
      <c r="AE324" s="806"/>
      <c r="AF324" s="806"/>
    </row>
    <row r="325" spans="2:32" s="182" customFormat="1" ht="21.75" customHeight="1">
      <c r="B325" s="192"/>
      <c r="C325" s="201" t="s">
        <v>2153</v>
      </c>
      <c r="D325" s="1113" t="s">
        <v>3821</v>
      </c>
      <c r="E325" s="1113"/>
      <c r="F325" s="1113"/>
      <c r="G325" s="1113"/>
      <c r="H325" s="1113"/>
      <c r="I325" s="1113"/>
      <c r="J325" s="1113"/>
      <c r="K325" s="1113"/>
      <c r="L325" s="1113"/>
      <c r="M325" s="1113"/>
      <c r="N325" s="1113"/>
      <c r="O325" s="201" t="s">
        <v>2153</v>
      </c>
      <c r="P325" s="161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48"/>
      <c r="M336" s="848"/>
      <c r="N336" s="848"/>
      <c r="O336" s="848"/>
      <c r="P336" s="848"/>
      <c r="Q336" s="60"/>
    </row>
    <row r="337" spans="1:31" ht="11.65" customHeight="1">
      <c r="A337" s="1599"/>
      <c r="B337" s="1600"/>
      <c r="C337" s="1600"/>
      <c r="D337" s="1600"/>
      <c r="E337" s="1600"/>
      <c r="F337" s="1600"/>
      <c r="G337" s="1600"/>
      <c r="H337" s="1600"/>
      <c r="I337" s="1600"/>
      <c r="J337" s="1600"/>
      <c r="K337" s="1600"/>
      <c r="L337" s="1600"/>
      <c r="M337" s="1600"/>
      <c r="N337" s="1600"/>
      <c r="O337" s="1600"/>
      <c r="P337" s="1600"/>
      <c r="Q337" s="1601"/>
      <c r="U337" s="186"/>
      <c r="V337" s="186"/>
      <c r="W337" s="186"/>
      <c r="X337" s="186"/>
      <c r="Y337" s="186"/>
      <c r="Z337" s="186"/>
      <c r="AA337" s="186"/>
      <c r="AB337" s="186"/>
      <c r="AC337" s="186"/>
      <c r="AD337" s="186"/>
      <c r="AE337" s="805"/>
    </row>
    <row r="338" spans="1:31" ht="11.25" customHeight="1">
      <c r="B338" s="187" t="s">
        <v>2738</v>
      </c>
      <c r="C338" s="188"/>
      <c r="D338" s="856"/>
      <c r="E338" s="856"/>
      <c r="F338" s="856"/>
      <c r="G338" s="856"/>
      <c r="H338" s="856"/>
      <c r="I338" s="856"/>
      <c r="J338" s="856"/>
      <c r="K338" s="856"/>
      <c r="L338" s="856"/>
      <c r="M338" s="856"/>
      <c r="N338" s="856"/>
      <c r="O338" s="856"/>
      <c r="P338" s="856"/>
      <c r="Q338" s="856"/>
    </row>
    <row r="339" spans="1:31" ht="11.6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3894</v>
      </c>
      <c r="C341" s="5"/>
      <c r="D341" s="5"/>
      <c r="E341" s="5"/>
      <c r="F341" s="5"/>
      <c r="G341" s="5"/>
      <c r="H341" s="856"/>
      <c r="I341" s="856"/>
      <c r="J341" s="856"/>
      <c r="O341" s="181" t="s">
        <v>2739</v>
      </c>
      <c r="P341" s="1114"/>
      <c r="Q341" s="1119"/>
    </row>
    <row r="342" spans="1:31" ht="11.65" customHeight="1">
      <c r="B342" s="55" t="s">
        <v>2862</v>
      </c>
      <c r="C342" s="161" t="s">
        <v>1543</v>
      </c>
      <c r="E342" s="1605"/>
      <c r="F342" s="1606"/>
      <c r="G342" s="1606"/>
      <c r="H342" s="1606"/>
      <c r="I342" s="1607"/>
      <c r="J342" s="1122" t="s">
        <v>3832</v>
      </c>
      <c r="K342" s="1123"/>
      <c r="L342" s="1124"/>
      <c r="M342" s="1605"/>
      <c r="N342" s="1606"/>
      <c r="O342" s="1606"/>
      <c r="P342" s="1606"/>
      <c r="Q342" s="1607"/>
    </row>
    <row r="343" spans="1:31" ht="11.65" customHeight="1">
      <c r="B343" s="55" t="s">
        <v>2865</v>
      </c>
      <c r="C343" s="62" t="s">
        <v>2593</v>
      </c>
      <c r="D343" s="62"/>
      <c r="E343" s="62"/>
      <c r="F343" s="62"/>
      <c r="G343" s="62"/>
      <c r="H343" s="62"/>
      <c r="I343" s="62"/>
      <c r="J343" s="62"/>
      <c r="K343" s="62"/>
      <c r="L343" s="38"/>
      <c r="M343" s="38"/>
      <c r="O343" s="803" t="s">
        <v>2865</v>
      </c>
      <c r="P343" s="1595"/>
      <c r="Q343" s="232"/>
    </row>
    <row r="344" spans="1:31" ht="11.65" customHeight="1">
      <c r="B344" s="55" t="s">
        <v>1145</v>
      </c>
      <c r="C344" s="62" t="s">
        <v>2008</v>
      </c>
      <c r="D344" s="62"/>
      <c r="E344" s="62"/>
      <c r="F344" s="62"/>
      <c r="G344" s="62"/>
      <c r="H344" s="62"/>
      <c r="I344" s="62"/>
      <c r="J344" s="62"/>
      <c r="K344" s="62"/>
      <c r="L344" s="62"/>
      <c r="M344" s="62"/>
      <c r="O344" s="803" t="s">
        <v>1145</v>
      </c>
      <c r="P344" s="1595"/>
      <c r="Q344" s="232"/>
    </row>
    <row r="345" spans="1:31" ht="11.65" customHeight="1">
      <c r="B345" s="55" t="s">
        <v>3004</v>
      </c>
      <c r="C345" s="62" t="s">
        <v>3877</v>
      </c>
      <c r="D345" s="62"/>
      <c r="E345" s="62"/>
      <c r="F345" s="62"/>
      <c r="G345" s="62"/>
      <c r="H345" s="62"/>
      <c r="I345" s="62"/>
      <c r="J345" s="62"/>
      <c r="K345" s="62"/>
      <c r="L345" s="62"/>
      <c r="M345" s="62"/>
      <c r="O345" s="803" t="s">
        <v>3004</v>
      </c>
      <c r="P345" s="1595"/>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95"/>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616"/>
      <c r="Q347" s="232"/>
    </row>
    <row r="348" spans="1:31" ht="11.65" customHeight="1">
      <c r="B348" s="55" t="s">
        <v>2825</v>
      </c>
      <c r="C348" s="38" t="s">
        <v>792</v>
      </c>
      <c r="D348" s="203"/>
      <c r="E348" s="203"/>
      <c r="F348" s="203"/>
      <c r="G348" s="203"/>
      <c r="H348" s="203"/>
      <c r="I348" s="203"/>
      <c r="J348" s="203"/>
      <c r="K348" s="203"/>
      <c r="L348" s="203"/>
      <c r="M348" s="203"/>
      <c r="O348" s="803" t="s">
        <v>2825</v>
      </c>
      <c r="P348" s="1595"/>
      <c r="Q348" s="232"/>
    </row>
    <row r="349" spans="1:31" ht="11.25" customHeight="1">
      <c r="B349" s="191" t="s">
        <v>2737</v>
      </c>
      <c r="D349" s="191"/>
      <c r="E349" s="191"/>
      <c r="F349" s="191"/>
      <c r="G349" s="191"/>
      <c r="H349" s="48"/>
      <c r="I349" s="180"/>
      <c r="J349" s="180"/>
      <c r="K349" s="180"/>
      <c r="L349" s="848"/>
      <c r="M349" s="848"/>
      <c r="N349" s="848"/>
      <c r="O349" s="848"/>
      <c r="P349" s="848"/>
      <c r="Q349" s="60"/>
    </row>
    <row r="350" spans="1:31" ht="11.65" customHeight="1">
      <c r="A350" s="1599"/>
      <c r="B350" s="1600"/>
      <c r="C350" s="1600"/>
      <c r="D350" s="1600"/>
      <c r="E350" s="1600"/>
      <c r="F350" s="1600"/>
      <c r="G350" s="1600"/>
      <c r="H350" s="1600"/>
      <c r="I350" s="1600"/>
      <c r="J350" s="1600"/>
      <c r="K350" s="1600"/>
      <c r="L350" s="1600"/>
      <c r="M350" s="1600"/>
      <c r="N350" s="1600"/>
      <c r="O350" s="1600"/>
      <c r="P350" s="1600"/>
      <c r="Q350" s="1601"/>
      <c r="U350" s="186"/>
      <c r="V350" s="186"/>
      <c r="W350" s="186"/>
      <c r="X350" s="186"/>
      <c r="Y350" s="186"/>
      <c r="Z350" s="186"/>
      <c r="AA350" s="186"/>
      <c r="AB350" s="186"/>
      <c r="AC350" s="186"/>
      <c r="AD350" s="186"/>
      <c r="AE350" s="805"/>
    </row>
    <row r="351" spans="1:31" ht="11.25" customHeight="1">
      <c r="B351" s="187" t="s">
        <v>2738</v>
      </c>
      <c r="C351" s="188"/>
      <c r="D351" s="856"/>
      <c r="E351" s="856"/>
      <c r="F351" s="856"/>
      <c r="G351" s="856"/>
      <c r="H351" s="856"/>
      <c r="I351" s="856"/>
      <c r="J351" s="856"/>
      <c r="K351" s="856"/>
      <c r="L351" s="856"/>
      <c r="M351" s="856"/>
      <c r="N351" s="856"/>
      <c r="O351" s="856"/>
      <c r="P351" s="856"/>
      <c r="Q351" s="856"/>
    </row>
    <row r="352" spans="1:31" ht="11.65" customHeight="1">
      <c r="A352" s="1110"/>
      <c r="B352" s="1111"/>
      <c r="C352" s="1111"/>
      <c r="D352" s="1111"/>
      <c r="E352" s="1111"/>
      <c r="F352" s="1111"/>
      <c r="G352" s="1111"/>
      <c r="H352" s="1111"/>
      <c r="I352" s="1111"/>
      <c r="J352" s="1111"/>
      <c r="K352" s="1111"/>
      <c r="L352" s="1111"/>
      <c r="M352" s="1111"/>
      <c r="N352" s="1111"/>
      <c r="O352" s="1111"/>
      <c r="P352" s="1111"/>
      <c r="Q352" s="1112"/>
    </row>
    <row r="353" spans="1:32" ht="3.4" customHeight="1">
      <c r="A353" s="848"/>
      <c r="B353" s="180"/>
      <c r="C353" s="856"/>
      <c r="D353" s="856"/>
      <c r="E353" s="856"/>
      <c r="F353" s="856"/>
      <c r="G353" s="856"/>
      <c r="H353" s="856"/>
      <c r="I353" s="856"/>
      <c r="J353" s="856"/>
      <c r="K353" s="856"/>
      <c r="L353" s="856"/>
      <c r="M353" s="856"/>
      <c r="Q353" s="60"/>
    </row>
    <row r="354" spans="1:32" ht="13.9" customHeight="1">
      <c r="A354" s="857">
        <v>24</v>
      </c>
      <c r="B354" s="5" t="s">
        <v>3830</v>
      </c>
      <c r="C354" s="5"/>
      <c r="D354" s="115"/>
      <c r="E354" s="856"/>
      <c r="F354" s="856"/>
      <c r="G354" s="856"/>
      <c r="H354" s="856"/>
      <c r="I354" s="856"/>
      <c r="J354" s="856"/>
      <c r="K354" s="856"/>
      <c r="L354" s="856"/>
      <c r="M354" s="856"/>
      <c r="O354" s="181" t="s">
        <v>2739</v>
      </c>
      <c r="P354" s="1114"/>
      <c r="Q354" s="1119"/>
    </row>
    <row r="355" spans="1:32" s="2" customFormat="1" ht="23.65" customHeight="1">
      <c r="B355" s="192" t="s">
        <v>2862</v>
      </c>
      <c r="C355" s="1118" t="s">
        <v>183</v>
      </c>
      <c r="D355" s="1118"/>
      <c r="E355" s="1118"/>
      <c r="F355" s="1118"/>
      <c r="G355" s="1118"/>
      <c r="H355" s="1118"/>
      <c r="I355" s="1118"/>
      <c r="J355" s="1118"/>
      <c r="K355" s="1118"/>
      <c r="L355" s="1118"/>
      <c r="M355" s="219" t="s">
        <v>2862</v>
      </c>
      <c r="N355" s="1648" t="s">
        <v>4071</v>
      </c>
      <c r="O355" s="1649"/>
      <c r="P355" s="1116" t="s">
        <v>2626</v>
      </c>
      <c r="Q355" s="1117"/>
      <c r="AE355" s="6"/>
      <c r="AF355" s="6"/>
    </row>
    <row r="356" spans="1:32" s="2" customFormat="1" ht="12" customHeight="1">
      <c r="B356" s="55" t="s">
        <v>2865</v>
      </c>
      <c r="C356" s="158" t="s">
        <v>1</v>
      </c>
      <c r="D356" s="203"/>
      <c r="E356" s="203"/>
      <c r="G356" s="803" t="s">
        <v>2865</v>
      </c>
      <c r="H356" s="1650" t="s">
        <v>4072</v>
      </c>
      <c r="I356" s="1651"/>
      <c r="J356" s="1651"/>
      <c r="K356" s="1651"/>
      <c r="L356" s="1651"/>
      <c r="M356" s="1651"/>
      <c r="N356" s="1651"/>
      <c r="O356" s="1651"/>
      <c r="P356" s="165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95" t="s">
        <v>3976</v>
      </c>
      <c r="Q357" s="232"/>
      <c r="AE357" s="6"/>
      <c r="AF357" s="6"/>
    </row>
    <row r="358" spans="1:32" ht="11.25" customHeight="1">
      <c r="B358" s="191" t="s">
        <v>2737</v>
      </c>
      <c r="D358" s="191"/>
      <c r="E358" s="191"/>
      <c r="F358" s="191"/>
      <c r="G358" s="191"/>
      <c r="H358" s="48"/>
      <c r="I358" s="180"/>
      <c r="J358" s="180"/>
      <c r="K358" s="180"/>
      <c r="L358" s="848"/>
      <c r="M358" s="848"/>
      <c r="N358" s="848"/>
      <c r="O358" s="848"/>
      <c r="P358" s="848"/>
      <c r="Q358" s="60"/>
    </row>
    <row r="359" spans="1:32" ht="11.65" customHeight="1">
      <c r="A359" s="1599"/>
      <c r="B359" s="1600"/>
      <c r="C359" s="1600"/>
      <c r="D359" s="1600"/>
      <c r="E359" s="1600"/>
      <c r="F359" s="1600"/>
      <c r="G359" s="1600"/>
      <c r="H359" s="1600"/>
      <c r="I359" s="1600"/>
      <c r="J359" s="1600"/>
      <c r="K359" s="1600"/>
      <c r="L359" s="1600"/>
      <c r="M359" s="1600"/>
      <c r="N359" s="1600"/>
      <c r="O359" s="1600"/>
      <c r="P359" s="1600"/>
      <c r="Q359" s="1601"/>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6"/>
      <c r="E361" s="856"/>
      <c r="F361" s="856"/>
      <c r="G361" s="856"/>
      <c r="H361" s="856"/>
      <c r="I361" s="856"/>
      <c r="J361" s="856"/>
      <c r="K361" s="856"/>
      <c r="L361" s="856"/>
      <c r="M361" s="856"/>
      <c r="N361" s="856"/>
      <c r="O361" s="856"/>
      <c r="P361" s="856"/>
      <c r="Q361" s="856"/>
    </row>
    <row r="362" spans="1:32" ht="11.6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3809</v>
      </c>
      <c r="C364" s="5"/>
      <c r="D364" s="5"/>
      <c r="E364" s="856"/>
      <c r="G364" s="190" t="s">
        <v>976</v>
      </c>
      <c r="H364" s="856"/>
      <c r="I364" s="856"/>
      <c r="J364" s="856"/>
      <c r="K364" s="856"/>
      <c r="L364" s="856"/>
      <c r="M364" s="856"/>
      <c r="O364" s="181" t="s">
        <v>2739</v>
      </c>
      <c r="P364" s="1114"/>
      <c r="Q364" s="1115"/>
    </row>
    <row r="365" spans="1:32" ht="12" customHeight="1">
      <c r="A365" s="194"/>
      <c r="B365" s="55" t="s">
        <v>2862</v>
      </c>
      <c r="C365" s="62" t="s">
        <v>3838</v>
      </c>
      <c r="D365" s="727"/>
      <c r="E365" s="727"/>
      <c r="H365" s="190"/>
      <c r="O365" s="803" t="s">
        <v>2862</v>
      </c>
      <c r="P365" s="1595" t="s">
        <v>3984</v>
      </c>
      <c r="Q365" s="232"/>
    </row>
    <row r="366" spans="1:32" ht="12" customHeight="1">
      <c r="A366" s="194"/>
      <c r="B366" s="55" t="s">
        <v>2865</v>
      </c>
      <c r="C366" s="62" t="s">
        <v>3839</v>
      </c>
      <c r="D366" s="727"/>
      <c r="E366" s="727"/>
      <c r="O366" s="803" t="s">
        <v>2865</v>
      </c>
      <c r="P366" s="1595" t="s">
        <v>3984</v>
      </c>
      <c r="Q366" s="232"/>
    </row>
    <row r="367" spans="1:32" ht="12" customHeight="1">
      <c r="A367" s="194"/>
      <c r="B367" s="55" t="s">
        <v>1145</v>
      </c>
      <c r="C367" s="62" t="s">
        <v>3895</v>
      </c>
      <c r="D367" s="727"/>
      <c r="E367" s="727"/>
      <c r="O367" s="803" t="s">
        <v>1145</v>
      </c>
      <c r="P367" s="1595" t="s">
        <v>3976</v>
      </c>
      <c r="Q367" s="232"/>
    </row>
    <row r="368" spans="1:32" ht="12" customHeight="1">
      <c r="A368" s="194"/>
      <c r="B368" s="55" t="s">
        <v>3004</v>
      </c>
      <c r="C368" s="62" t="s">
        <v>3831</v>
      </c>
      <c r="E368" s="190"/>
      <c r="O368" s="803" t="s">
        <v>3004</v>
      </c>
      <c r="P368" s="1595" t="s">
        <v>3984</v>
      </c>
      <c r="Q368" s="232"/>
    </row>
    <row r="369" spans="1:31" ht="12" customHeight="1">
      <c r="B369" s="55" t="s">
        <v>2588</v>
      </c>
      <c r="C369" s="62" t="s">
        <v>2967</v>
      </c>
      <c r="E369" s="190"/>
      <c r="G369" s="803" t="s">
        <v>2588</v>
      </c>
      <c r="H369" s="1617"/>
      <c r="I369" s="1618"/>
      <c r="J369" s="1618"/>
      <c r="K369" s="1618"/>
      <c r="L369" s="1618"/>
      <c r="M369" s="1618"/>
      <c r="N369" s="1618"/>
      <c r="O369" s="1619"/>
      <c r="P369" s="1595"/>
      <c r="Q369" s="232"/>
    </row>
    <row r="370" spans="1:31" ht="11.25" customHeight="1">
      <c r="B370" s="191" t="s">
        <v>2737</v>
      </c>
      <c r="D370" s="191"/>
      <c r="E370" s="191"/>
      <c r="F370" s="191"/>
      <c r="G370" s="191"/>
      <c r="H370" s="48"/>
      <c r="I370" s="180"/>
      <c r="J370" s="180"/>
      <c r="K370" s="180"/>
      <c r="L370" s="848"/>
      <c r="M370" s="848"/>
      <c r="N370" s="848"/>
      <c r="O370" s="848"/>
      <c r="P370" s="848"/>
      <c r="Q370" s="60"/>
    </row>
    <row r="371" spans="1:31" ht="11.65" customHeight="1">
      <c r="A371" s="1599"/>
      <c r="B371" s="1600"/>
      <c r="C371" s="1600"/>
      <c r="D371" s="1600"/>
      <c r="E371" s="1600"/>
      <c r="F371" s="1600"/>
      <c r="G371" s="1600"/>
      <c r="H371" s="1600"/>
      <c r="I371" s="1600"/>
      <c r="J371" s="1600"/>
      <c r="K371" s="1600"/>
      <c r="L371" s="1600"/>
      <c r="M371" s="1600"/>
      <c r="N371" s="1600"/>
      <c r="O371" s="1600"/>
      <c r="P371" s="1600"/>
      <c r="Q371" s="1601"/>
      <c r="U371" s="186"/>
      <c r="V371" s="186"/>
      <c r="W371" s="186"/>
      <c r="X371" s="186"/>
      <c r="Y371" s="186"/>
      <c r="Z371" s="186"/>
      <c r="AA371" s="186"/>
      <c r="AB371" s="186"/>
      <c r="AC371" s="186"/>
      <c r="AD371" s="186"/>
      <c r="AE371" s="805"/>
    </row>
    <row r="372" spans="1:31" ht="11.25" customHeight="1">
      <c r="B372" s="187" t="s">
        <v>2738</v>
      </c>
      <c r="C372" s="188"/>
      <c r="D372" s="856"/>
      <c r="E372" s="856"/>
      <c r="F372" s="856"/>
      <c r="G372" s="856"/>
      <c r="H372" s="856"/>
      <c r="I372" s="856"/>
      <c r="J372" s="856"/>
      <c r="K372" s="856"/>
      <c r="L372" s="856"/>
      <c r="M372" s="856"/>
      <c r="N372" s="856"/>
      <c r="O372" s="856"/>
      <c r="P372" s="856"/>
      <c r="Q372" s="856"/>
    </row>
    <row r="373" spans="1:31" ht="11.6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3810</v>
      </c>
      <c r="C375" s="1120"/>
      <c r="D375" s="1120"/>
      <c r="E375" s="1120"/>
      <c r="F375" s="1120"/>
      <c r="G375" s="1120"/>
      <c r="H375" s="856"/>
      <c r="I375" s="856"/>
      <c r="J375" s="856"/>
      <c r="K375" s="856"/>
      <c r="L375" s="856"/>
      <c r="M375" s="856"/>
      <c r="O375" s="181" t="s">
        <v>2739</v>
      </c>
      <c r="P375" s="1114"/>
      <c r="Q375" s="1115"/>
    </row>
    <row r="376" spans="1:31" ht="21.75" customHeight="1">
      <c r="A376" s="189"/>
      <c r="B376" s="192" t="s">
        <v>2862</v>
      </c>
      <c r="C376" s="1118" t="s">
        <v>837</v>
      </c>
      <c r="D376" s="1118"/>
      <c r="E376" s="1118"/>
      <c r="F376" s="1118"/>
      <c r="G376" s="1118"/>
      <c r="H376" s="1118"/>
      <c r="I376" s="1118"/>
      <c r="J376" s="1118"/>
      <c r="K376" s="1118"/>
      <c r="L376" s="1118"/>
      <c r="M376" s="1118"/>
      <c r="N376" s="1118"/>
      <c r="O376" s="219" t="s">
        <v>2862</v>
      </c>
      <c r="P376" s="1595" t="s">
        <v>4022</v>
      </c>
      <c r="Q376" s="232"/>
    </row>
    <row r="377" spans="1:31" ht="12" customHeight="1">
      <c r="A377" s="189"/>
      <c r="B377" s="55" t="s">
        <v>2865</v>
      </c>
      <c r="C377" s="197" t="s">
        <v>793</v>
      </c>
      <c r="D377" s="856"/>
      <c r="E377" s="856"/>
      <c r="F377" s="856"/>
      <c r="G377" s="856"/>
      <c r="H377" s="856"/>
      <c r="I377" s="856"/>
      <c r="J377" s="856"/>
      <c r="K377" s="856"/>
      <c r="L377" s="856"/>
      <c r="M377" s="856"/>
      <c r="O377" s="803" t="s">
        <v>2865</v>
      </c>
      <c r="P377" s="1595" t="s">
        <v>3976</v>
      </c>
      <c r="Q377" s="232"/>
    </row>
    <row r="378" spans="1:31" ht="11.25" customHeight="1">
      <c r="B378" s="127" t="s">
        <v>2737</v>
      </c>
      <c r="D378" s="127"/>
      <c r="E378" s="127"/>
      <c r="F378" s="127"/>
      <c r="G378" s="127"/>
      <c r="H378" s="48"/>
      <c r="I378" s="180"/>
      <c r="J378" s="180"/>
      <c r="K378" s="187" t="s">
        <v>2738</v>
      </c>
      <c r="L378" s="848"/>
      <c r="M378" s="848"/>
      <c r="N378" s="848"/>
      <c r="O378" s="235"/>
      <c r="P378" s="848"/>
      <c r="Q378" s="60"/>
    </row>
    <row r="379" spans="1:31" ht="11.65" customHeight="1">
      <c r="A379" s="1599"/>
      <c r="B379" s="1600"/>
      <c r="C379" s="1600"/>
      <c r="D379" s="1600"/>
      <c r="E379" s="1600"/>
      <c r="F379" s="1600"/>
      <c r="G379" s="1600"/>
      <c r="H379" s="1600"/>
      <c r="I379" s="1600"/>
      <c r="J379" s="1601"/>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3811</v>
      </c>
      <c r="C381" s="5"/>
      <c r="D381" s="5"/>
      <c r="E381" s="5"/>
      <c r="F381" s="5"/>
      <c r="G381" s="5"/>
      <c r="H381" s="856"/>
      <c r="I381" s="856"/>
      <c r="J381" s="856"/>
      <c r="K381" s="856"/>
      <c r="L381" s="856"/>
      <c r="M381" s="856"/>
      <c r="O381" s="181" t="s">
        <v>2739</v>
      </c>
      <c r="P381" s="1114"/>
      <c r="Q381" s="1115"/>
    </row>
    <row r="382" spans="1:31" ht="12" customHeight="1">
      <c r="A382" s="50"/>
      <c r="B382" s="55" t="s">
        <v>2862</v>
      </c>
      <c r="C382" s="47" t="s">
        <v>1148</v>
      </c>
      <c r="D382" s="50"/>
      <c r="E382" s="50"/>
      <c r="F382" s="50"/>
      <c r="G382" s="50"/>
      <c r="H382" s="50"/>
      <c r="I382" s="50"/>
      <c r="J382" s="50"/>
      <c r="K382" s="50"/>
      <c r="L382" s="50"/>
      <c r="M382" s="50"/>
      <c r="N382" s="50"/>
      <c r="O382" s="803" t="s">
        <v>2862</v>
      </c>
      <c r="P382" s="1595" t="s">
        <v>3984</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95" t="s">
        <v>3984</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95"/>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95"/>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53"/>
      <c r="H388" s="662" t="s">
        <v>291</v>
      </c>
      <c r="J388" s="184" t="s">
        <v>3106</v>
      </c>
      <c r="K388" s="38"/>
      <c r="N388" s="1653"/>
      <c r="O388" s="662" t="s">
        <v>291</v>
      </c>
    </row>
    <row r="389" spans="1:32" ht="12" customHeight="1">
      <c r="A389" s="50"/>
      <c r="B389" s="55"/>
      <c r="C389" s="184" t="s">
        <v>3104</v>
      </c>
      <c r="D389" s="44"/>
      <c r="E389" s="50"/>
      <c r="F389" s="38"/>
      <c r="G389" s="1653"/>
      <c r="H389" s="662"/>
      <c r="J389" s="184" t="s">
        <v>3107</v>
      </c>
      <c r="K389" s="38"/>
      <c r="N389" s="1653"/>
      <c r="O389" s="662"/>
    </row>
    <row r="390" spans="1:32" ht="12" customHeight="1">
      <c r="A390" s="50"/>
      <c r="B390" s="55"/>
      <c r="C390" s="184" t="s">
        <v>3105</v>
      </c>
      <c r="D390" s="44"/>
      <c r="E390" s="50"/>
      <c r="F390" s="38"/>
      <c r="G390" s="1653"/>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95"/>
      <c r="H392" s="232"/>
      <c r="J392" s="697" t="s">
        <v>1705</v>
      </c>
      <c r="K392" s="38"/>
      <c r="N392" s="1595"/>
      <c r="O392" s="232"/>
    </row>
    <row r="393" spans="1:32" ht="12" customHeight="1">
      <c r="A393" s="50"/>
      <c r="B393" s="55"/>
      <c r="C393" s="697" t="s">
        <v>1704</v>
      </c>
      <c r="D393" s="38"/>
      <c r="E393" s="38"/>
      <c r="F393" s="38"/>
      <c r="G393" s="1595"/>
      <c r="H393" s="232"/>
      <c r="J393" s="697" t="s">
        <v>3166</v>
      </c>
      <c r="N393" s="1654"/>
      <c r="O393" s="1655"/>
      <c r="P393" s="1655"/>
      <c r="Q393" s="1656"/>
    </row>
    <row r="394" spans="1:32" ht="12" customHeight="1">
      <c r="B394" s="191" t="s">
        <v>2737</v>
      </c>
      <c r="D394" s="191"/>
      <c r="E394" s="191"/>
      <c r="F394" s="191"/>
      <c r="G394" s="191"/>
      <c r="H394" s="48"/>
      <c r="I394" s="180"/>
      <c r="J394" s="180"/>
      <c r="K394" s="180"/>
      <c r="P394" s="848"/>
      <c r="Q394" s="60"/>
    </row>
    <row r="395" spans="1:32" ht="12" customHeight="1">
      <c r="A395" s="1599"/>
      <c r="B395" s="1600"/>
      <c r="C395" s="1600"/>
      <c r="D395" s="1600"/>
      <c r="E395" s="1600"/>
      <c r="F395" s="1600"/>
      <c r="G395" s="1600"/>
      <c r="H395" s="1600"/>
      <c r="I395" s="1600"/>
      <c r="J395" s="1600"/>
      <c r="K395" s="1600"/>
      <c r="L395" s="1600"/>
      <c r="M395" s="1600"/>
      <c r="N395" s="1600"/>
      <c r="O395" s="1600"/>
      <c r="P395" s="1600"/>
      <c r="Q395" s="1601"/>
      <c r="U395" s="186"/>
      <c r="V395" s="186"/>
      <c r="W395" s="186"/>
      <c r="X395" s="186"/>
      <c r="Y395" s="186"/>
      <c r="Z395" s="186"/>
      <c r="AA395" s="186"/>
      <c r="AB395" s="186"/>
      <c r="AC395" s="186"/>
      <c r="AD395" s="186"/>
      <c r="AE395" s="805"/>
    </row>
    <row r="396" spans="1:32" ht="12" customHeight="1">
      <c r="B396" s="187" t="s">
        <v>2738</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3812</v>
      </c>
      <c r="C399" s="5"/>
      <c r="D399" s="115"/>
      <c r="E399" s="856"/>
      <c r="F399" s="856"/>
      <c r="G399" s="856"/>
      <c r="H399" s="856"/>
      <c r="O399" s="181" t="s">
        <v>2739</v>
      </c>
      <c r="P399" s="1114"/>
      <c r="Q399" s="1119"/>
    </row>
    <row r="400" spans="1:32" s="182" customFormat="1" ht="21.75" customHeight="1">
      <c r="B400" s="192" t="s">
        <v>2862</v>
      </c>
      <c r="C400" s="1121" t="s">
        <v>3881</v>
      </c>
      <c r="D400" s="1121"/>
      <c r="E400" s="1121"/>
      <c r="F400" s="1121"/>
      <c r="G400" s="1121"/>
      <c r="H400" s="1121"/>
      <c r="I400" s="1121"/>
      <c r="J400" s="1121"/>
      <c r="K400" s="1121"/>
      <c r="L400" s="1121"/>
      <c r="M400" s="1121"/>
      <c r="N400" s="1121"/>
      <c r="O400" s="219" t="s">
        <v>2862</v>
      </c>
      <c r="P400" s="1616" t="s">
        <v>4022</v>
      </c>
      <c r="Q400" s="354"/>
      <c r="AE400" s="806"/>
      <c r="AF400" s="806"/>
    </row>
    <row r="401" spans="1:32" s="182" customFormat="1" ht="12" customHeight="1">
      <c r="B401" s="192" t="s">
        <v>2865</v>
      </c>
      <c r="C401" s="1121" t="s">
        <v>3882</v>
      </c>
      <c r="D401" s="1121"/>
      <c r="E401" s="1121"/>
      <c r="F401" s="1121"/>
      <c r="G401" s="1121"/>
      <c r="H401" s="1121"/>
      <c r="I401" s="1121"/>
      <c r="J401" s="1121"/>
      <c r="K401" s="1121"/>
      <c r="L401" s="1121"/>
      <c r="M401" s="1121"/>
      <c r="N401" s="1121"/>
      <c r="O401" s="219" t="s">
        <v>2865</v>
      </c>
      <c r="P401" s="1616" t="s">
        <v>4022</v>
      </c>
      <c r="Q401" s="354"/>
      <c r="AE401" s="806"/>
      <c r="AF401" s="806"/>
    </row>
    <row r="402" spans="1:32" s="182" customFormat="1" ht="21.75" customHeight="1">
      <c r="B402" s="192" t="s">
        <v>1145</v>
      </c>
      <c r="C402" s="1121" t="s">
        <v>3883</v>
      </c>
      <c r="D402" s="1121"/>
      <c r="E402" s="1121"/>
      <c r="F402" s="1121"/>
      <c r="G402" s="1121"/>
      <c r="H402" s="1121"/>
      <c r="I402" s="1121"/>
      <c r="J402" s="1121"/>
      <c r="K402" s="1121"/>
      <c r="L402" s="1121"/>
      <c r="M402" s="1121"/>
      <c r="N402" s="1121"/>
      <c r="O402" s="219" t="s">
        <v>1145</v>
      </c>
      <c r="P402" s="1616" t="s">
        <v>4022</v>
      </c>
      <c r="Q402" s="354"/>
      <c r="AE402" s="806"/>
      <c r="AF402" s="806"/>
    </row>
    <row r="403" spans="1:32" s="182" customFormat="1" ht="33.75" customHeight="1">
      <c r="B403" s="192" t="s">
        <v>3004</v>
      </c>
      <c r="C403" s="1121" t="s">
        <v>3884</v>
      </c>
      <c r="D403" s="1121"/>
      <c r="E403" s="1121"/>
      <c r="F403" s="1121"/>
      <c r="G403" s="1121"/>
      <c r="H403" s="1121"/>
      <c r="I403" s="1121"/>
      <c r="J403" s="1121"/>
      <c r="K403" s="1121"/>
      <c r="L403" s="1121"/>
      <c r="M403" s="1121"/>
      <c r="N403" s="1121"/>
      <c r="O403" s="219" t="s">
        <v>3004</v>
      </c>
      <c r="P403" s="1616" t="s">
        <v>4022</v>
      </c>
      <c r="Q403" s="354"/>
      <c r="AE403" s="806"/>
      <c r="AF403" s="806"/>
    </row>
    <row r="404" spans="1:32" s="182" customFormat="1" ht="23.65" customHeight="1">
      <c r="B404" s="192" t="s">
        <v>2588</v>
      </c>
      <c r="C404" s="1121" t="s">
        <v>3885</v>
      </c>
      <c r="D404" s="1121"/>
      <c r="E404" s="1121"/>
      <c r="F404" s="1121"/>
      <c r="G404" s="1121"/>
      <c r="H404" s="1121"/>
      <c r="I404" s="1121"/>
      <c r="J404" s="1121"/>
      <c r="K404" s="1121"/>
      <c r="L404" s="1121"/>
      <c r="M404" s="1121"/>
      <c r="N404" s="1121"/>
      <c r="O404" s="219" t="s">
        <v>2588</v>
      </c>
      <c r="P404" s="1616" t="s">
        <v>4022</v>
      </c>
      <c r="Q404" s="354"/>
      <c r="AE404" s="806"/>
      <c r="AF404" s="806"/>
    </row>
    <row r="405" spans="1:32" s="182" customFormat="1" ht="21.75" customHeight="1">
      <c r="B405" s="192" t="s">
        <v>2589</v>
      </c>
      <c r="C405" s="1121" t="s">
        <v>3886</v>
      </c>
      <c r="D405" s="1121"/>
      <c r="E405" s="1121"/>
      <c r="F405" s="1121"/>
      <c r="G405" s="1121"/>
      <c r="H405" s="1121"/>
      <c r="I405" s="1121"/>
      <c r="J405" s="1121"/>
      <c r="K405" s="1121"/>
      <c r="L405" s="1121"/>
      <c r="M405" s="1121"/>
      <c r="N405" s="1121"/>
      <c r="O405" s="219" t="s">
        <v>2589</v>
      </c>
      <c r="P405" s="1616" t="s">
        <v>4022</v>
      </c>
      <c r="Q405" s="354"/>
      <c r="AE405" s="806"/>
      <c r="AF405" s="806"/>
    </row>
    <row r="406" spans="1:32" ht="11.25" customHeight="1">
      <c r="B406" s="191" t="s">
        <v>2737</v>
      </c>
      <c r="D406" s="191"/>
      <c r="E406" s="191"/>
      <c r="F406" s="191"/>
      <c r="G406" s="191"/>
      <c r="H406" s="48"/>
      <c r="I406" s="180"/>
      <c r="J406" s="180"/>
      <c r="K406" s="180"/>
      <c r="L406" s="848"/>
      <c r="M406" s="848"/>
      <c r="N406" s="848"/>
      <c r="O406" s="848"/>
      <c r="P406" s="848"/>
      <c r="Q406" s="60"/>
    </row>
    <row r="407" spans="1:32" ht="11.65" customHeight="1">
      <c r="A407" s="1599"/>
      <c r="B407" s="1600"/>
      <c r="C407" s="1600"/>
      <c r="D407" s="1600"/>
      <c r="E407" s="1600"/>
      <c r="F407" s="1600"/>
      <c r="G407" s="1600"/>
      <c r="H407" s="1600"/>
      <c r="I407" s="1600"/>
      <c r="J407" s="1600"/>
      <c r="K407" s="1600"/>
      <c r="L407" s="1600"/>
      <c r="M407" s="1600"/>
      <c r="N407" s="1600"/>
      <c r="O407" s="1600"/>
      <c r="P407" s="1600"/>
      <c r="Q407" s="1601"/>
      <c r="R407" s="736" t="s">
        <v>1806</v>
      </c>
      <c r="S407" s="737"/>
      <c r="U407" s="186"/>
      <c r="V407" s="186"/>
      <c r="W407" s="186"/>
      <c r="X407" s="186"/>
      <c r="Y407" s="186"/>
      <c r="Z407" s="186"/>
      <c r="AA407" s="186"/>
      <c r="AB407" s="186"/>
      <c r="AC407" s="186"/>
      <c r="AD407" s="186"/>
      <c r="AE407" s="805"/>
    </row>
    <row r="408" spans="1:32" ht="11.25" customHeight="1">
      <c r="B408" s="187" t="s">
        <v>2738</v>
      </c>
      <c r="C408" s="188"/>
      <c r="D408" s="856"/>
      <c r="E408" s="856"/>
      <c r="F408" s="856"/>
      <c r="G408" s="856"/>
      <c r="H408" s="856"/>
      <c r="I408" s="856"/>
      <c r="J408" s="856"/>
      <c r="K408" s="856"/>
      <c r="L408" s="856"/>
      <c r="M408" s="856"/>
      <c r="N408" s="856"/>
      <c r="O408" s="856"/>
      <c r="P408" s="856"/>
      <c r="Q408" s="856"/>
    </row>
    <row r="409" spans="1:32" ht="11.6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3813</v>
      </c>
      <c r="C411" s="5"/>
      <c r="D411" s="115"/>
      <c r="E411" s="856"/>
      <c r="F411" s="856"/>
      <c r="G411" s="856"/>
      <c r="H411" s="856"/>
      <c r="I411" s="856"/>
      <c r="J411" s="856"/>
      <c r="K411" s="856"/>
      <c r="L411" s="856"/>
      <c r="M411" s="856"/>
      <c r="O411" s="181" t="s">
        <v>2739</v>
      </c>
      <c r="P411" s="1114"/>
      <c r="Q411" s="1119"/>
    </row>
    <row r="412" spans="1:32" ht="11.25" customHeight="1">
      <c r="A412" s="857"/>
      <c r="B412" s="191" t="s">
        <v>2737</v>
      </c>
      <c r="D412" s="191"/>
      <c r="E412" s="191"/>
      <c r="F412" s="191"/>
      <c r="G412" s="191"/>
      <c r="H412" s="48"/>
      <c r="I412" s="180"/>
      <c r="J412" s="180"/>
      <c r="K412" s="180"/>
      <c r="L412" s="848"/>
      <c r="M412" s="848"/>
      <c r="N412" s="848"/>
      <c r="O412" s="848"/>
      <c r="P412" s="848"/>
      <c r="Q412" s="60"/>
    </row>
    <row r="413" spans="1:32" ht="24" customHeight="1">
      <c r="A413" s="1599" t="s">
        <v>4064</v>
      </c>
      <c r="B413" s="1600"/>
      <c r="C413" s="1600"/>
      <c r="D413" s="1600"/>
      <c r="E413" s="1600"/>
      <c r="F413" s="1600"/>
      <c r="G413" s="1600"/>
      <c r="H413" s="1600"/>
      <c r="I413" s="1600"/>
      <c r="J413" s="1600"/>
      <c r="K413" s="1600"/>
      <c r="L413" s="1600"/>
      <c r="M413" s="1600"/>
      <c r="N413" s="1600"/>
      <c r="O413" s="1600"/>
      <c r="P413" s="1600"/>
      <c r="Q413" s="1601"/>
      <c r="R413" s="736" t="s">
        <v>1806</v>
      </c>
      <c r="S413" s="737"/>
      <c r="U413" s="186"/>
      <c r="V413" s="186"/>
      <c r="W413" s="186"/>
      <c r="X413" s="186"/>
      <c r="Y413" s="186"/>
      <c r="Z413" s="186"/>
      <c r="AA413" s="186"/>
      <c r="AB413" s="186"/>
      <c r="AC413" s="186"/>
      <c r="AD413" s="186"/>
      <c r="AE413" s="805"/>
    </row>
    <row r="414" spans="1:32" ht="11.25" customHeight="1">
      <c r="B414" s="187" t="s">
        <v>2738</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65"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57"/>
      <c r="B419" s="1657"/>
      <c r="C419" s="1657"/>
      <c r="D419" s="1657"/>
      <c r="E419" s="1657"/>
      <c r="F419" s="1657"/>
      <c r="G419" s="1657"/>
      <c r="H419" s="1657"/>
      <c r="I419" s="1657"/>
      <c r="J419" s="1657"/>
      <c r="K419" s="1657"/>
      <c r="L419" s="1657"/>
      <c r="M419" s="1657"/>
      <c r="N419" s="1657"/>
      <c r="O419" s="1657"/>
      <c r="P419" s="1657"/>
      <c r="Q419" s="1657"/>
      <c r="AE419" s="807"/>
      <c r="AF419" s="807"/>
    </row>
    <row r="420" spans="1:32" s="199" customFormat="1" ht="12" customHeight="1">
      <c r="A420" s="1657"/>
      <c r="B420" s="1657"/>
      <c r="C420" s="1657"/>
      <c r="D420" s="1657"/>
      <c r="E420" s="1657"/>
      <c r="F420" s="1657"/>
      <c r="G420" s="1657"/>
      <c r="H420" s="1657"/>
      <c r="I420" s="1657"/>
      <c r="J420" s="1657"/>
      <c r="K420" s="1657"/>
      <c r="L420" s="1657"/>
      <c r="M420" s="1657"/>
      <c r="N420" s="1657"/>
      <c r="O420" s="1657"/>
      <c r="P420" s="1657"/>
      <c r="Q420" s="1657"/>
      <c r="AE420" s="807"/>
      <c r="AF420" s="807"/>
    </row>
    <row r="421" spans="1:32" s="199" customFormat="1" ht="12" customHeight="1">
      <c r="A421" s="1657"/>
      <c r="B421" s="1657"/>
      <c r="C421" s="1657"/>
      <c r="D421" s="1657"/>
      <c r="E421" s="1657"/>
      <c r="F421" s="1657"/>
      <c r="G421" s="1657"/>
      <c r="H421" s="1657"/>
      <c r="I421" s="1657"/>
      <c r="J421" s="1657"/>
      <c r="K421" s="1657"/>
      <c r="L421" s="1657"/>
      <c r="M421" s="1657"/>
      <c r="N421" s="1657"/>
      <c r="O421" s="1657"/>
      <c r="P421" s="1657"/>
      <c r="Q421" s="1657"/>
      <c r="AE421" s="807"/>
      <c r="AF421" s="807"/>
    </row>
    <row r="422" spans="1:32" s="199" customFormat="1" ht="12" customHeight="1">
      <c r="A422" s="1657"/>
      <c r="B422" s="1657"/>
      <c r="C422" s="1657"/>
      <c r="D422" s="1657"/>
      <c r="E422" s="1657"/>
      <c r="F422" s="1657"/>
      <c r="G422" s="1657"/>
      <c r="H422" s="1657"/>
      <c r="I422" s="1657"/>
      <c r="J422" s="1657"/>
      <c r="K422" s="1657"/>
      <c r="L422" s="1657"/>
      <c r="M422" s="1657"/>
      <c r="N422" s="1657"/>
      <c r="O422" s="1657"/>
      <c r="P422" s="1657"/>
      <c r="Q422" s="1657"/>
      <c r="AE422" s="807"/>
      <c r="AF422" s="807"/>
    </row>
    <row r="423" spans="1:32" s="199" customFormat="1" ht="12" customHeight="1">
      <c r="A423" s="1657"/>
      <c r="B423" s="1657"/>
      <c r="C423" s="1657"/>
      <c r="D423" s="1657"/>
      <c r="E423" s="1657"/>
      <c r="F423" s="1657"/>
      <c r="G423" s="1657"/>
      <c r="H423" s="1657"/>
      <c r="I423" s="1657"/>
      <c r="J423" s="1657"/>
      <c r="K423" s="1657"/>
      <c r="L423" s="1657"/>
      <c r="M423" s="1657"/>
      <c r="N423" s="1657"/>
      <c r="O423" s="1657"/>
      <c r="P423" s="1657"/>
      <c r="Q423" s="1657"/>
      <c r="AE423" s="807"/>
      <c r="AF423" s="807"/>
    </row>
    <row r="424" spans="1:32" s="199" customFormat="1" ht="12" customHeight="1">
      <c r="A424" s="1657"/>
      <c r="B424" s="1657"/>
      <c r="C424" s="1657"/>
      <c r="D424" s="1657"/>
      <c r="E424" s="1657"/>
      <c r="F424" s="1657"/>
      <c r="G424" s="1657"/>
      <c r="H424" s="1657"/>
      <c r="I424" s="1657"/>
      <c r="J424" s="1657"/>
      <c r="K424" s="1657"/>
      <c r="L424" s="1657"/>
      <c r="M424" s="1657"/>
      <c r="N424" s="1657"/>
      <c r="O424" s="1657"/>
      <c r="P424" s="1657"/>
      <c r="Q424" s="1657"/>
      <c r="AE424" s="807"/>
      <c r="AF424" s="807"/>
    </row>
    <row r="425" spans="1:32" s="199" customFormat="1" ht="12" customHeight="1">
      <c r="A425" s="1657"/>
      <c r="B425" s="1657"/>
      <c r="C425" s="1657"/>
      <c r="D425" s="1657"/>
      <c r="E425" s="1657"/>
      <c r="F425" s="1657"/>
      <c r="G425" s="1657"/>
      <c r="H425" s="1657"/>
      <c r="I425" s="1657"/>
      <c r="J425" s="1657"/>
      <c r="K425" s="1657"/>
      <c r="L425" s="1657"/>
      <c r="M425" s="1657"/>
      <c r="N425" s="1657"/>
      <c r="O425" s="1657"/>
      <c r="P425" s="1657"/>
      <c r="Q425" s="1657"/>
      <c r="AE425" s="807"/>
      <c r="AF425" s="807"/>
    </row>
    <row r="426" spans="1:32" s="199" customFormat="1" ht="12" customHeight="1">
      <c r="A426" s="1657"/>
      <c r="B426" s="1657"/>
      <c r="C426" s="1657"/>
      <c r="D426" s="1657"/>
      <c r="E426" s="1657"/>
      <c r="F426" s="1657"/>
      <c r="G426" s="1657"/>
      <c r="H426" s="1657"/>
      <c r="I426" s="1657"/>
      <c r="J426" s="1657"/>
      <c r="K426" s="1657"/>
      <c r="L426" s="1657"/>
      <c r="M426" s="1657"/>
      <c r="N426" s="1657"/>
      <c r="O426" s="1657"/>
      <c r="P426" s="1657"/>
      <c r="Q426" s="1657"/>
      <c r="AE426" s="807"/>
      <c r="AF426" s="807"/>
    </row>
    <row r="427" spans="1:32" s="199" customFormat="1" ht="12" customHeight="1">
      <c r="A427" s="1657"/>
      <c r="B427" s="1657"/>
      <c r="C427" s="1657"/>
      <c r="D427" s="1657"/>
      <c r="E427" s="1657"/>
      <c r="F427" s="1657"/>
      <c r="G427" s="1657"/>
      <c r="H427" s="1657"/>
      <c r="I427" s="1657"/>
      <c r="J427" s="1657"/>
      <c r="K427" s="1657"/>
      <c r="L427" s="1657"/>
      <c r="M427" s="1657"/>
      <c r="N427" s="1657"/>
      <c r="O427" s="1657"/>
      <c r="P427" s="1657"/>
      <c r="Q427" s="1657"/>
      <c r="AE427" s="807"/>
      <c r="AF427" s="807"/>
    </row>
    <row r="428" spans="1:32" s="199" customFormat="1" ht="12" customHeight="1">
      <c r="A428" s="1657"/>
      <c r="B428" s="1657"/>
      <c r="C428" s="1657"/>
      <c r="D428" s="1657"/>
      <c r="E428" s="1657"/>
      <c r="F428" s="1657"/>
      <c r="G428" s="1657"/>
      <c r="H428" s="1657"/>
      <c r="I428" s="1657"/>
      <c r="J428" s="1657"/>
      <c r="K428" s="1657"/>
      <c r="L428" s="1657"/>
      <c r="M428" s="1657"/>
      <c r="N428" s="1657"/>
      <c r="O428" s="1657"/>
      <c r="P428" s="1657"/>
      <c r="Q428" s="1657"/>
      <c r="AE428" s="807"/>
      <c r="AF428" s="807"/>
    </row>
    <row r="429" spans="1:32" s="199" customFormat="1" ht="12" customHeight="1">
      <c r="A429" s="1657"/>
      <c r="B429" s="1657"/>
      <c r="C429" s="1657"/>
      <c r="D429" s="1657"/>
      <c r="E429" s="1657"/>
      <c r="F429" s="1657"/>
      <c r="G429" s="1657"/>
      <c r="H429" s="1657"/>
      <c r="I429" s="1657"/>
      <c r="J429" s="1657"/>
      <c r="K429" s="1657"/>
      <c r="L429" s="1657"/>
      <c r="M429" s="1657"/>
      <c r="N429" s="1657"/>
      <c r="O429" s="1657"/>
      <c r="P429" s="1657"/>
      <c r="Q429" s="1657"/>
      <c r="AE429" s="807"/>
      <c r="AF429" s="807"/>
    </row>
    <row r="430" spans="1:32" s="199" customFormat="1" ht="12" customHeight="1">
      <c r="A430" s="1657"/>
      <c r="B430" s="1657"/>
      <c r="C430" s="1657"/>
      <c r="D430" s="1657"/>
      <c r="E430" s="1657"/>
      <c r="F430" s="1657"/>
      <c r="G430" s="1657"/>
      <c r="H430" s="1657"/>
      <c r="I430" s="1657"/>
      <c r="J430" s="1657"/>
      <c r="K430" s="1657"/>
      <c r="L430" s="1657"/>
      <c r="M430" s="1657"/>
      <c r="N430" s="1657"/>
      <c r="O430" s="1657"/>
      <c r="P430" s="1657"/>
      <c r="Q430" s="1657"/>
      <c r="AE430" s="807"/>
      <c r="AF430" s="807"/>
    </row>
    <row r="431" spans="1:32" s="199" customFormat="1" ht="12" customHeight="1">
      <c r="A431" s="1657"/>
      <c r="B431" s="1657"/>
      <c r="C431" s="1657"/>
      <c r="D431" s="1657"/>
      <c r="E431" s="1657"/>
      <c r="F431" s="1657"/>
      <c r="G431" s="1657"/>
      <c r="H431" s="1657"/>
      <c r="I431" s="1657"/>
      <c r="J431" s="1657"/>
      <c r="K431" s="1657"/>
      <c r="L431" s="1657"/>
      <c r="M431" s="1657"/>
      <c r="N431" s="1657"/>
      <c r="O431" s="1657"/>
      <c r="P431" s="1657"/>
      <c r="Q431" s="1657"/>
      <c r="AE431" s="807"/>
      <c r="AF431" s="807"/>
    </row>
    <row r="432" spans="1:32" s="199" customFormat="1" ht="12" customHeight="1">
      <c r="A432" s="1657"/>
      <c r="B432" s="1657"/>
      <c r="C432" s="1657"/>
      <c r="D432" s="1657"/>
      <c r="E432" s="1657"/>
      <c r="F432" s="1657"/>
      <c r="G432" s="1657"/>
      <c r="H432" s="1657"/>
      <c r="I432" s="1657"/>
      <c r="J432" s="1657"/>
      <c r="K432" s="1657"/>
      <c r="L432" s="1657"/>
      <c r="M432" s="1657"/>
      <c r="N432" s="1657"/>
      <c r="O432" s="1657"/>
      <c r="P432" s="1657"/>
      <c r="Q432" s="1657"/>
      <c r="AE432" s="807"/>
      <c r="AF432" s="807"/>
    </row>
    <row r="433" spans="1:32" s="199" customFormat="1" ht="12" customHeight="1">
      <c r="A433" s="1657"/>
      <c r="B433" s="1657"/>
      <c r="C433" s="1657"/>
      <c r="D433" s="1657"/>
      <c r="E433" s="1657"/>
      <c r="F433" s="1657"/>
      <c r="G433" s="1657"/>
      <c r="H433" s="1657"/>
      <c r="I433" s="1657"/>
      <c r="J433" s="1657"/>
      <c r="K433" s="1657"/>
      <c r="L433" s="1657"/>
      <c r="M433" s="1657"/>
      <c r="N433" s="1657"/>
      <c r="O433" s="1657"/>
      <c r="P433" s="1657"/>
      <c r="Q433" s="165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373"/>
  <sheetViews>
    <sheetView showGridLines="0" zoomScaleNormal="100" zoomScalePageLayoutView="200"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7109375" style="31" customWidth="1"/>
    <col min="13" max="13" width="6.7109375" style="31" customWidth="1"/>
    <col min="14" max="14" width="2.7109375" style="92" customWidth="1"/>
    <col min="15" max="16" width="5.42578125" style="847" customWidth="1"/>
    <col min="17" max="20" width="9.140625" style="31" customWidth="1"/>
    <col min="21" max="21" width="8.42578125" style="31" customWidth="1"/>
    <col min="22" max="23" width="9.140625" style="31" customWidth="1"/>
    <col min="24" max="24" width="8.71093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2012-018 Poplar Pointe, Hiram, Paulding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4" customHeight="1">
      <c r="A3" s="50"/>
      <c r="B3" s="44"/>
      <c r="C3" s="44"/>
      <c r="D3" s="44"/>
      <c r="E3" s="44"/>
      <c r="F3" s="44"/>
      <c r="G3" s="44"/>
      <c r="H3" s="44"/>
      <c r="I3" s="44"/>
      <c r="J3" s="44"/>
      <c r="K3" s="50"/>
      <c r="M3" s="121" t="s">
        <v>3122</v>
      </c>
      <c r="N3" s="90"/>
      <c r="O3" s="111" t="s">
        <v>3121</v>
      </c>
      <c r="P3" s="245" t="s">
        <v>313</v>
      </c>
    </row>
    <row r="4" spans="1:19" s="52" customFormat="1" ht="12.4"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55</v>
      </c>
      <c r="P6" s="77">
        <f>P291</f>
        <v>13</v>
      </c>
    </row>
    <row r="7" spans="1:19" s="52" customFormat="1" ht="3" customHeight="1">
      <c r="A7" s="50"/>
      <c r="B7" s="58"/>
      <c r="C7" s="50"/>
      <c r="D7" s="50"/>
      <c r="E7" s="50"/>
      <c r="F7" s="50"/>
      <c r="G7" s="50"/>
      <c r="H7" s="50"/>
      <c r="I7" s="50"/>
      <c r="J7" s="50"/>
      <c r="K7" s="50"/>
      <c r="M7" s="121"/>
      <c r="N7" s="11"/>
      <c r="O7" s="1"/>
      <c r="P7" s="34"/>
    </row>
    <row r="8" spans="1:19" s="50" customFormat="1" ht="12.4"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4"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1" t="s">
        <v>3620</v>
      </c>
      <c r="G10" s="38">
        <f>F16</f>
        <v>0</v>
      </c>
      <c r="H10" s="244" t="s">
        <v>301</v>
      </c>
      <c r="M10" s="7">
        <v>7</v>
      </c>
      <c r="N10" s="78" t="s">
        <v>2862</v>
      </c>
      <c r="O10" s="1658">
        <v>0</v>
      </c>
      <c r="P10" s="66"/>
    </row>
    <row r="11" spans="1:19" s="50" customFormat="1" ht="11.25" customHeight="1">
      <c r="A11" s="255" t="s">
        <v>2865</v>
      </c>
      <c r="B11" s="236" t="s">
        <v>1122</v>
      </c>
      <c r="D11" s="56"/>
      <c r="E11" s="56"/>
      <c r="F11" s="821" t="s">
        <v>3620</v>
      </c>
      <c r="G11" s="38">
        <f>K16</f>
        <v>0</v>
      </c>
      <c r="H11" s="244" t="s">
        <v>302</v>
      </c>
      <c r="J11" s="57"/>
      <c r="M11" s="7">
        <v>0</v>
      </c>
      <c r="N11" s="78" t="s">
        <v>2865</v>
      </c>
      <c r="O11" s="1658"/>
      <c r="P11" s="66"/>
      <c r="Q11" s="148"/>
    </row>
    <row r="12" spans="1:19" s="51" customFormat="1" ht="11.25" customHeight="1">
      <c r="A12" s="255" t="s">
        <v>1145</v>
      </c>
      <c r="B12" s="236" t="s">
        <v>3002</v>
      </c>
      <c r="D12" s="56"/>
      <c r="E12" s="56"/>
      <c r="F12" s="821" t="s">
        <v>3620</v>
      </c>
      <c r="G12" s="38">
        <f>P16</f>
        <v>0</v>
      </c>
      <c r="H12" s="244" t="s">
        <v>303</v>
      </c>
      <c r="J12" s="57"/>
      <c r="M12" s="7">
        <v>1</v>
      </c>
      <c r="N12" s="78" t="s">
        <v>1145</v>
      </c>
      <c r="O12" s="165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4" customHeight="1">
      <c r="A14" s="1599"/>
      <c r="B14" s="1600"/>
      <c r="C14" s="1600"/>
      <c r="D14" s="1600"/>
      <c r="E14" s="1600"/>
      <c r="F14" s="1600"/>
      <c r="G14" s="1600"/>
      <c r="H14" s="1600"/>
      <c r="I14" s="1600"/>
      <c r="J14" s="1600"/>
      <c r="K14" s="1600"/>
      <c r="L14" s="1600"/>
      <c r="M14" s="1600"/>
      <c r="N14" s="1600"/>
      <c r="O14" s="1600"/>
      <c r="P14" s="1601"/>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0" t="s">
        <v>2098</v>
      </c>
      <c r="M16" s="126"/>
      <c r="N16" s="124"/>
      <c r="O16" s="79"/>
      <c r="P16" s="93">
        <f>SUM(P17:P28)</f>
        <v>0</v>
      </c>
      <c r="R16" s="738"/>
      <c r="S16" s="215"/>
    </row>
    <row r="17" spans="1:19" s="50" customFormat="1" ht="24.4"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4"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4"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4"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4"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4"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4"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4"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4"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4"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4"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4"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4"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59">
        <v>16</v>
      </c>
      <c r="K31" s="660" t="s">
        <v>3859</v>
      </c>
      <c r="L31" s="691">
        <f>IF(OR('Part VI-Revenues &amp; Expenses'!$M$60="", 'Part VI-Revenues &amp; Expenses'!$M$60=0),0,I31/'Part VI-Revenues &amp; Expenses'!$M$60)</f>
        <v>0.15238095238095239</v>
      </c>
      <c r="M31" s="1">
        <v>3</v>
      </c>
      <c r="N31" s="690"/>
      <c r="O31" s="1189" t="s">
        <v>3928</v>
      </c>
      <c r="P31" s="735">
        <v>0.15</v>
      </c>
    </row>
    <row r="32" spans="1:19" s="688" customFormat="1" ht="11.25" customHeight="1">
      <c r="A32" s="687" t="s">
        <v>2865</v>
      </c>
      <c r="B32" s="155" t="s">
        <v>3703</v>
      </c>
      <c r="E32" s="689"/>
      <c r="H32" s="660" t="s">
        <v>3704</v>
      </c>
      <c r="I32" s="1659"/>
      <c r="K32" s="660" t="s">
        <v>3859</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4" customHeight="1">
      <c r="A34" s="1599"/>
      <c r="B34" s="1600"/>
      <c r="C34" s="1600"/>
      <c r="D34" s="1600"/>
      <c r="E34" s="1600"/>
      <c r="F34" s="1600"/>
      <c r="G34" s="1600"/>
      <c r="H34" s="1600"/>
      <c r="I34" s="1600"/>
      <c r="J34" s="1600"/>
      <c r="K34" s="1600"/>
      <c r="L34" s="1600"/>
      <c r="M34" s="1600"/>
      <c r="N34" s="1600"/>
      <c r="O34" s="1600"/>
      <c r="P34" s="1601"/>
    </row>
    <row r="35" spans="1:18" s="51" customFormat="1" ht="11.65" customHeight="1">
      <c r="A35" s="50"/>
      <c r="B35" s="129" t="s">
        <v>2738</v>
      </c>
      <c r="C35" s="50"/>
      <c r="D35" s="114"/>
      <c r="E35" s="856"/>
      <c r="F35" s="856"/>
      <c r="G35" s="856"/>
      <c r="H35" s="856"/>
      <c r="I35" s="856"/>
      <c r="J35" s="856"/>
      <c r="K35" s="856"/>
      <c r="L35" s="856"/>
      <c r="M35" s="856"/>
      <c r="N35" s="91"/>
      <c r="O35" s="86"/>
      <c r="P35" s="3"/>
    </row>
    <row r="36" spans="1:18" s="51" customFormat="1" ht="12.4"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4"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60">
        <v>12</v>
      </c>
      <c r="P40" s="85"/>
      <c r="R40" s="558"/>
    </row>
    <row r="41" spans="1:18" s="51" customFormat="1" ht="12.4" customHeight="1">
      <c r="A41" s="189" t="s">
        <v>2865</v>
      </c>
      <c r="B41" s="236" t="s">
        <v>2748</v>
      </c>
      <c r="D41" s="49"/>
      <c r="E41" s="244" t="s">
        <v>588</v>
      </c>
      <c r="F41" s="585"/>
      <c r="G41" s="585"/>
      <c r="H41" s="585"/>
      <c r="M41" s="180" t="s">
        <v>1777</v>
      </c>
      <c r="N41" s="803" t="s">
        <v>2865</v>
      </c>
      <c r="O41" s="1658"/>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65" customHeight="1">
      <c r="A44" s="1599"/>
      <c r="B44" s="1600"/>
      <c r="C44" s="1600"/>
      <c r="D44" s="1600"/>
      <c r="E44" s="1600"/>
      <c r="F44" s="1600"/>
      <c r="G44" s="1600"/>
      <c r="H44" s="1600"/>
      <c r="I44" s="1600"/>
      <c r="J44" s="1600"/>
      <c r="K44" s="1600"/>
      <c r="L44" s="1600"/>
      <c r="M44" s="1600"/>
      <c r="N44" s="1600"/>
      <c r="O44" s="1600"/>
      <c r="P44" s="1601"/>
      <c r="Q44" s="736" t="s">
        <v>1806</v>
      </c>
      <c r="R44" s="737"/>
    </row>
    <row r="45" spans="1:18" s="51" customFormat="1" ht="11.65" customHeight="1">
      <c r="A45" s="50"/>
      <c r="B45" s="80" t="s">
        <v>2738</v>
      </c>
      <c r="C45" s="50"/>
      <c r="D45" s="187"/>
      <c r="E45" s="856"/>
      <c r="F45" s="856"/>
      <c r="G45" s="856"/>
      <c r="H45" s="856"/>
      <c r="I45" s="856"/>
      <c r="J45" s="856"/>
      <c r="K45" s="856"/>
      <c r="L45" s="856"/>
      <c r="M45" s="856"/>
      <c r="N45" s="91"/>
      <c r="O45" s="86"/>
      <c r="P45" s="3"/>
      <c r="Q45" s="688"/>
      <c r="R45" s="688"/>
    </row>
    <row r="46" spans="1:18" s="51" customFormat="1" ht="23.6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4" customHeight="1">
      <c r="M47" s="40"/>
      <c r="N47" s="157"/>
      <c r="O47" s="205"/>
      <c r="P47" s="205"/>
    </row>
    <row r="48" spans="1:18" ht="3" customHeight="1"/>
    <row r="49" spans="1:18" s="51" customFormat="1" ht="12.4" customHeight="1">
      <c r="A49" s="209" t="s">
        <v>1762</v>
      </c>
      <c r="B49" s="144" t="s">
        <v>3757</v>
      </c>
      <c r="D49" s="49"/>
      <c r="H49" s="53" t="s">
        <v>3860</v>
      </c>
      <c r="I49" s="57" t="s">
        <v>2755</v>
      </c>
      <c r="J49" s="56"/>
      <c r="K49" s="56"/>
      <c r="M49" s="3">
        <v>3</v>
      </c>
      <c r="N49" s="803"/>
      <c r="O49" s="204">
        <f>MIN($M49,(O50+O51+O52))</f>
        <v>3</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60">
        <v>3</v>
      </c>
      <c r="P50" s="85"/>
      <c r="R50" s="558"/>
    </row>
    <row r="51" spans="1:18" s="51" customFormat="1" ht="12.4" customHeight="1">
      <c r="A51" s="189" t="s">
        <v>2865</v>
      </c>
      <c r="B51" s="236" t="s">
        <v>3718</v>
      </c>
      <c r="E51" s="49"/>
      <c r="K51" s="56"/>
      <c r="L51" s="558" t="str">
        <f>IF(OR($O51=$M51,$O51=0,$O51=""),"","* * Check Score! * *")</f>
        <v/>
      </c>
      <c r="M51" s="3">
        <v>2</v>
      </c>
      <c r="N51" s="803" t="s">
        <v>2865</v>
      </c>
      <c r="O51" s="1660"/>
      <c r="P51" s="85"/>
      <c r="R51" s="558"/>
    </row>
    <row r="52" spans="1:18" s="51" customFormat="1" ht="12.4" customHeight="1">
      <c r="A52" s="189" t="s">
        <v>1145</v>
      </c>
      <c r="B52" s="236" t="s">
        <v>3760</v>
      </c>
      <c r="E52" s="49"/>
      <c r="K52" s="56"/>
      <c r="L52" s="558" t="str">
        <f>IF(OR($O52=$M52,$O52=0,$O52=""),"","* * Check Score! * *")</f>
        <v/>
      </c>
      <c r="M52" s="3">
        <v>1</v>
      </c>
      <c r="N52" s="250" t="s">
        <v>1145</v>
      </c>
      <c r="O52" s="1660"/>
      <c r="P52" s="85"/>
      <c r="R52" s="558"/>
    </row>
    <row r="53" spans="1:18" s="134" customFormat="1" ht="11.65" customHeight="1">
      <c r="A53" s="50"/>
      <c r="B53" s="57" t="s">
        <v>312</v>
      </c>
      <c r="C53" s="50"/>
      <c r="D53" s="56"/>
      <c r="E53" s="56"/>
      <c r="F53" s="56"/>
      <c r="G53" s="56"/>
      <c r="H53" s="44"/>
      <c r="I53" s="44"/>
      <c r="J53" s="44"/>
      <c r="K53" s="44"/>
      <c r="M53" s="54"/>
      <c r="N53" s="7"/>
      <c r="O53" s="4"/>
      <c r="P53" s="3"/>
    </row>
    <row r="54" spans="1:18" s="51" customFormat="1" ht="23.65" customHeight="1">
      <c r="A54" s="1599"/>
      <c r="B54" s="1600"/>
      <c r="C54" s="1600"/>
      <c r="D54" s="1600"/>
      <c r="E54" s="1600"/>
      <c r="F54" s="1600"/>
      <c r="G54" s="1600"/>
      <c r="H54" s="1600"/>
      <c r="I54" s="1600"/>
      <c r="J54" s="1600"/>
      <c r="K54" s="1600"/>
      <c r="L54" s="1600"/>
      <c r="M54" s="1600"/>
      <c r="N54" s="1600"/>
      <c r="O54" s="1600"/>
      <c r="P54" s="1601"/>
    </row>
    <row r="55" spans="1:18" s="134" customFormat="1" ht="11.65" customHeight="1">
      <c r="A55" s="50"/>
      <c r="B55" s="129" t="s">
        <v>2738</v>
      </c>
      <c r="C55" s="50"/>
      <c r="D55" s="129"/>
      <c r="E55" s="853"/>
      <c r="F55" s="853"/>
      <c r="G55" s="853"/>
      <c r="H55" s="853"/>
      <c r="I55" s="853"/>
      <c r="J55" s="853"/>
      <c r="K55" s="853"/>
      <c r="L55" s="853"/>
      <c r="M55" s="853"/>
      <c r="N55" s="124"/>
      <c r="O55" s="257"/>
      <c r="P55" s="3"/>
    </row>
    <row r="56" spans="1:18" s="51" customFormat="1" ht="23.6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4" customHeight="1">
      <c r="A58" s="209" t="s">
        <v>1763</v>
      </c>
      <c r="B58" s="144" t="s">
        <v>3758</v>
      </c>
      <c r="D58" s="49"/>
      <c r="E58" s="586" t="s">
        <v>3440</v>
      </c>
      <c r="I58" s="57" t="s">
        <v>2755</v>
      </c>
      <c r="M58" s="3">
        <v>1</v>
      </c>
      <c r="N58" s="601" t="str">
        <f>IF(OR($O58=$M58,$O58=0,$O58=""),"","***")</f>
        <v/>
      </c>
      <c r="O58" s="1660">
        <v>1</v>
      </c>
      <c r="P58" s="85"/>
      <c r="Q58" s="148" t="s">
        <v>612</v>
      </c>
    </row>
    <row r="59" spans="1:18" s="51" customFormat="1" ht="12.4" customHeight="1">
      <c r="A59" s="209"/>
      <c r="B59" s="586" t="s">
        <v>1120</v>
      </c>
      <c r="D59" s="49"/>
      <c r="H59" s="57"/>
      <c r="I59" s="57"/>
      <c r="J59" s="57"/>
      <c r="K59" s="57"/>
      <c r="L59" s="57"/>
      <c r="M59" s="3"/>
      <c r="N59" s="601"/>
      <c r="O59" s="1595" t="s">
        <v>3976</v>
      </c>
      <c r="P59" s="232"/>
      <c r="Q59" s="148"/>
    </row>
    <row r="60" spans="1:18" s="51" customFormat="1" ht="12.4" customHeight="1">
      <c r="A60" s="209"/>
      <c r="B60" s="586" t="s">
        <v>1119</v>
      </c>
      <c r="D60" s="49"/>
      <c r="H60" s="57"/>
      <c r="I60" s="1570" t="s">
        <v>4074</v>
      </c>
      <c r="J60" s="1661"/>
      <c r="K60" s="1661"/>
      <c r="L60" s="1662"/>
      <c r="M60" s="3"/>
      <c r="N60" s="601"/>
      <c r="O60" s="601"/>
      <c r="P60" s="601"/>
      <c r="Q60" s="148"/>
    </row>
    <row r="61" spans="1:18" s="51" customFormat="1" ht="12.4" customHeight="1">
      <c r="A61" s="209"/>
      <c r="B61" s="586" t="s">
        <v>1121</v>
      </c>
      <c r="D61" s="49"/>
      <c r="H61" s="57"/>
      <c r="I61" s="57"/>
      <c r="J61" s="57"/>
      <c r="K61" s="57"/>
      <c r="L61" s="57"/>
      <c r="M61" s="3"/>
      <c r="N61" s="601"/>
      <c r="O61" s="1595" t="s">
        <v>3984</v>
      </c>
      <c r="P61" s="232"/>
      <c r="Q61" s="148"/>
    </row>
    <row r="62" spans="1:18" s="134" customFormat="1" ht="11.65" customHeight="1">
      <c r="A62" s="50"/>
      <c r="B62" s="57" t="s">
        <v>312</v>
      </c>
      <c r="C62" s="50"/>
      <c r="D62" s="56"/>
      <c r="E62" s="56"/>
      <c r="F62" s="56"/>
      <c r="G62" s="56"/>
      <c r="I62" s="44"/>
      <c r="J62" s="44"/>
      <c r="K62" s="44"/>
      <c r="M62" s="54"/>
      <c r="N62" s="7"/>
      <c r="O62" s="4"/>
      <c r="P62" s="3"/>
    </row>
    <row r="63" spans="1:18" s="51" customFormat="1" ht="25.9" customHeight="1">
      <c r="A63" s="1599" t="s">
        <v>4075</v>
      </c>
      <c r="B63" s="1600"/>
      <c r="C63" s="1600"/>
      <c r="D63" s="1600"/>
      <c r="E63" s="1600"/>
      <c r="F63" s="1600"/>
      <c r="G63" s="1600"/>
      <c r="H63" s="1600"/>
      <c r="I63" s="1600"/>
      <c r="J63" s="1600"/>
      <c r="K63" s="1600"/>
      <c r="L63" s="1600"/>
      <c r="M63" s="1600"/>
      <c r="N63" s="1600"/>
      <c r="O63" s="1600"/>
      <c r="P63" s="1601"/>
      <c r="Q63" s="736" t="s">
        <v>1806</v>
      </c>
    </row>
    <row r="64" spans="1:18" s="134" customFormat="1" ht="11.65" customHeight="1">
      <c r="A64" s="50"/>
      <c r="B64" s="129" t="s">
        <v>2738</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4" customHeight="1">
      <c r="A67" s="209" t="s">
        <v>2757</v>
      </c>
      <c r="B67" s="144" t="s">
        <v>3759</v>
      </c>
      <c r="D67" s="49"/>
      <c r="E67" s="44" t="s">
        <v>1954</v>
      </c>
      <c r="I67" s="57" t="s">
        <v>2755</v>
      </c>
      <c r="M67" s="3">
        <v>2</v>
      </c>
      <c r="N67" s="601" t="str">
        <f>IF(OR($O67=$M67,$O67=0,$O67=""),"","***")</f>
        <v/>
      </c>
      <c r="O67" s="1660"/>
      <c r="P67" s="85"/>
      <c r="Q67" s="148" t="s">
        <v>612</v>
      </c>
    </row>
    <row r="68" spans="1:18" s="51" customFormat="1" ht="12.4" customHeight="1">
      <c r="A68" s="209"/>
      <c r="B68" s="586" t="s">
        <v>3705</v>
      </c>
      <c r="D68" s="49"/>
      <c r="E68" s="44"/>
      <c r="I68" s="1663"/>
      <c r="J68" s="1661"/>
      <c r="K68" s="1661"/>
      <c r="L68" s="1662"/>
      <c r="M68" s="3"/>
      <c r="N68" s="803"/>
      <c r="O68" s="803"/>
      <c r="P68" s="803"/>
      <c r="Q68" s="148"/>
    </row>
    <row r="69" spans="1:18" s="134" customFormat="1" ht="11.65" customHeight="1">
      <c r="A69" s="50"/>
      <c r="B69" s="57" t="s">
        <v>312</v>
      </c>
      <c r="C69" s="50"/>
      <c r="D69" s="56"/>
      <c r="E69" s="56"/>
      <c r="F69" s="56"/>
      <c r="G69" s="56"/>
      <c r="I69" s="44"/>
      <c r="J69" s="44"/>
      <c r="K69" s="44"/>
      <c r="M69" s="54"/>
      <c r="N69" s="7"/>
      <c r="O69" s="4"/>
      <c r="P69" s="3"/>
    </row>
    <row r="70" spans="1:18" s="51" customFormat="1" ht="12.75" customHeight="1">
      <c r="A70" s="1599"/>
      <c r="B70" s="1600"/>
      <c r="C70" s="1600"/>
      <c r="D70" s="1600"/>
      <c r="E70" s="1600"/>
      <c r="F70" s="1600"/>
      <c r="G70" s="1600"/>
      <c r="H70" s="1600"/>
      <c r="I70" s="1600"/>
      <c r="J70" s="1600"/>
      <c r="K70" s="1600"/>
      <c r="L70" s="1600"/>
      <c r="M70" s="1600"/>
      <c r="N70" s="1600"/>
      <c r="O70" s="1600"/>
      <c r="P70" s="1601"/>
    </row>
    <row r="71" spans="1:18" s="134" customFormat="1" ht="11.65" customHeight="1">
      <c r="A71" s="50"/>
      <c r="B71" s="129" t="s">
        <v>2738</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4" customHeight="1">
      <c r="A74" s="209" t="s">
        <v>697</v>
      </c>
      <c r="B74" s="145" t="s">
        <v>258</v>
      </c>
      <c r="D74" s="47"/>
      <c r="E74" s="44"/>
      <c r="I74" s="733" t="s">
        <v>3844</v>
      </c>
      <c r="J74" s="1664" t="s">
        <v>4030</v>
      </c>
      <c r="K74" s="1665"/>
      <c r="L74" s="166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65" customHeight="1">
      <c r="A75" s="189" t="s">
        <v>2862</v>
      </c>
      <c r="B75" s="254" t="s">
        <v>3249</v>
      </c>
      <c r="D75" s="40"/>
      <c r="H75" s="73"/>
      <c r="I75" s="40"/>
      <c r="J75" s="40"/>
      <c r="M75" s="157">
        <v>3</v>
      </c>
      <c r="N75" s="31"/>
      <c r="O75" s="162" t="s">
        <v>3522</v>
      </c>
      <c r="P75" s="162" t="s">
        <v>3522</v>
      </c>
    </row>
    <row r="76" spans="1:18" s="51" customFormat="1" ht="12.4" customHeight="1">
      <c r="A76" s="209"/>
      <c r="B76" s="693" t="s">
        <v>3945</v>
      </c>
      <c r="D76" s="49"/>
      <c r="M76" s="3"/>
      <c r="N76" s="250" t="s">
        <v>2862</v>
      </c>
      <c r="O76" s="1595" t="s">
        <v>2104</v>
      </c>
      <c r="P76" s="232"/>
      <c r="Q76" s="148"/>
    </row>
    <row r="77" spans="1:18" ht="11.65" customHeight="1">
      <c r="A77" s="550" t="str">
        <f>IF($I$90="Stable Communities &lt; 10%", "X","")</f>
        <v>X</v>
      </c>
      <c r="B77" s="551" t="s">
        <v>2866</v>
      </c>
      <c r="C77" s="568" t="s">
        <v>3706</v>
      </c>
      <c r="E77" s="160"/>
      <c r="N77" s="31"/>
      <c r="O77" s="31"/>
      <c r="P77" s="31"/>
    </row>
    <row r="78" spans="1:18" ht="23.25" customHeight="1">
      <c r="B78" s="575" t="s">
        <v>3419</v>
      </c>
      <c r="C78" s="1191" t="s">
        <v>3708</v>
      </c>
      <c r="D78" s="1191"/>
      <c r="E78" s="1191"/>
      <c r="F78" s="1191"/>
      <c r="G78" s="1191"/>
      <c r="H78" s="1191"/>
      <c r="I78" s="1191"/>
      <c r="J78" s="1191"/>
      <c r="K78" s="1191"/>
      <c r="L78" s="1191"/>
      <c r="M78" s="572" t="str">
        <f>IF(AND($I$90="Stable Communities &lt; 10%",O78=""), "X","")</f>
        <v>X</v>
      </c>
      <c r="N78" s="574" t="s">
        <v>3712</v>
      </c>
      <c r="O78" s="1667"/>
      <c r="P78" s="355"/>
    </row>
    <row r="79" spans="1:18" ht="23.25" customHeight="1">
      <c r="B79" s="575" t="s">
        <v>3420</v>
      </c>
      <c r="C79" s="1118" t="s">
        <v>3710</v>
      </c>
      <c r="D79" s="1118"/>
      <c r="E79" s="1118"/>
      <c r="F79" s="1118"/>
      <c r="G79" s="1118"/>
      <c r="H79" s="1118"/>
      <c r="I79" s="1118"/>
      <c r="J79" s="1118"/>
      <c r="K79" s="1118"/>
      <c r="L79" s="1118"/>
      <c r="M79" s="572" t="str">
        <f>IF(AND($I$90="Stable Communities &lt; 10%",O79=""), "X","")</f>
        <v>X</v>
      </c>
      <c r="N79" s="574" t="s">
        <v>3713</v>
      </c>
      <c r="O79" s="1668"/>
      <c r="P79" s="356"/>
    </row>
    <row r="80" spans="1:18" ht="11.65" customHeight="1">
      <c r="A80" s="550" t="str">
        <f>IF($I$90="Stable Communities &lt; 20%", "X","")</f>
        <v/>
      </c>
      <c r="B80" s="551" t="s">
        <v>2868</v>
      </c>
      <c r="C80" s="568" t="s">
        <v>3707</v>
      </c>
      <c r="E80" s="160"/>
      <c r="M80" s="573"/>
      <c r="N80" s="31"/>
      <c r="O80" s="162" t="s">
        <v>3522</v>
      </c>
      <c r="P80" s="162" t="s">
        <v>3522</v>
      </c>
    </row>
    <row r="81" spans="1:18" ht="23.25" customHeight="1">
      <c r="B81" s="575" t="s">
        <v>3419</v>
      </c>
      <c r="C81" s="1191" t="s">
        <v>3709</v>
      </c>
      <c r="D81" s="1191"/>
      <c r="E81" s="1191"/>
      <c r="F81" s="1191"/>
      <c r="G81" s="1191"/>
      <c r="H81" s="1191"/>
      <c r="I81" s="1191"/>
      <c r="J81" s="1191"/>
      <c r="K81" s="1191"/>
      <c r="L81" s="1191"/>
      <c r="M81" s="572" t="str">
        <f>IF(AND($I$90="Stable Communities &lt; 10%",O81=""), "X","")</f>
        <v>X</v>
      </c>
      <c r="N81" s="692" t="s">
        <v>3714</v>
      </c>
      <c r="O81" s="1667"/>
      <c r="P81" s="355"/>
    </row>
    <row r="82" spans="1:18">
      <c r="B82" s="575" t="s">
        <v>3420</v>
      </c>
      <c r="C82" s="1118" t="s">
        <v>3711</v>
      </c>
      <c r="D82" s="1118"/>
      <c r="E82" s="1118"/>
      <c r="F82" s="1118"/>
      <c r="G82" s="1118"/>
      <c r="H82" s="1118"/>
      <c r="I82" s="1118"/>
      <c r="J82" s="1118"/>
      <c r="K82" s="1118"/>
      <c r="L82" s="1118"/>
      <c r="M82" s="572" t="str">
        <f>IF(AND($I$90="Stable Communities &lt; 10%",O82=""), "X","")</f>
        <v>X</v>
      </c>
      <c r="N82" s="692" t="s">
        <v>3715</v>
      </c>
      <c r="O82" s="1668"/>
      <c r="P82" s="356"/>
    </row>
    <row r="83" spans="1:18" ht="11.65" customHeight="1">
      <c r="A83" s="189" t="s">
        <v>2865</v>
      </c>
      <c r="B83" s="254" t="s">
        <v>379</v>
      </c>
      <c r="D83" s="40"/>
      <c r="E83" s="40"/>
      <c r="F83" s="40"/>
      <c r="M83" s="67">
        <v>2</v>
      </c>
      <c r="N83" s="31"/>
      <c r="O83" s="162" t="s">
        <v>3522</v>
      </c>
      <c r="P83" s="162" t="s">
        <v>3522</v>
      </c>
    </row>
    <row r="84" spans="1:18" s="51" customFormat="1" ht="12.4" customHeight="1">
      <c r="A84" s="209"/>
      <c r="B84" s="693" t="s">
        <v>3716</v>
      </c>
      <c r="D84" s="49"/>
      <c r="M84" s="3"/>
      <c r="N84" s="803" t="s">
        <v>2865</v>
      </c>
      <c r="O84" s="1595" t="s">
        <v>3976</v>
      </c>
      <c r="P84" s="232"/>
      <c r="Q84" s="148"/>
    </row>
    <row r="85" spans="1:18" s="134" customFormat="1" ht="11.65" customHeight="1">
      <c r="A85" s="50"/>
      <c r="B85" s="57" t="s">
        <v>312</v>
      </c>
      <c r="C85" s="50"/>
      <c r="D85" s="56"/>
      <c r="E85" s="56"/>
      <c r="F85" s="56"/>
      <c r="G85" s="56"/>
      <c r="K85" s="44"/>
      <c r="M85" s="54"/>
      <c r="N85" s="7"/>
      <c r="O85" s="4"/>
      <c r="P85" s="3"/>
    </row>
    <row r="86" spans="1:18" s="51" customFormat="1" ht="12.75" customHeight="1">
      <c r="A86" s="1669"/>
      <c r="B86" s="1670"/>
      <c r="C86" s="1670"/>
      <c r="D86" s="1670"/>
      <c r="E86" s="1670"/>
      <c r="F86" s="1670"/>
      <c r="G86" s="1670"/>
      <c r="H86" s="1670"/>
      <c r="I86" s="1670"/>
      <c r="J86" s="1670"/>
      <c r="K86" s="1670"/>
      <c r="L86" s="1670"/>
      <c r="M86" s="1670"/>
      <c r="N86" s="1670"/>
      <c r="O86" s="1670"/>
      <c r="P86" s="1671"/>
      <c r="Q86" s="736" t="s">
        <v>1806</v>
      </c>
    </row>
    <row r="87" spans="1:18" s="51" customFormat="1" ht="11.25" customHeight="1">
      <c r="A87" s="50"/>
      <c r="B87" s="129" t="s">
        <v>2738</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4" customHeight="1">
      <c r="A90" s="209" t="s">
        <v>698</v>
      </c>
      <c r="B90" s="145" t="s">
        <v>3383</v>
      </c>
      <c r="C90" s="123"/>
      <c r="D90" s="71"/>
      <c r="E90" s="71"/>
      <c r="I90" s="1288" t="s">
        <v>4032</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65" customHeight="1">
      <c r="A92" s="189" t="s">
        <v>2862</v>
      </c>
      <c r="B92" s="254" t="s">
        <v>3521</v>
      </c>
      <c r="D92" s="40"/>
      <c r="H92" s="73"/>
      <c r="I92" s="40"/>
      <c r="J92" s="40"/>
      <c r="M92" s="157"/>
      <c r="N92" s="31"/>
      <c r="O92" s="31"/>
      <c r="P92" s="31"/>
    </row>
    <row r="93" spans="1:18" ht="11.65" customHeight="1">
      <c r="A93" s="550" t="str">
        <f>IF($I$90="Stable Communities &lt; 10%", "X","")</f>
        <v>X</v>
      </c>
      <c r="B93" s="551" t="s">
        <v>2866</v>
      </c>
      <c r="C93" s="721" t="s">
        <v>3896</v>
      </c>
      <c r="E93" s="160"/>
      <c r="M93" s="108">
        <v>4</v>
      </c>
      <c r="N93" s="31"/>
      <c r="O93" s="162" t="s">
        <v>3522</v>
      </c>
      <c r="P93" s="162" t="s">
        <v>3522</v>
      </c>
    </row>
    <row r="94" spans="1:18" ht="11.65" customHeight="1">
      <c r="B94" s="231" t="s">
        <v>3419</v>
      </c>
      <c r="C94" s="721" t="s">
        <v>3365</v>
      </c>
      <c r="E94" s="160"/>
      <c r="G94" s="132" t="s">
        <v>3366</v>
      </c>
      <c r="M94" s="694" t="str">
        <f>IF(AND($I$90="Stable Communities &lt; 10%",O94=""), "X","")</f>
        <v/>
      </c>
      <c r="N94" s="231" t="s">
        <v>3419</v>
      </c>
      <c r="O94" s="1667" t="s">
        <v>3976</v>
      </c>
      <c r="P94" s="355"/>
    </row>
    <row r="95" spans="1:18" ht="11.65" customHeight="1">
      <c r="B95" s="231" t="s">
        <v>3420</v>
      </c>
      <c r="C95" s="665" t="s">
        <v>3367</v>
      </c>
      <c r="E95" s="160"/>
      <c r="G95" s="132" t="s">
        <v>3368</v>
      </c>
      <c r="M95" s="694" t="str">
        <f>IF(AND($I$90="Stable Communities &lt; 10%",O95=""), "X","")</f>
        <v/>
      </c>
      <c r="N95" s="231" t="s">
        <v>3420</v>
      </c>
      <c r="O95" s="1672" t="s">
        <v>3976</v>
      </c>
      <c r="P95" s="541"/>
    </row>
    <row r="96" spans="1:18" ht="11.65" customHeight="1">
      <c r="B96" s="231" t="s">
        <v>3421</v>
      </c>
      <c r="C96" s="665" t="s">
        <v>3753</v>
      </c>
      <c r="E96" s="160"/>
      <c r="M96" s="694" t="str">
        <f>IF(AND($I$90="Stable Communities &lt; 10%",O96=""), "X","")</f>
        <v/>
      </c>
      <c r="N96" s="231" t="s">
        <v>3421</v>
      </c>
      <c r="O96" s="1668" t="s">
        <v>3976</v>
      </c>
      <c r="P96" s="356"/>
    </row>
    <row r="97" spans="1:18" ht="3" customHeight="1">
      <c r="B97" s="160"/>
      <c r="C97" s="160"/>
      <c r="D97" s="160"/>
      <c r="E97" s="160"/>
      <c r="R97" s="51"/>
    </row>
    <row r="98" spans="1:18" ht="11.65" customHeight="1">
      <c r="A98" s="550" t="str">
        <f>IF($I$90="Stable Communities &lt; 20%", "X","")</f>
        <v/>
      </c>
      <c r="B98" s="551" t="s">
        <v>2868</v>
      </c>
      <c r="C98" s="721" t="s">
        <v>3896</v>
      </c>
      <c r="E98" s="160"/>
      <c r="M98" s="695">
        <v>2</v>
      </c>
      <c r="N98" s="31"/>
      <c r="O98" s="162"/>
      <c r="P98" s="162"/>
    </row>
    <row r="99" spans="1:18" ht="11.65" customHeight="1">
      <c r="B99" s="231" t="s">
        <v>3419</v>
      </c>
      <c r="C99" s="721" t="s">
        <v>3441</v>
      </c>
      <c r="E99" s="160"/>
      <c r="G99" s="132" t="s">
        <v>3366</v>
      </c>
      <c r="M99" s="572" t="str">
        <f>IF(AND($I$90="Stable Communities &lt; 20%",O99=""), "X","")</f>
        <v/>
      </c>
      <c r="N99" s="231" t="s">
        <v>3419</v>
      </c>
      <c r="O99" s="1667"/>
      <c r="P99" s="355"/>
    </row>
    <row r="100" spans="1:18" ht="11.65" customHeight="1">
      <c r="B100" s="231" t="s">
        <v>3420</v>
      </c>
      <c r="C100" s="665" t="s">
        <v>3367</v>
      </c>
      <c r="E100" s="160"/>
      <c r="G100" s="132" t="s">
        <v>3368</v>
      </c>
      <c r="M100" s="572" t="str">
        <f>IF(AND($I$90="Stable Communities &lt; 20%",O100=""), "X","")</f>
        <v/>
      </c>
      <c r="N100" s="231" t="s">
        <v>3420</v>
      </c>
      <c r="O100" s="1672"/>
      <c r="P100" s="541"/>
    </row>
    <row r="101" spans="1:18" ht="11.65" customHeight="1">
      <c r="B101" s="231" t="s">
        <v>3421</v>
      </c>
      <c r="C101" s="665" t="s">
        <v>3753</v>
      </c>
      <c r="E101" s="160"/>
      <c r="M101" s="572" t="str">
        <f>IF(AND($I$90="Stable Communities &lt; 20%",O101=""), "X","")</f>
        <v/>
      </c>
      <c r="N101" s="231" t="s">
        <v>3421</v>
      </c>
      <c r="O101" s="1668"/>
      <c r="P101" s="356"/>
    </row>
    <row r="102" spans="1:18" ht="3" customHeight="1">
      <c r="B102" s="160"/>
      <c r="C102" s="160"/>
      <c r="D102" s="160"/>
      <c r="E102" s="160"/>
      <c r="R102" s="51"/>
    </row>
    <row r="103" spans="1:18" ht="11.65" customHeight="1">
      <c r="A103" s="189" t="s">
        <v>2865</v>
      </c>
      <c r="B103" s="254" t="s">
        <v>324</v>
      </c>
      <c r="D103" s="40"/>
      <c r="E103" s="40"/>
      <c r="F103" s="40"/>
      <c r="H103" s="73"/>
      <c r="M103" s="67"/>
      <c r="N103" s="31"/>
      <c r="O103" s="31"/>
      <c r="P103" s="31"/>
    </row>
    <row r="104" spans="1:18" s="51" customFormat="1" ht="11.6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1667"/>
      <c r="P105" s="355"/>
    </row>
    <row r="106" spans="1:18" ht="10.9" customHeight="1">
      <c r="B106" s="552" t="s">
        <v>3420</v>
      </c>
      <c r="C106" s="553" t="s">
        <v>843</v>
      </c>
      <c r="M106" s="861" t="str">
        <f>IF(AND($I$90="HOPE VI Initiative",O106=""), "X","")</f>
        <v/>
      </c>
      <c r="N106" s="231" t="s">
        <v>3420</v>
      </c>
      <c r="O106" s="1672"/>
      <c r="P106" s="541"/>
    </row>
    <row r="107" spans="1:18" ht="10.9" customHeight="1">
      <c r="B107" s="552" t="s">
        <v>3421</v>
      </c>
      <c r="C107" s="553" t="s">
        <v>844</v>
      </c>
      <c r="M107" s="861" t="str">
        <f>IF(AND($I$90="HOPE VI Initiative",O107=""), "X","")</f>
        <v/>
      </c>
      <c r="N107" s="231" t="s">
        <v>3421</v>
      </c>
      <c r="O107" s="1672"/>
      <c r="P107" s="541"/>
    </row>
    <row r="108" spans="1:18" ht="10.9" customHeight="1">
      <c r="B108" s="552" t="s">
        <v>3422</v>
      </c>
      <c r="C108" s="69" t="s">
        <v>845</v>
      </c>
      <c r="M108" s="861" t="str">
        <f>IF(AND($I$90="HOPE VI Initiative",O108=""), "X","")</f>
        <v/>
      </c>
      <c r="N108" s="231" t="s">
        <v>3422</v>
      </c>
      <c r="O108" s="1668"/>
      <c r="P108" s="356"/>
    </row>
    <row r="109" spans="1:18" ht="3" customHeight="1">
      <c r="B109" s="160"/>
      <c r="C109" s="160"/>
      <c r="D109" s="160"/>
      <c r="E109" s="160"/>
      <c r="R109" s="51"/>
    </row>
    <row r="110" spans="1:18" s="51" customFormat="1" ht="11.65" customHeight="1">
      <c r="A110" s="550"/>
      <c r="B110" s="551" t="s">
        <v>2868</v>
      </c>
      <c r="C110" s="154" t="s">
        <v>503</v>
      </c>
      <c r="D110" s="134"/>
      <c r="E110" s="48"/>
      <c r="G110" s="579" t="s">
        <v>3929</v>
      </c>
      <c r="M110" s="696">
        <v>2</v>
      </c>
      <c r="N110" s="551" t="s">
        <v>2868</v>
      </c>
      <c r="O110" s="1595"/>
      <c r="P110" s="232"/>
    </row>
    <row r="111" spans="1:18" ht="3" customHeight="1">
      <c r="B111" s="160"/>
      <c r="C111" s="160"/>
      <c r="D111" s="160"/>
      <c r="E111" s="160"/>
      <c r="R111" s="51"/>
    </row>
    <row r="112" spans="1:18" s="51" customFormat="1" ht="11.65" customHeight="1">
      <c r="A112" s="550" t="str">
        <f>IF($I$90="Redevelopment Zone", "X","")</f>
        <v/>
      </c>
      <c r="B112" s="551" t="s">
        <v>3549</v>
      </c>
      <c r="C112" s="154" t="s">
        <v>504</v>
      </c>
      <c r="D112" s="134"/>
      <c r="F112" s="571"/>
      <c r="G112" s="48" t="s">
        <v>1536</v>
      </c>
      <c r="H112" s="1673" t="s">
        <v>2626</v>
      </c>
      <c r="I112" s="162" t="s">
        <v>1458</v>
      </c>
      <c r="J112" s="1674"/>
      <c r="K112" s="1675"/>
      <c r="L112" s="1676"/>
      <c r="M112" s="696">
        <v>1</v>
      </c>
      <c r="N112" s="551" t="s">
        <v>3549</v>
      </c>
      <c r="O112" s="1595"/>
      <c r="P112" s="232"/>
    </row>
    <row r="113" spans="1:18" ht="3" customHeight="1">
      <c r="B113" s="160"/>
      <c r="C113" s="160"/>
      <c r="D113" s="160"/>
      <c r="E113" s="160"/>
      <c r="R113" s="51"/>
    </row>
    <row r="114" spans="1:18" s="51" customFormat="1" ht="11.65" customHeight="1">
      <c r="A114" s="550" t="str">
        <f>IF($I$90="Local Redevelopment Plan", "X","")</f>
        <v/>
      </c>
      <c r="B114" s="551" t="s">
        <v>1762</v>
      </c>
      <c r="C114" s="154" t="s">
        <v>846</v>
      </c>
      <c r="D114" s="134"/>
      <c r="E114" s="48"/>
      <c r="F114" s="571"/>
      <c r="G114" s="48" t="s">
        <v>597</v>
      </c>
      <c r="H114" s="1677"/>
      <c r="I114" s="1341"/>
      <c r="J114" s="1341"/>
      <c r="K114" s="1341"/>
      <c r="L114" s="1342"/>
      <c r="M114" s="696">
        <v>1</v>
      </c>
      <c r="N114" s="551" t="s">
        <v>1762</v>
      </c>
      <c r="O114" s="1595"/>
      <c r="P114" s="232"/>
    </row>
    <row r="115" spans="1:18" ht="11.65" customHeight="1">
      <c r="B115" s="552" t="s">
        <v>3419</v>
      </c>
      <c r="C115" s="48" t="s">
        <v>3752</v>
      </c>
      <c r="D115" s="132"/>
      <c r="G115" s="132" t="s">
        <v>848</v>
      </c>
      <c r="H115" s="1678"/>
      <c r="M115" s="571" t="str">
        <f>IF(AND($I$90="Local Redevelopment Plan",O115=""), "X","")</f>
        <v/>
      </c>
      <c r="N115" s="552" t="s">
        <v>3419</v>
      </c>
      <c r="O115" s="1667"/>
      <c r="P115" s="355"/>
    </row>
    <row r="116" spans="1:18" ht="10.9" customHeight="1">
      <c r="B116" s="552" t="s">
        <v>3420</v>
      </c>
      <c r="C116" s="553" t="s">
        <v>3445</v>
      </c>
      <c r="D116" s="132"/>
      <c r="M116" s="571"/>
      <c r="N116" s="552" t="s">
        <v>3420</v>
      </c>
      <c r="O116" s="1679"/>
      <c r="P116" s="602"/>
    </row>
    <row r="117" spans="1:18" ht="10.9" customHeight="1">
      <c r="B117" s="552" t="s">
        <v>3421</v>
      </c>
      <c r="C117" s="553" t="s">
        <v>3446</v>
      </c>
      <c r="M117" s="571" t="str">
        <f t="shared" ref="M117:M121" si="0">IF(AND($I$90="Local Redevelopment Plan",O117=""), "X","")</f>
        <v/>
      </c>
      <c r="N117" s="552" t="s">
        <v>3421</v>
      </c>
      <c r="O117" s="1672"/>
      <c r="P117" s="541"/>
    </row>
    <row r="118" spans="1:18" ht="10.9" customHeight="1">
      <c r="B118" s="552" t="s">
        <v>3422</v>
      </c>
      <c r="C118" s="553" t="s">
        <v>3447</v>
      </c>
      <c r="M118" s="571" t="str">
        <f t="shared" si="0"/>
        <v/>
      </c>
      <c r="N118" s="552" t="s">
        <v>3422</v>
      </c>
      <c r="O118" s="1672"/>
      <c r="P118" s="541"/>
    </row>
    <row r="119" spans="1:18" ht="10.9" customHeight="1">
      <c r="B119" s="552" t="s">
        <v>3423</v>
      </c>
      <c r="C119" s="69" t="s">
        <v>3448</v>
      </c>
      <c r="M119" s="571" t="str">
        <f t="shared" si="0"/>
        <v/>
      </c>
      <c r="N119" s="552" t="s">
        <v>3423</v>
      </c>
      <c r="O119" s="1672"/>
      <c r="P119" s="541"/>
    </row>
    <row r="120" spans="1:18" ht="10.9" customHeight="1">
      <c r="B120" s="552" t="s">
        <v>3443</v>
      </c>
      <c r="C120" s="553" t="s">
        <v>3449</v>
      </c>
      <c r="D120" s="132"/>
      <c r="M120" s="571" t="str">
        <f t="shared" si="0"/>
        <v/>
      </c>
      <c r="N120" s="552" t="s">
        <v>3443</v>
      </c>
      <c r="O120" s="1672"/>
      <c r="P120" s="541"/>
    </row>
    <row r="121" spans="1:18" ht="10.9" customHeight="1">
      <c r="B121" s="552" t="s">
        <v>3444</v>
      </c>
      <c r="C121" s="553" t="s">
        <v>3450</v>
      </c>
      <c r="M121" s="571" t="str">
        <f t="shared" si="0"/>
        <v/>
      </c>
      <c r="N121" s="552" t="s">
        <v>3444</v>
      </c>
      <c r="O121" s="1668"/>
      <c r="P121" s="356"/>
    </row>
    <row r="122" spans="1:18" ht="11.6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65" customHeight="1">
      <c r="A128" s="1669"/>
      <c r="B128" s="1670"/>
      <c r="C128" s="1670"/>
      <c r="D128" s="1670"/>
      <c r="E128" s="1670"/>
      <c r="F128" s="1670"/>
      <c r="G128" s="1670"/>
      <c r="H128" s="1670"/>
      <c r="I128" s="1670"/>
      <c r="J128" s="1670"/>
      <c r="K128" s="1670"/>
      <c r="L128" s="1670"/>
      <c r="M128" s="1670"/>
      <c r="N128" s="1670"/>
      <c r="O128" s="1670"/>
      <c r="P128" s="1671"/>
    </row>
    <row r="129" spans="1:17" s="51" customFormat="1" ht="11.25" customHeight="1">
      <c r="A129" s="50"/>
      <c r="B129" s="114" t="s">
        <v>2738</v>
      </c>
      <c r="C129" s="50"/>
      <c r="D129" s="114"/>
      <c r="E129" s="856"/>
      <c r="F129" s="856"/>
      <c r="G129" s="856"/>
      <c r="H129" s="856"/>
      <c r="I129" s="856"/>
      <c r="J129" s="856"/>
      <c r="K129" s="856"/>
      <c r="L129" s="856"/>
      <c r="M129" s="856"/>
      <c r="N129" s="91"/>
      <c r="O129" s="86"/>
      <c r="P129" s="3"/>
    </row>
    <row r="130" spans="1:17" s="51" customFormat="1" ht="23.65" customHeight="1">
      <c r="A130" s="1186"/>
      <c r="B130" s="1187"/>
      <c r="C130" s="1187"/>
      <c r="D130" s="1187"/>
      <c r="E130" s="1187"/>
      <c r="F130" s="1187"/>
      <c r="G130" s="1187"/>
      <c r="H130" s="1187"/>
      <c r="I130" s="1187"/>
      <c r="J130" s="1187"/>
      <c r="K130" s="1187"/>
      <c r="L130" s="1187"/>
      <c r="M130" s="1187"/>
      <c r="N130" s="1187"/>
      <c r="O130" s="1187"/>
      <c r="P130" s="1188"/>
    </row>
    <row r="131" spans="1:17" ht="3.4"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48"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80"/>
      <c r="P133" s="658"/>
    </row>
    <row r="134" spans="1:17" s="132" customFormat="1" ht="22.9" customHeight="1">
      <c r="B134" s="581" t="s">
        <v>2866</v>
      </c>
      <c r="C134" s="1214" t="s">
        <v>1459</v>
      </c>
      <c r="D134" s="1166"/>
      <c r="E134" s="1166"/>
      <c r="F134" s="1166"/>
      <c r="G134" s="1166"/>
      <c r="H134" s="1166"/>
      <c r="I134" s="1166"/>
      <c r="J134" s="1166"/>
      <c r="K134" s="1166"/>
      <c r="L134" s="1166"/>
      <c r="M134" s="657"/>
      <c r="N134" s="581" t="s">
        <v>2866</v>
      </c>
      <c r="O134" s="1595"/>
      <c r="P134" s="232"/>
    </row>
    <row r="135" spans="1:17" s="132" customFormat="1" ht="11.65" customHeight="1">
      <c r="B135" s="250"/>
      <c r="C135" s="161" t="s">
        <v>1460</v>
      </c>
      <c r="H135" s="704" t="s">
        <v>3620</v>
      </c>
      <c r="I135" s="1673"/>
      <c r="J135" s="704" t="s">
        <v>3219</v>
      </c>
      <c r="K135" s="1681"/>
      <c r="L135" s="1682"/>
      <c r="M135" s="1683"/>
    </row>
    <row r="136" spans="1:17" s="132" customFormat="1" ht="11.65" customHeight="1">
      <c r="B136" s="250" t="s">
        <v>2868</v>
      </c>
      <c r="C136" s="161" t="s">
        <v>1461</v>
      </c>
      <c r="M136" s="8"/>
      <c r="N136" s="250" t="s">
        <v>2868</v>
      </c>
      <c r="O136" s="1667"/>
      <c r="P136" s="355"/>
    </row>
    <row r="137" spans="1:17" s="132" customFormat="1" ht="11.65" customHeight="1">
      <c r="B137" s="250" t="s">
        <v>3549</v>
      </c>
      <c r="C137" s="161" t="s">
        <v>1462</v>
      </c>
      <c r="M137" s="8"/>
      <c r="N137" s="250" t="s">
        <v>3549</v>
      </c>
      <c r="O137" s="1672"/>
      <c r="P137" s="541"/>
    </row>
    <row r="138" spans="1:17" s="132" customFormat="1" ht="11.65" customHeight="1">
      <c r="B138" s="250" t="s">
        <v>1762</v>
      </c>
      <c r="C138" s="161" t="s">
        <v>1463</v>
      </c>
      <c r="M138" s="8"/>
      <c r="N138" s="250" t="s">
        <v>1762</v>
      </c>
      <c r="O138" s="1668"/>
      <c r="P138" s="356"/>
    </row>
    <row r="139" spans="1:17" ht="12" customHeight="1">
      <c r="A139" s="254" t="s">
        <v>1921</v>
      </c>
      <c r="B139" s="848"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95">
        <v>5</v>
      </c>
      <c r="N140" s="184" t="s">
        <v>689</v>
      </c>
      <c r="O140" s="134"/>
      <c r="P140" s="134"/>
    </row>
    <row r="141" spans="1:17" s="51" customFormat="1" ht="11.65" customHeight="1">
      <c r="A141" s="50"/>
      <c r="B141" s="57" t="s">
        <v>312</v>
      </c>
      <c r="C141" s="50"/>
      <c r="D141" s="56"/>
      <c r="E141" s="56"/>
      <c r="F141" s="56"/>
      <c r="G141" s="56"/>
      <c r="H141" s="44"/>
      <c r="I141" s="44"/>
      <c r="J141" s="44"/>
      <c r="K141" s="44"/>
      <c r="M141" s="54"/>
      <c r="N141" s="74"/>
      <c r="O141" s="4"/>
      <c r="P141" s="854"/>
    </row>
    <row r="142" spans="1:17" s="51" customFormat="1" ht="11.65" customHeight="1">
      <c r="A142" s="1599"/>
      <c r="B142" s="1600"/>
      <c r="C142" s="1600"/>
      <c r="D142" s="1600"/>
      <c r="E142" s="1600"/>
      <c r="F142" s="1600"/>
      <c r="G142" s="1600"/>
      <c r="H142" s="1600"/>
      <c r="I142" s="1600"/>
      <c r="J142" s="1600"/>
      <c r="K142" s="1600"/>
      <c r="L142" s="1600"/>
      <c r="M142" s="1600"/>
      <c r="N142" s="1600"/>
      <c r="O142" s="1600"/>
      <c r="P142" s="1601"/>
      <c r="Q142" s="736" t="s">
        <v>1806</v>
      </c>
    </row>
    <row r="143" spans="1:17" s="51" customFormat="1" ht="11.65" customHeight="1">
      <c r="B143" s="114" t="s">
        <v>2738</v>
      </c>
      <c r="C143" s="130"/>
      <c r="D143" s="114"/>
      <c r="E143" s="131"/>
      <c r="F143" s="856"/>
      <c r="G143" s="856"/>
      <c r="H143" s="856"/>
      <c r="I143" s="856"/>
      <c r="J143" s="856"/>
      <c r="K143" s="856"/>
      <c r="L143" s="856"/>
      <c r="M143" s="856"/>
      <c r="N143" s="91"/>
      <c r="O143" s="86"/>
      <c r="P143" s="3"/>
      <c r="Q143" s="688"/>
    </row>
    <row r="144" spans="1:17" s="51" customFormat="1" ht="11.6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60">
        <v>2</v>
      </c>
      <c r="P146" s="85"/>
      <c r="Q146" s="148" t="s">
        <v>612</v>
      </c>
    </row>
    <row r="147" spans="1:17" ht="11.65" customHeight="1">
      <c r="B147" s="233" t="s">
        <v>2504</v>
      </c>
      <c r="E147" s="160"/>
      <c r="M147" s="573"/>
      <c r="N147" s="31"/>
      <c r="O147" s="31"/>
      <c r="P147" s="162" t="s">
        <v>3522</v>
      </c>
    </row>
    <row r="148" spans="1:17" s="583" customFormat="1" ht="11.65" customHeight="1">
      <c r="A148" s="575" t="s">
        <v>3419</v>
      </c>
      <c r="B148" s="716" t="s">
        <v>3461</v>
      </c>
      <c r="D148" s="717"/>
      <c r="M148" s="718"/>
      <c r="N148" s="575"/>
      <c r="O148" s="575" t="s">
        <v>3419</v>
      </c>
      <c r="P148" s="357"/>
    </row>
    <row r="149" spans="1:17" s="583" customFormat="1">
      <c r="A149" s="575" t="s">
        <v>3420</v>
      </c>
      <c r="B149" s="1174"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174"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13" t="s">
        <v>3756</v>
      </c>
      <c r="C151" s="1178"/>
      <c r="D151" s="1178"/>
      <c r="E151" s="1178"/>
      <c r="F151" s="1178"/>
      <c r="G151" s="1178"/>
      <c r="H151" s="1178"/>
      <c r="I151" s="1178"/>
      <c r="J151" s="1178"/>
      <c r="K151" s="1178"/>
      <c r="L151" s="1178"/>
      <c r="M151" s="1178"/>
      <c r="N151" s="1178"/>
      <c r="O151" s="575" t="s">
        <v>3422</v>
      </c>
      <c r="P151" s="719"/>
    </row>
    <row r="152" spans="1:17" s="583" customFormat="1" ht="23.6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4" customHeight="1">
      <c r="A157" s="1599"/>
      <c r="B157" s="1600"/>
      <c r="C157" s="1600"/>
      <c r="D157" s="1600"/>
      <c r="E157" s="1600"/>
      <c r="F157" s="1600"/>
      <c r="G157" s="1600"/>
      <c r="H157" s="1600"/>
      <c r="I157" s="1600"/>
      <c r="J157" s="1600"/>
      <c r="K157" s="1600"/>
      <c r="L157" s="1600"/>
      <c r="M157" s="1600"/>
      <c r="N157" s="1600"/>
      <c r="O157" s="1600"/>
      <c r="P157" s="1601"/>
    </row>
    <row r="158" spans="1:17" s="51" customFormat="1" ht="11.25" customHeight="1">
      <c r="A158" s="50"/>
      <c r="B158" s="114" t="s">
        <v>2738</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95" t="s">
        <v>3976</v>
      </c>
      <c r="M162" s="8">
        <v>1</v>
      </c>
      <c r="N162" s="803" t="s">
        <v>2862</v>
      </c>
      <c r="O162" s="1660">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6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4" customHeight="1">
      <c r="A165" s="1599"/>
      <c r="B165" s="1600"/>
      <c r="C165" s="1600"/>
      <c r="D165" s="1600"/>
      <c r="E165" s="1600"/>
      <c r="F165" s="1600"/>
      <c r="G165" s="1600"/>
      <c r="H165" s="1600"/>
      <c r="I165" s="1600"/>
      <c r="J165" s="1600"/>
      <c r="K165" s="1600"/>
      <c r="L165" s="1600"/>
      <c r="M165" s="1600"/>
      <c r="N165" s="1600"/>
      <c r="O165" s="1600"/>
      <c r="P165" s="1601"/>
      <c r="Q165" s="736" t="s">
        <v>1806</v>
      </c>
    </row>
    <row r="166" spans="1:18" s="51" customFormat="1" ht="11.25" customHeight="1">
      <c r="A166" s="50"/>
      <c r="B166" s="114" t="s">
        <v>2738</v>
      </c>
      <c r="C166" s="130"/>
      <c r="D166" s="114"/>
      <c r="E166" s="131"/>
      <c r="F166" s="856"/>
      <c r="G166" s="856"/>
      <c r="H166" s="856"/>
      <c r="I166" s="856"/>
      <c r="J166" s="856"/>
      <c r="K166" s="856"/>
      <c r="L166" s="856"/>
      <c r="M166" s="856"/>
      <c r="N166" s="91"/>
      <c r="O166" s="86"/>
      <c r="P166" s="3"/>
      <c r="Q166" s="688"/>
    </row>
    <row r="167" spans="1:18" s="51" customFormat="1" ht="12.4"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3879</v>
      </c>
      <c r="C169" s="116"/>
      <c r="D169" s="70"/>
      <c r="E169" s="62"/>
      <c r="J169" s="73"/>
      <c r="K169" s="733" t="s">
        <v>3932</v>
      </c>
      <c r="L169" s="800" t="str">
        <f>'Part I-Project Information'!E81</f>
        <v>Yes</v>
      </c>
      <c r="M169" s="3">
        <v>3</v>
      </c>
      <c r="N169" s="7"/>
      <c r="O169" s="7"/>
      <c r="P169" s="85"/>
      <c r="Q169" s="148" t="s">
        <v>612</v>
      </c>
    </row>
    <row r="170" spans="1:18" s="51" customFormat="1" ht="12" customHeight="1">
      <c r="A170" s="189"/>
      <c r="B170" s="65" t="s">
        <v>3287</v>
      </c>
      <c r="D170" s="40"/>
      <c r="N170" s="803"/>
      <c r="O170" s="1595" t="s">
        <v>3976</v>
      </c>
      <c r="P170" s="232"/>
      <c r="R170" s="558"/>
    </row>
    <row r="171" spans="1:18" s="51" customFormat="1" ht="12" customHeight="1">
      <c r="A171" s="189"/>
      <c r="B171" s="65" t="s">
        <v>3946</v>
      </c>
      <c r="D171" s="40"/>
      <c r="N171" s="803"/>
      <c r="O171" s="1595" t="s">
        <v>3976</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47.45" customHeight="1">
      <c r="A173" s="1599" t="s">
        <v>4076</v>
      </c>
      <c r="B173" s="1600"/>
      <c r="C173" s="1600"/>
      <c r="D173" s="1600"/>
      <c r="E173" s="1600"/>
      <c r="F173" s="1600"/>
      <c r="G173" s="1600"/>
      <c r="H173" s="1600"/>
      <c r="I173" s="1600"/>
      <c r="J173" s="1600"/>
      <c r="K173" s="1600"/>
      <c r="L173" s="1600"/>
      <c r="M173" s="1600"/>
      <c r="N173" s="1600"/>
      <c r="O173" s="1600"/>
      <c r="P173" s="1601"/>
    </row>
    <row r="174" spans="1:18" s="51" customFormat="1" ht="12" customHeight="1">
      <c r="B174" s="114" t="s">
        <v>2738</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4" customHeight="1">
      <c r="A177" s="209" t="s">
        <v>281</v>
      </c>
      <c r="B177" s="144" t="s">
        <v>956</v>
      </c>
      <c r="E177" s="259" t="s">
        <v>3948</v>
      </c>
      <c r="G177" s="159"/>
      <c r="H177" s="665"/>
      <c r="I177" s="159"/>
      <c r="J177" s="801">
        <f>'Part VI-Revenues &amp; Expenses'!$M$74</f>
        <v>105</v>
      </c>
      <c r="K177" s="159"/>
      <c r="L177" s="802" t="str">
        <f>IF(AND(J177=0,O177&gt;0),"&lt;&lt;&lt; Check NC units!","")</f>
        <v/>
      </c>
      <c r="M177" s="3">
        <v>3</v>
      </c>
      <c r="N177" s="601" t="str">
        <f>IF(OR($O177=$M177,$O177=0,$O177=""),"","***")</f>
        <v/>
      </c>
      <c r="O177" s="1660"/>
      <c r="P177" s="85"/>
      <c r="Q177" s="148" t="s">
        <v>612</v>
      </c>
      <c r="R177" s="31"/>
    </row>
    <row r="178" spans="1:18" s="75" customFormat="1" ht="25.15" customHeight="1">
      <c r="A178" s="209"/>
      <c r="B178" s="1097" t="s">
        <v>3947</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99"/>
      <c r="B180" s="1600"/>
      <c r="C180" s="1600"/>
      <c r="D180" s="1600"/>
      <c r="E180" s="1600"/>
      <c r="F180" s="1600"/>
      <c r="G180" s="1600"/>
      <c r="H180" s="1600"/>
      <c r="I180" s="1601"/>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60"/>
      <c r="P182" s="85"/>
      <c r="Q182" s="148" t="s">
        <v>612</v>
      </c>
    </row>
    <row r="183" spans="1:18" s="51" customFormat="1" ht="12.4" customHeight="1">
      <c r="A183" s="50"/>
      <c r="B183" s="154" t="s">
        <v>2713</v>
      </c>
      <c r="D183" s="134"/>
      <c r="E183" s="1684" t="s">
        <v>2639</v>
      </c>
      <c r="F183" s="1685"/>
      <c r="G183" s="1686"/>
      <c r="H183" s="1687"/>
      <c r="I183" s="61" t="s">
        <v>2712</v>
      </c>
      <c r="O183" s="162" t="s">
        <v>3522</v>
      </c>
      <c r="P183" s="162" t="s">
        <v>3522</v>
      </c>
    </row>
    <row r="184" spans="1:18" s="132" customFormat="1" ht="11.65" customHeight="1">
      <c r="A184" s="189" t="s">
        <v>2862</v>
      </c>
      <c r="B184" s="161" t="s">
        <v>2512</v>
      </c>
      <c r="D184" s="161"/>
      <c r="E184" s="161"/>
      <c r="F184" s="161"/>
      <c r="G184" s="1688" t="s">
        <v>3535</v>
      </c>
      <c r="H184" s="1689"/>
      <c r="I184" s="1690"/>
      <c r="J184" s="1688" t="s">
        <v>1715</v>
      </c>
      <c r="K184" s="1689"/>
      <c r="L184" s="1690"/>
      <c r="N184" s="803" t="s">
        <v>2862</v>
      </c>
      <c r="O184" s="1595"/>
      <c r="P184" s="232"/>
    </row>
    <row r="185" spans="1:18" s="132" customFormat="1" ht="11.65" customHeight="1">
      <c r="A185" s="189" t="s">
        <v>2865</v>
      </c>
      <c r="B185" s="161" t="s">
        <v>475</v>
      </c>
      <c r="D185" s="161"/>
      <c r="E185" s="161"/>
      <c r="F185" s="161"/>
      <c r="G185" s="161"/>
      <c r="L185" s="161"/>
      <c r="M185" s="161"/>
      <c r="N185" s="803" t="s">
        <v>2865</v>
      </c>
      <c r="O185" s="1595"/>
      <c r="P185" s="232"/>
    </row>
    <row r="186" spans="1:18" s="132" customFormat="1" ht="11.65" customHeight="1">
      <c r="A186" s="189" t="s">
        <v>1145</v>
      </c>
      <c r="B186" s="161" t="s">
        <v>2467</v>
      </c>
      <c r="D186" s="161"/>
      <c r="E186" s="161"/>
      <c r="F186" s="161"/>
      <c r="G186" s="161"/>
      <c r="H186" s="161"/>
      <c r="L186" s="161"/>
      <c r="M186" s="161"/>
      <c r="N186" s="803" t="s">
        <v>1145</v>
      </c>
      <c r="O186" s="1595"/>
      <c r="P186" s="232"/>
    </row>
    <row r="187" spans="1:18" s="132" customFormat="1" ht="11.65" customHeight="1">
      <c r="A187" s="189" t="s">
        <v>3004</v>
      </c>
      <c r="B187" s="184" t="s">
        <v>3845</v>
      </c>
      <c r="D187" s="161"/>
      <c r="E187" s="161"/>
      <c r="F187" s="161"/>
      <c r="G187" s="161"/>
      <c r="H187" s="161"/>
      <c r="I187" s="161"/>
      <c r="J187" s="161"/>
      <c r="K187" s="161"/>
      <c r="L187" s="161"/>
      <c r="M187" s="161"/>
      <c r="N187" s="803" t="s">
        <v>3004</v>
      </c>
      <c r="O187" s="1595"/>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99"/>
      <c r="B189" s="1600"/>
      <c r="C189" s="1600"/>
      <c r="D189" s="1600"/>
      <c r="E189" s="1600"/>
      <c r="F189" s="1600"/>
      <c r="G189" s="1600"/>
      <c r="H189" s="1600"/>
      <c r="I189" s="1600"/>
      <c r="J189" s="1600"/>
      <c r="K189" s="1600"/>
      <c r="L189" s="1600"/>
      <c r="M189" s="1600"/>
      <c r="N189" s="1600"/>
      <c r="O189" s="1600"/>
      <c r="P189" s="1601"/>
      <c r="Q189" s="736" t="s">
        <v>1806</v>
      </c>
    </row>
    <row r="190" spans="1:18" s="51" customFormat="1" ht="11.25" customHeight="1">
      <c r="A190" s="50"/>
      <c r="B190" s="114" t="s">
        <v>2738</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1</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67"/>
      <c r="P195" s="355"/>
    </row>
    <row r="196" spans="1:18" s="132" customFormat="1" ht="11.25" customHeight="1">
      <c r="B196" s="715" t="s">
        <v>2868</v>
      </c>
      <c r="C196" s="132" t="s">
        <v>809</v>
      </c>
      <c r="N196" s="250" t="s">
        <v>2868</v>
      </c>
      <c r="O196" s="1672"/>
      <c r="P196" s="541"/>
    </row>
    <row r="197" spans="1:18" s="132" customFormat="1" ht="11.25" customHeight="1">
      <c r="B197" s="715" t="s">
        <v>3549</v>
      </c>
      <c r="C197" s="132" t="s">
        <v>810</v>
      </c>
      <c r="N197" s="250" t="s">
        <v>3549</v>
      </c>
      <c r="O197" s="1672"/>
      <c r="P197" s="541"/>
    </row>
    <row r="198" spans="1:18" s="132" customFormat="1" ht="11.25" customHeight="1">
      <c r="B198" s="715" t="s">
        <v>1762</v>
      </c>
      <c r="C198" s="132" t="s">
        <v>811</v>
      </c>
      <c r="N198" s="250" t="s">
        <v>1762</v>
      </c>
      <c r="O198" s="1672"/>
      <c r="P198" s="541"/>
    </row>
    <row r="199" spans="1:18" s="132" customFormat="1" ht="11.25" customHeight="1">
      <c r="B199" s="715" t="s">
        <v>1763</v>
      </c>
      <c r="C199" s="132" t="s">
        <v>819</v>
      </c>
      <c r="N199" s="250" t="s">
        <v>1763</v>
      </c>
      <c r="O199" s="1668"/>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215" t="s">
        <v>2870</v>
      </c>
      <c r="J202" s="1215"/>
      <c r="L202" s="858" t="s">
        <v>2870</v>
      </c>
      <c r="M202" s="216"/>
      <c r="N202" s="250" t="s">
        <v>2866</v>
      </c>
    </row>
    <row r="203" spans="1:18" s="51" customFormat="1" ht="11.25" customHeight="1">
      <c r="A203" s="251"/>
      <c r="B203" s="150"/>
      <c r="C203" s="552" t="s">
        <v>3419</v>
      </c>
      <c r="D203" s="44" t="s">
        <v>2073</v>
      </c>
      <c r="H203" s="65"/>
      <c r="I203" s="1691"/>
      <c r="J203" s="1692"/>
      <c r="K203" s="253"/>
      <c r="L203" s="705"/>
      <c r="M203" s="89"/>
      <c r="N203" s="552" t="s">
        <v>3419</v>
      </c>
      <c r="O203" s="1667"/>
      <c r="P203" s="355"/>
      <c r="R203" s="558"/>
    </row>
    <row r="204" spans="1:18" ht="11.25" customHeight="1">
      <c r="A204" s="252"/>
      <c r="B204" s="108"/>
      <c r="C204" s="575" t="s">
        <v>3420</v>
      </c>
      <c r="D204" s="44" t="s">
        <v>2074</v>
      </c>
      <c r="H204" s="65"/>
      <c r="I204" s="1691"/>
      <c r="J204" s="1692"/>
      <c r="L204" s="705"/>
      <c r="M204" s="89"/>
      <c r="N204" s="575" t="s">
        <v>3420</v>
      </c>
      <c r="O204" s="1672"/>
      <c r="P204" s="541"/>
      <c r="R204" s="558"/>
    </row>
    <row r="205" spans="1:18" ht="11.25" customHeight="1">
      <c r="B205" s="715"/>
      <c r="C205" s="552" t="s">
        <v>3421</v>
      </c>
      <c r="D205" s="44" t="s">
        <v>3719</v>
      </c>
      <c r="H205" s="65"/>
      <c r="I205" s="1691"/>
      <c r="J205" s="1692"/>
      <c r="L205" s="705"/>
      <c r="M205" s="89"/>
      <c r="N205" s="552" t="s">
        <v>3421</v>
      </c>
      <c r="O205" s="1672"/>
      <c r="P205" s="541"/>
      <c r="R205" s="558"/>
    </row>
    <row r="206" spans="1:18" ht="11.25" customHeight="1">
      <c r="A206" s="252"/>
      <c r="B206" s="715"/>
      <c r="C206" s="552" t="s">
        <v>3422</v>
      </c>
      <c r="D206" s="44" t="s">
        <v>3720</v>
      </c>
      <c r="I206" s="1691"/>
      <c r="J206" s="1692"/>
      <c r="L206" s="705"/>
      <c r="M206" s="89"/>
      <c r="N206" s="552" t="s">
        <v>3422</v>
      </c>
      <c r="O206" s="1672"/>
      <c r="P206" s="541"/>
      <c r="R206" s="558"/>
    </row>
    <row r="207" spans="1:18" s="51" customFormat="1" ht="11.25" customHeight="1">
      <c r="A207" s="251"/>
      <c r="B207" s="715"/>
      <c r="C207" s="575" t="s">
        <v>3423</v>
      </c>
      <c r="D207" s="44" t="s">
        <v>2075</v>
      </c>
      <c r="H207" s="65"/>
      <c r="I207" s="1691"/>
      <c r="J207" s="1692"/>
      <c r="K207" s="253"/>
      <c r="L207" s="705"/>
      <c r="M207" s="89"/>
      <c r="N207" s="575" t="s">
        <v>3423</v>
      </c>
      <c r="O207" s="1672"/>
      <c r="P207" s="541"/>
      <c r="R207" s="558"/>
    </row>
    <row r="208" spans="1:18" ht="11.25" customHeight="1">
      <c r="A208" s="252"/>
      <c r="B208" s="715"/>
      <c r="C208" s="552" t="s">
        <v>3443</v>
      </c>
      <c r="D208" s="44" t="s">
        <v>2076</v>
      </c>
      <c r="H208" s="65"/>
      <c r="I208" s="1691"/>
      <c r="J208" s="1692"/>
      <c r="L208" s="705"/>
      <c r="M208" s="89"/>
      <c r="N208" s="552" t="s">
        <v>3443</v>
      </c>
      <c r="O208" s="1672"/>
      <c r="P208" s="541"/>
      <c r="R208" s="558"/>
    </row>
    <row r="209" spans="1:18" ht="11.25" customHeight="1">
      <c r="A209" s="252"/>
      <c r="B209" s="715"/>
      <c r="C209" s="552" t="s">
        <v>3444</v>
      </c>
      <c r="D209" s="44" t="s">
        <v>2077</v>
      </c>
      <c r="H209" s="65"/>
      <c r="I209" s="1691"/>
      <c r="J209" s="1692"/>
      <c r="L209" s="705"/>
      <c r="M209" s="89"/>
      <c r="N209" s="552" t="s">
        <v>3444</v>
      </c>
      <c r="O209" s="1672"/>
      <c r="P209" s="541"/>
      <c r="R209" s="558"/>
    </row>
    <row r="210" spans="1:18" ht="11.25" customHeight="1" thickBot="1">
      <c r="A210" s="252"/>
      <c r="B210" s="715"/>
      <c r="C210" s="552" t="s">
        <v>3451</v>
      </c>
      <c r="D210" s="701" t="s">
        <v>3721</v>
      </c>
      <c r="E210" s="702"/>
      <c r="F210" s="702"/>
      <c r="G210" s="702"/>
      <c r="H210" s="703"/>
      <c r="I210" s="1693"/>
      <c r="J210" s="1694"/>
      <c r="L210" s="709"/>
      <c r="M210" s="89"/>
      <c r="N210" s="552" t="s">
        <v>3451</v>
      </c>
      <c r="O210" s="1668"/>
      <c r="P210" s="356"/>
      <c r="R210" s="558"/>
    </row>
    <row r="211" spans="1:18" ht="12" customHeight="1" thickBot="1">
      <c r="A211" s="252"/>
      <c r="B211" s="715"/>
      <c r="D211" s="699" t="s">
        <v>3724</v>
      </c>
      <c r="H211" s="65"/>
      <c r="I211" s="1695">
        <f>SUM(I203:J210)</f>
        <v>0</v>
      </c>
      <c r="J211" s="169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2868</v>
      </c>
      <c r="C213" s="722" t="s">
        <v>3723</v>
      </c>
      <c r="D213" s="699" t="s">
        <v>3725</v>
      </c>
      <c r="I213" s="1207">
        <f>'Part IV-Uses of Funds'!$G$123</f>
        <v>12415680</v>
      </c>
      <c r="J213" s="1208"/>
      <c r="M213" s="216"/>
      <c r="N213" s="31"/>
      <c r="O213" s="31"/>
      <c r="P213" s="31"/>
    </row>
    <row r="214" spans="1:18" ht="12" customHeight="1">
      <c r="B214" s="250"/>
      <c r="C214" s="698"/>
      <c r="D214" s="720" t="s">
        <v>3726</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95">
        <v>1</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4" customHeight="1">
      <c r="A219" s="251"/>
      <c r="B219" s="44" t="s">
        <v>906</v>
      </c>
      <c r="E219" s="1697"/>
      <c r="F219" s="1698"/>
      <c r="G219" s="1698"/>
      <c r="H219" s="1699"/>
      <c r="K219" s="253"/>
      <c r="M219" s="7"/>
      <c r="N219" s="7"/>
      <c r="O219" s="7"/>
      <c r="P219" s="7"/>
    </row>
    <row r="220" spans="1:18" ht="12" customHeight="1">
      <c r="A220" s="252"/>
      <c r="B220" s="582" t="s">
        <v>3321</v>
      </c>
      <c r="D220" s="583"/>
      <c r="E220" s="1700"/>
      <c r="F220" s="1701"/>
      <c r="G220" s="1701"/>
      <c r="H220" s="1701"/>
      <c r="I220" s="1701"/>
      <c r="J220" s="1701"/>
      <c r="K220" s="1701"/>
      <c r="L220" s="1701"/>
      <c r="M220" s="1701"/>
      <c r="N220" s="1701"/>
      <c r="O220" s="1701"/>
      <c r="P220" s="1313"/>
    </row>
    <row r="221" spans="1:18" ht="12.4" customHeight="1">
      <c r="B221" s="44" t="s">
        <v>3863</v>
      </c>
      <c r="E221" s="704"/>
      <c r="I221" s="1702"/>
      <c r="J221" s="1703"/>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99"/>
      <c r="B224" s="1600"/>
      <c r="C224" s="1600"/>
      <c r="D224" s="1600"/>
      <c r="E224" s="1600"/>
      <c r="F224" s="1600"/>
      <c r="G224" s="1600"/>
      <c r="H224" s="1600"/>
      <c r="I224" s="1600"/>
      <c r="J224" s="1600"/>
      <c r="K224" s="1600"/>
      <c r="L224" s="1600"/>
      <c r="M224" s="1600"/>
      <c r="N224" s="1600"/>
      <c r="O224" s="1600"/>
      <c r="P224" s="1601"/>
    </row>
    <row r="225" spans="1:18" s="134" customFormat="1" ht="10.9" customHeight="1">
      <c r="A225" s="50"/>
      <c r="B225" s="129" t="s">
        <v>2738</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67"/>
      <c r="P229" s="355"/>
      <c r="R229" s="558"/>
    </row>
    <row r="230" spans="1:18" s="51" customFormat="1" ht="24.4" customHeight="1">
      <c r="A230" s="50"/>
      <c r="B230" s="1211" t="s">
        <v>3642</v>
      </c>
      <c r="C230" s="1212"/>
      <c r="D230" s="1212"/>
      <c r="E230" s="1212"/>
      <c r="F230" s="1212"/>
      <c r="G230" s="1212"/>
      <c r="H230" s="1212"/>
      <c r="I230" s="1212"/>
      <c r="J230" s="1212"/>
      <c r="K230" s="1212"/>
      <c r="L230" s="1212"/>
      <c r="M230" s="54"/>
      <c r="N230" s="74"/>
      <c r="O230" s="1668"/>
      <c r="P230" s="356"/>
    </row>
    <row r="231" spans="1:18" s="51" customFormat="1" ht="12" customHeight="1">
      <c r="A231" s="189" t="s">
        <v>2865</v>
      </c>
      <c r="B231" s="236" t="s">
        <v>3727</v>
      </c>
      <c r="D231" s="40"/>
      <c r="E231" s="40"/>
      <c r="F231" s="40"/>
      <c r="H231" s="65" t="s">
        <v>3287</v>
      </c>
      <c r="N231" s="803" t="s">
        <v>2865</v>
      </c>
      <c r="O231" s="1595"/>
      <c r="P231" s="232"/>
      <c r="R231" s="558"/>
    </row>
    <row r="232" spans="1:18" s="51" customFormat="1" ht="12" customHeight="1">
      <c r="A232" s="50"/>
      <c r="B232" s="65" t="s">
        <v>3730</v>
      </c>
      <c r="D232" s="47"/>
      <c r="E232" s="44"/>
      <c r="F232" s="1"/>
      <c r="G232" s="1"/>
      <c r="H232" s="1"/>
      <c r="I232" s="1"/>
      <c r="J232" s="38"/>
      <c r="K232" s="38"/>
      <c r="L232" s="38"/>
      <c r="M232" s="821"/>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67"/>
      <c r="P233" s="355"/>
    </row>
    <row r="234" spans="1:18" s="132" customFormat="1" ht="11.25" customHeight="1">
      <c r="B234" s="551" t="s">
        <v>2868</v>
      </c>
      <c r="C234" s="697" t="s">
        <v>3729</v>
      </c>
      <c r="N234" s="250" t="s">
        <v>2868</v>
      </c>
      <c r="O234" s="1672"/>
      <c r="P234" s="541"/>
    </row>
    <row r="235" spans="1:18" s="132" customFormat="1" ht="11.25" customHeight="1">
      <c r="B235" s="551" t="s">
        <v>3549</v>
      </c>
      <c r="C235" s="697" t="s">
        <v>3731</v>
      </c>
      <c r="N235" s="250" t="s">
        <v>3549</v>
      </c>
      <c r="O235" s="1672"/>
      <c r="P235" s="541"/>
    </row>
    <row r="236" spans="1:18" s="132" customFormat="1" ht="11.25" customHeight="1">
      <c r="B236" s="551" t="s">
        <v>1762</v>
      </c>
      <c r="C236" s="697" t="s">
        <v>3732</v>
      </c>
      <c r="N236" s="250" t="s">
        <v>1762</v>
      </c>
      <c r="O236" s="1668"/>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99"/>
      <c r="B238" s="1600"/>
      <c r="C238" s="1600"/>
      <c r="D238" s="1600"/>
      <c r="E238" s="1600"/>
      <c r="F238" s="1600"/>
      <c r="G238" s="1600"/>
      <c r="H238" s="1600"/>
      <c r="I238" s="1600"/>
      <c r="J238" s="1600"/>
      <c r="K238" s="1600"/>
      <c r="L238" s="1600"/>
      <c r="M238" s="1600"/>
      <c r="N238" s="1600"/>
      <c r="O238" s="1600"/>
      <c r="P238" s="1601"/>
      <c r="Q238" s="736" t="s">
        <v>1806</v>
      </c>
    </row>
    <row r="239" spans="1:18" s="134" customFormat="1" ht="10.5" customHeight="1">
      <c r="A239" s="50"/>
      <c r="B239" s="129" t="s">
        <v>2738</v>
      </c>
      <c r="C239" s="130"/>
      <c r="D239" s="129"/>
      <c r="E239" s="258"/>
      <c r="F239" s="853"/>
      <c r="G239" s="853"/>
      <c r="H239" s="853"/>
      <c r="I239" s="853"/>
      <c r="J239" s="853"/>
      <c r="K239" s="853"/>
      <c r="L239" s="853"/>
      <c r="M239" s="853"/>
      <c r="N239" s="124"/>
      <c r="O239" s="257"/>
      <c r="P239" s="3"/>
      <c r="Q239" s="688"/>
    </row>
    <row r="240" spans="1:18" s="51" customFormat="1" ht="23.6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704">
        <v>3</v>
      </c>
      <c r="P243" s="743"/>
      <c r="Q243" s="148"/>
      <c r="R243" s="558" t="str">
        <f>IF(OR($O243=$M243,$O243=0,$O243=""),"","* * Check Score! * *")</f>
        <v/>
      </c>
    </row>
    <row r="244" spans="1:18" s="51" customFormat="1" ht="36" customHeight="1">
      <c r="A244" s="189"/>
      <c r="B244" s="1180" t="s">
        <v>3735</v>
      </c>
      <c r="C244" s="1180"/>
      <c r="D244" s="1180"/>
      <c r="E244" s="1180"/>
      <c r="F244" s="1180"/>
      <c r="G244" s="1180"/>
      <c r="H244" s="1180"/>
      <c r="I244" s="1180"/>
      <c r="J244" s="1180"/>
      <c r="K244" s="1180"/>
      <c r="L244" s="1180"/>
      <c r="M244" s="558"/>
      <c r="N244" s="558"/>
      <c r="O244" s="1705" t="s">
        <v>4022</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21" t="s">
        <v>172</v>
      </c>
      <c r="D247" s="1121"/>
      <c r="E247" s="1121"/>
      <c r="F247" s="1121"/>
      <c r="G247" s="1121"/>
      <c r="H247" s="1121"/>
      <c r="I247" s="1121"/>
      <c r="J247" s="1121"/>
      <c r="K247" s="1121"/>
      <c r="L247" s="1121"/>
      <c r="M247" s="656">
        <v>2</v>
      </c>
      <c r="O247" s="1704"/>
      <c r="P247" s="743"/>
    </row>
    <row r="248" spans="1:18" s="655" customFormat="1" ht="24" customHeight="1">
      <c r="A248" s="711" t="s">
        <v>1921</v>
      </c>
      <c r="B248" s="723" t="s">
        <v>2868</v>
      </c>
      <c r="C248" s="1121" t="s">
        <v>3761</v>
      </c>
      <c r="D248" s="1121"/>
      <c r="E248" s="1121"/>
      <c r="F248" s="1121"/>
      <c r="G248" s="1121"/>
      <c r="H248" s="1121"/>
      <c r="I248" s="1121"/>
      <c r="J248" s="1121"/>
      <c r="K248" s="1121"/>
      <c r="L248" s="1121"/>
      <c r="M248" s="656">
        <v>1</v>
      </c>
      <c r="O248" s="170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99"/>
      <c r="B250" s="1600"/>
      <c r="C250" s="1600"/>
      <c r="D250" s="1600"/>
      <c r="E250" s="1600"/>
      <c r="F250" s="1600"/>
      <c r="G250" s="1600"/>
      <c r="H250" s="1600"/>
      <c r="I250" s="1600"/>
      <c r="J250" s="1600"/>
      <c r="K250" s="1600"/>
      <c r="L250" s="1600"/>
      <c r="M250" s="1600"/>
      <c r="N250" s="1600"/>
      <c r="O250" s="1600"/>
      <c r="P250" s="1601"/>
    </row>
    <row r="251" spans="1:18" s="51" customFormat="1" ht="12" customHeight="1">
      <c r="B251" s="114" t="s">
        <v>2738</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65" customHeight="1">
      <c r="B255" s="195" t="s">
        <v>3563</v>
      </c>
      <c r="M255" s="50"/>
      <c r="N255" s="50"/>
      <c r="O255" s="1595" t="s">
        <v>3976</v>
      </c>
      <c r="P255" s="232"/>
    </row>
    <row r="256" spans="1:18" ht="12.4" customHeight="1">
      <c r="A256" s="189" t="s">
        <v>2862</v>
      </c>
      <c r="B256" s="254" t="s">
        <v>2020</v>
      </c>
      <c r="D256" s="40"/>
      <c r="E256" s="40"/>
      <c r="F256" s="40"/>
      <c r="G256" s="40"/>
      <c r="H256" s="40"/>
      <c r="I256" s="40"/>
      <c r="J256" s="40"/>
      <c r="K256" s="40"/>
      <c r="L256" s="40"/>
      <c r="M256" s="157"/>
      <c r="N256" s="803" t="s">
        <v>2862</v>
      </c>
      <c r="O256" s="1706">
        <v>10</v>
      </c>
      <c r="P256" s="580"/>
    </row>
    <row r="257" spans="1:18" ht="12.4" customHeight="1">
      <c r="A257" s="189" t="s">
        <v>2865</v>
      </c>
      <c r="B257" s="254" t="s">
        <v>325</v>
      </c>
      <c r="D257" s="40"/>
      <c r="E257" s="40"/>
      <c r="F257" s="40"/>
      <c r="G257" s="48"/>
      <c r="H257" s="48"/>
      <c r="I257" s="48"/>
      <c r="J257" s="48"/>
      <c r="K257" s="48"/>
      <c r="M257" s="134"/>
      <c r="N257" s="803" t="s">
        <v>2865</v>
      </c>
      <c r="O257" s="1595" t="s">
        <v>4031</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99"/>
      <c r="B259" s="1600"/>
      <c r="C259" s="1600"/>
      <c r="D259" s="1600"/>
      <c r="E259" s="1600"/>
      <c r="F259" s="1600"/>
      <c r="G259" s="1600"/>
      <c r="H259" s="1600"/>
      <c r="I259" s="1600"/>
      <c r="J259" s="1600"/>
      <c r="K259" s="1600"/>
      <c r="L259" s="1600"/>
      <c r="M259" s="1600"/>
      <c r="N259" s="1600"/>
      <c r="O259" s="1600"/>
      <c r="P259" s="1601"/>
      <c r="Q259" s="736" t="s">
        <v>1806</v>
      </c>
      <c r="R259" s="737"/>
    </row>
    <row r="260" spans="1:18" s="134" customFormat="1" ht="11.25" customHeight="1">
      <c r="A260" s="80"/>
      <c r="B260" s="80" t="s">
        <v>2738</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2"/>
      <c r="K266" s="862"/>
      <c r="L266" s="862"/>
      <c r="M266" s="714"/>
      <c r="O266" s="1660"/>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3950</v>
      </c>
      <c r="D268" s="1121"/>
      <c r="E268" s="1121"/>
      <c r="F268" s="1121"/>
      <c r="G268" s="1121"/>
      <c r="H268" s="1121"/>
      <c r="I268" s="1121"/>
      <c r="J268" s="1121"/>
      <c r="K268" s="1121"/>
      <c r="L268" s="1121"/>
      <c r="M268" s="714"/>
      <c r="N268" s="656"/>
      <c r="O268" s="1707"/>
      <c r="P268" s="712"/>
    </row>
    <row r="269" spans="1:18" s="655" customFormat="1" ht="12" customHeight="1">
      <c r="A269" s="713" t="s">
        <v>1921</v>
      </c>
      <c r="B269" s="723" t="s">
        <v>3549</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25" t="s">
        <v>3951</v>
      </c>
      <c r="D270" s="1125"/>
      <c r="E270" s="1125"/>
      <c r="F270" s="1125"/>
      <c r="G270" s="1125"/>
      <c r="H270" s="1125"/>
      <c r="I270" s="1125"/>
      <c r="J270" s="1125"/>
      <c r="K270" s="1125"/>
      <c r="L270" s="1125"/>
      <c r="M270" s="656"/>
      <c r="N270" s="575" t="s">
        <v>3419</v>
      </c>
      <c r="O270" s="1708"/>
      <c r="P270" s="740"/>
    </row>
    <row r="271" spans="1:18" s="655" customFormat="1" ht="22.5" customHeight="1">
      <c r="A271" s="654"/>
      <c r="B271" s="575" t="s">
        <v>3420</v>
      </c>
      <c r="C271" s="1121" t="s">
        <v>3762</v>
      </c>
      <c r="D271" s="1121"/>
      <c r="E271" s="1121"/>
      <c r="F271" s="1121"/>
      <c r="G271" s="1121"/>
      <c r="H271" s="1121"/>
      <c r="I271" s="1121"/>
      <c r="J271" s="1121"/>
      <c r="K271" s="1121"/>
      <c r="L271" s="1121"/>
      <c r="M271" s="656"/>
      <c r="N271" s="575" t="s">
        <v>3420</v>
      </c>
      <c r="O271" s="1709"/>
      <c r="P271" s="741"/>
    </row>
    <row r="272" spans="1:18" s="655" customFormat="1" ht="22.5" customHeight="1">
      <c r="A272" s="654"/>
      <c r="B272" s="575" t="s">
        <v>3421</v>
      </c>
      <c r="C272" s="1121" t="s">
        <v>3739</v>
      </c>
      <c r="D272" s="1121"/>
      <c r="E272" s="1121"/>
      <c r="F272" s="1121"/>
      <c r="G272" s="1121"/>
      <c r="H272" s="1121"/>
      <c r="I272" s="1121"/>
      <c r="J272" s="1121"/>
      <c r="K272" s="1121"/>
      <c r="L272" s="1121"/>
      <c r="M272" s="656"/>
      <c r="N272" s="575" t="s">
        <v>3421</v>
      </c>
      <c r="O272" s="1710"/>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21" t="s">
        <v>3743</v>
      </c>
      <c r="D275" s="1121"/>
      <c r="E275" s="1121"/>
      <c r="F275" s="1121"/>
      <c r="G275" s="1121"/>
      <c r="H275" s="1121"/>
      <c r="I275" s="1121"/>
      <c r="J275" s="1121"/>
      <c r="K275" s="1121"/>
      <c r="L275" s="1121"/>
      <c r="M275" s="656">
        <v>4</v>
      </c>
      <c r="N275" s="575" t="s">
        <v>3419</v>
      </c>
      <c r="O275" s="1708"/>
      <c r="P275" s="740"/>
    </row>
    <row r="276" spans="1:18" s="655" customFormat="1" ht="22.5" customHeight="1">
      <c r="A276" s="219" t="s">
        <v>3763</v>
      </c>
      <c r="B276" s="575" t="s">
        <v>3420</v>
      </c>
      <c r="C276" s="1121" t="s">
        <v>3744</v>
      </c>
      <c r="D276" s="1121"/>
      <c r="E276" s="1121"/>
      <c r="F276" s="1121"/>
      <c r="G276" s="1121"/>
      <c r="H276" s="1121"/>
      <c r="I276" s="1121"/>
      <c r="J276" s="1121"/>
      <c r="K276" s="1121"/>
      <c r="L276" s="1121"/>
      <c r="M276" s="656">
        <v>2</v>
      </c>
      <c r="N276" s="575" t="s">
        <v>3420</v>
      </c>
      <c r="O276" s="1710"/>
      <c r="P276" s="742"/>
    </row>
    <row r="277" spans="1:18" s="132" customFormat="1" ht="12" customHeight="1">
      <c r="B277" s="551" t="s">
        <v>2868</v>
      </c>
      <c r="C277" s="724" t="s">
        <v>3742</v>
      </c>
      <c r="L277" s="558" t="str">
        <f>IF(OR($O277=$M277,$O277=0,$O277=""),"","* * Check Score! * *")</f>
        <v/>
      </c>
      <c r="M277" s="8">
        <v>1</v>
      </c>
      <c r="N277" s="250" t="s">
        <v>2868</v>
      </c>
      <c r="O277" s="1660"/>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21" t="s">
        <v>3747</v>
      </c>
      <c r="D279" s="1121"/>
      <c r="E279" s="1121"/>
      <c r="F279" s="1121"/>
      <c r="G279" s="1121"/>
      <c r="H279" s="1121"/>
      <c r="I279" s="1121"/>
      <c r="J279" s="1121"/>
      <c r="K279" s="1121"/>
      <c r="L279" s="1121"/>
      <c r="M279" s="656">
        <v>2</v>
      </c>
      <c r="N279" s="575" t="s">
        <v>3419</v>
      </c>
      <c r="O279" s="1704"/>
      <c r="P279" s="743"/>
    </row>
    <row r="280" spans="1:18" s="655" customFormat="1" ht="12" customHeight="1">
      <c r="A280" s="219" t="s">
        <v>3763</v>
      </c>
      <c r="B280" s="575" t="s">
        <v>3420</v>
      </c>
      <c r="C280" s="1121" t="s">
        <v>3746</v>
      </c>
      <c r="D280" s="1121"/>
      <c r="E280" s="1121"/>
      <c r="F280" s="1121"/>
      <c r="G280" s="1121"/>
      <c r="H280" s="1121"/>
      <c r="I280" s="1121"/>
      <c r="J280" s="1121"/>
      <c r="K280" s="1121"/>
      <c r="L280" s="1121"/>
      <c r="M280" s="656">
        <v>1</v>
      </c>
      <c r="N280" s="575" t="s">
        <v>3420</v>
      </c>
      <c r="O280" s="1705"/>
      <c r="P280" s="744"/>
    </row>
    <row r="281" spans="1:18" s="132" customFormat="1" ht="12" customHeight="1">
      <c r="B281" s="551" t="s">
        <v>1762</v>
      </c>
      <c r="C281" s="724" t="s">
        <v>3748</v>
      </c>
      <c r="F281" s="697" t="s">
        <v>3864</v>
      </c>
      <c r="L281" s="558"/>
      <c r="M281" s="8">
        <v>2</v>
      </c>
      <c r="N281" s="250" t="s">
        <v>1762</v>
      </c>
      <c r="O281" s="1660"/>
      <c r="P281" s="85"/>
    </row>
    <row r="282" spans="1:18" s="132" customFormat="1" ht="12" customHeight="1">
      <c r="B282" s="551" t="s">
        <v>1763</v>
      </c>
      <c r="C282" s="724" t="s">
        <v>3749</v>
      </c>
      <c r="F282" s="697" t="s">
        <v>3751</v>
      </c>
      <c r="J282" s="1175">
        <f>'Part IV-Uses of Funds'!$B$39/'Part IV-Uses of Funds'!$G$123</f>
        <v>0.67108688368256919</v>
      </c>
      <c r="K282" s="1176"/>
      <c r="L282" s="558"/>
      <c r="M282" s="8">
        <v>2</v>
      </c>
      <c r="N282" s="250" t="s">
        <v>1763</v>
      </c>
      <c r="O282" s="1660"/>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95"/>
      <c r="P284" s="232"/>
      <c r="R284" s="558"/>
    </row>
    <row r="285" spans="1:18" s="51" customFormat="1" ht="12" customHeight="1">
      <c r="A285" s="189"/>
      <c r="B285" s="575" t="s">
        <v>3420</v>
      </c>
      <c r="C285" s="65" t="s">
        <v>3946</v>
      </c>
      <c r="D285" s="40"/>
      <c r="N285" s="803"/>
      <c r="O285" s="1595"/>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99"/>
      <c r="B287" s="1600"/>
      <c r="C287" s="1600"/>
      <c r="D287" s="1600"/>
      <c r="E287" s="1600"/>
      <c r="F287" s="1600"/>
      <c r="G287" s="1600"/>
      <c r="H287" s="1600"/>
      <c r="I287" s="1600"/>
      <c r="J287" s="1600"/>
      <c r="K287" s="1600"/>
      <c r="L287" s="1600"/>
      <c r="M287" s="1600"/>
      <c r="N287" s="1600"/>
      <c r="O287" s="1600"/>
      <c r="P287" s="1601"/>
    </row>
    <row r="288" spans="1:18" s="51" customFormat="1" ht="11.25" customHeight="1">
      <c r="A288" s="50"/>
      <c r="B288" s="114" t="s">
        <v>2738</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55</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55</v>
      </c>
      <c r="P292" s="793">
        <f>P291-P263</f>
        <v>13</v>
      </c>
    </row>
    <row r="293" spans="1:19" s="50" customFormat="1" ht="24.4"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ht="25.5">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sheetPr codeName="Sheet16" enableFormatConditionsCalculation="0">
    <pageSetUpPr fitToPage="1"/>
  </sheetPr>
  <dimension ref="A1:F24"/>
  <sheetViews>
    <sheetView showGridLines="0" workbookViewId="0"/>
  </sheetViews>
  <sheetFormatPr defaultColWidth="8.7109375" defaultRowHeight="12.75"/>
  <cols>
    <col min="1" max="1" width="88.42578125" customWidth="1"/>
  </cols>
  <sheetData>
    <row r="1" spans="1:6" ht="15.75">
      <c r="A1" s="577" t="s">
        <v>3940</v>
      </c>
    </row>
    <row r="2" spans="1:6" ht="16.5">
      <c r="A2" s="576" t="str">
        <f>'Part I-Project Information'!F22</f>
        <v>Poplar Pointe</v>
      </c>
    </row>
    <row r="3" spans="1:6" ht="16.5">
      <c r="A3" s="576" t="str">
        <f>CONCATENATE('Part I-Project Information'!F24,", ", 'Part I-Project Information'!J25," County")</f>
        <v>Hiram, Paulding County</v>
      </c>
    </row>
    <row r="4" spans="1:6" ht="12" customHeight="1"/>
    <row r="5" spans="1:6" ht="113.25" customHeight="1">
      <c r="A5" s="1216" t="s">
        <v>3960</v>
      </c>
      <c r="B5" s="1129" t="s">
        <v>3961</v>
      </c>
      <c r="C5" s="886"/>
      <c r="D5" s="886"/>
      <c r="E5" s="886"/>
      <c r="F5" s="886"/>
    </row>
    <row r="6" spans="1:6" ht="6.4" customHeight="1">
      <c r="A6" s="1217"/>
      <c r="B6" s="1129"/>
      <c r="C6" s="886"/>
      <c r="D6" s="886"/>
      <c r="E6" s="886"/>
      <c r="F6" s="886"/>
    </row>
    <row r="7" spans="1:6" ht="134.25" customHeight="1">
      <c r="A7" s="1217"/>
      <c r="C7" s="578"/>
    </row>
    <row r="8" spans="1:6" ht="6.4" customHeight="1">
      <c r="A8" s="1217"/>
    </row>
    <row r="9" spans="1:6" ht="134.25" customHeight="1">
      <c r="A9" s="1217"/>
    </row>
    <row r="10" spans="1:6" ht="6.4" customHeight="1">
      <c r="A10" s="1217"/>
    </row>
    <row r="11" spans="1:6" ht="134.25" customHeight="1">
      <c r="A11" s="1217"/>
    </row>
    <row r="12" spans="1:6" ht="6.4" customHeight="1">
      <c r="A12" s="1217"/>
    </row>
    <row r="13" spans="1:6" ht="134.25" customHeight="1">
      <c r="A13" s="1217"/>
    </row>
    <row r="14" spans="1:6" ht="6.4" customHeight="1">
      <c r="A14" s="1217"/>
    </row>
    <row r="15" spans="1:6" ht="111" customHeight="1">
      <c r="A15" s="1217"/>
    </row>
    <row r="16" spans="1:6" ht="6.4" customHeight="1">
      <c r="A16" s="1217"/>
    </row>
    <row r="17" spans="1:1" ht="111" customHeight="1">
      <c r="A17" s="1217"/>
    </row>
    <row r="18" spans="1:1" ht="6.4" customHeight="1">
      <c r="A18" s="1217"/>
    </row>
    <row r="19" spans="1:1" ht="111" customHeight="1">
      <c r="A19" s="1217"/>
    </row>
    <row r="20" spans="1:1" ht="6.4" customHeight="1">
      <c r="A20" s="1217"/>
    </row>
    <row r="21" spans="1:1" ht="111" customHeight="1">
      <c r="A21" s="1217"/>
    </row>
    <row r="22" spans="1:1" ht="6.4" customHeight="1">
      <c r="A22" s="1217"/>
    </row>
    <row r="23" spans="1:1" ht="111" customHeight="1">
      <c r="A23" s="1218"/>
    </row>
    <row r="24" spans="1:1" ht="6.4"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sheetPr enableFormatConditionsCalculation="0">
    <pageSetUpPr fitToPage="1"/>
  </sheetPr>
  <dimension ref="A1:F24"/>
  <sheetViews>
    <sheetView showGridLines="0" workbookViewId="0"/>
  </sheetViews>
  <sheetFormatPr defaultColWidth="8.7109375" defaultRowHeight="12.75"/>
  <cols>
    <col min="1" max="1" width="88.42578125" customWidth="1"/>
  </cols>
  <sheetData>
    <row r="1" spans="1:6" ht="15.75">
      <c r="A1" s="577" t="s">
        <v>3941</v>
      </c>
    </row>
    <row r="2" spans="1:6" ht="16.5">
      <c r="A2" s="576" t="str">
        <f>'Part I-Project Information'!F22</f>
        <v>Poplar Pointe</v>
      </c>
    </row>
    <row r="3" spans="1:6" ht="16.5">
      <c r="A3" s="576" t="str">
        <f>CONCATENATE('Part I-Project Information'!F24,", ", 'Part I-Project Information'!J25," County")</f>
        <v>Hiram, Paulding County</v>
      </c>
    </row>
    <row r="4" spans="1:6" ht="12" customHeight="1"/>
    <row r="5" spans="1:6" ht="60" customHeight="1">
      <c r="A5" s="1216" t="s">
        <v>3959</v>
      </c>
      <c r="B5" s="1129" t="s">
        <v>3962</v>
      </c>
      <c r="C5" s="1219"/>
      <c r="D5" s="1219"/>
      <c r="E5" s="1219"/>
      <c r="F5" s="1219"/>
    </row>
    <row r="6" spans="1:6" ht="6.4" customHeight="1">
      <c r="A6" s="1217"/>
      <c r="B6" s="1129"/>
      <c r="C6" s="1219"/>
      <c r="D6" s="1219"/>
      <c r="E6" s="1219"/>
      <c r="F6" s="1219"/>
    </row>
    <row r="7" spans="1:6" ht="60" customHeight="1">
      <c r="A7" s="1217"/>
      <c r="B7" s="1129"/>
      <c r="C7" s="1219"/>
      <c r="D7" s="1219"/>
      <c r="E7" s="1219"/>
      <c r="F7" s="1219"/>
    </row>
    <row r="8" spans="1:6" ht="6.4" customHeight="1">
      <c r="A8" s="1217"/>
    </row>
    <row r="9" spans="1:6" ht="60" customHeight="1">
      <c r="A9" s="1217"/>
    </row>
    <row r="10" spans="1:6" ht="6.4" customHeight="1">
      <c r="A10" s="1217"/>
    </row>
    <row r="11" spans="1:6" ht="60" customHeight="1">
      <c r="A11" s="1217"/>
    </row>
    <row r="12" spans="1:6" ht="6.4" customHeight="1">
      <c r="A12" s="1217"/>
    </row>
    <row r="13" spans="1:6" ht="60" customHeight="1">
      <c r="A13" s="1217"/>
    </row>
    <row r="14" spans="1:6" ht="6.4" customHeight="1">
      <c r="A14" s="1217"/>
    </row>
    <row r="15" spans="1:6" ht="60" customHeight="1">
      <c r="A15" s="1217"/>
    </row>
    <row r="16" spans="1:6" ht="6.4" customHeight="1">
      <c r="A16" s="1217"/>
    </row>
    <row r="17" spans="1:1" ht="60" customHeight="1">
      <c r="A17" s="1217"/>
    </row>
    <row r="18" spans="1:1" ht="6.4" customHeight="1">
      <c r="A18" s="1217"/>
    </row>
    <row r="19" spans="1:1" ht="60" customHeight="1">
      <c r="A19" s="1217"/>
    </row>
    <row r="20" spans="1:1" ht="6.4" customHeight="1">
      <c r="A20" s="1217"/>
    </row>
    <row r="21" spans="1:1" ht="60" customHeight="1">
      <c r="A21" s="1217"/>
    </row>
    <row r="22" spans="1:1" ht="6.4" customHeight="1">
      <c r="A22" s="1217"/>
    </row>
    <row r="23" spans="1:1" ht="60" customHeight="1">
      <c r="A23" s="1218"/>
    </row>
    <row r="24" spans="1:1" ht="6.4"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sheetPr codeName="Sheet13" enableFormatConditionsCalculation="0">
    <pageSetUpPr fitToPage="1"/>
  </sheetPr>
  <dimension ref="A1:Z58"/>
  <sheetViews>
    <sheetView showGridLines="0" workbookViewId="0"/>
  </sheetViews>
  <sheetFormatPr defaultColWidth="8.7109375" defaultRowHeight="15.75"/>
  <cols>
    <col min="1" max="1" width="3.7109375" style="135" customWidth="1"/>
    <col min="2" max="6" width="6.42578125" style="135" customWidth="1"/>
    <col min="7" max="7" width="9.7109375" style="135" customWidth="1"/>
    <col min="8" max="13" width="6.42578125" style="135" customWidth="1"/>
    <col min="14" max="15" width="5.7109375" style="135" customWidth="1"/>
    <col min="16" max="16384" width="8.71093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65" customHeight="1">
      <c r="A7" s="138"/>
      <c r="B7" s="138"/>
      <c r="C7" s="138"/>
      <c r="D7" s="138"/>
      <c r="E7" s="138"/>
      <c r="F7" s="138"/>
      <c r="G7" s="138"/>
      <c r="H7" s="138"/>
      <c r="I7" s="138"/>
      <c r="J7" s="138"/>
      <c r="K7" s="138"/>
      <c r="L7" s="138"/>
      <c r="M7" s="138"/>
    </row>
    <row r="8" spans="1:26" ht="63.4" customHeight="1">
      <c r="A8" s="1220" t="s">
        <v>3250</v>
      </c>
      <c r="B8" s="1220"/>
      <c r="C8" s="1220"/>
      <c r="D8" s="1220"/>
      <c r="E8" s="1220"/>
      <c r="F8" s="1220"/>
      <c r="G8" s="1220"/>
      <c r="H8" s="1220"/>
      <c r="I8" s="1220"/>
      <c r="J8" s="1220"/>
      <c r="K8" s="1220"/>
      <c r="L8" s="1220"/>
      <c r="M8" s="1220"/>
    </row>
    <row r="9" spans="1:26" ht="11.6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6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65" customHeight="1">
      <c r="A13" s="1221"/>
      <c r="B13" s="1221"/>
      <c r="C13" s="1221"/>
      <c r="D13" s="1221"/>
      <c r="E13" s="1221"/>
      <c r="F13" s="1221"/>
      <c r="G13" s="1221"/>
      <c r="H13" s="1221"/>
      <c r="I13" s="1221"/>
      <c r="J13" s="1221"/>
      <c r="K13" s="1221"/>
      <c r="L13" s="1221"/>
      <c r="M13" s="1221"/>
    </row>
    <row r="14" spans="1:26" ht="48.4"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4"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4"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650000000000006" customHeight="1">
      <c r="A22" s="140" t="s">
        <v>3331</v>
      </c>
      <c r="B22" s="1223" t="s">
        <v>953</v>
      </c>
      <c r="C22" s="1223"/>
      <c r="D22" s="1223"/>
      <c r="E22" s="1223"/>
      <c r="F22" s="1223"/>
      <c r="G22" s="1223"/>
      <c r="H22" s="1223"/>
      <c r="I22" s="1223"/>
      <c r="J22" s="1223"/>
      <c r="K22" s="1223"/>
      <c r="L22" s="1223"/>
      <c r="M22" s="1223"/>
    </row>
    <row r="23" spans="1:13" ht="165.4" customHeight="1">
      <c r="A23" s="140" t="s">
        <v>2153</v>
      </c>
      <c r="B23" s="1223" t="s">
        <v>2919</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4"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4"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2859</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65" customHeight="1">
      <c r="A49" s="1221"/>
      <c r="B49" s="1221"/>
      <c r="C49" s="1221"/>
      <c r="D49" s="1221"/>
      <c r="E49" s="1221"/>
      <c r="F49" s="1221"/>
      <c r="G49" s="1221"/>
      <c r="H49" s="1221"/>
      <c r="I49" s="1221"/>
      <c r="J49" s="1221"/>
      <c r="K49" s="1221"/>
      <c r="L49" s="1221"/>
      <c r="M49" s="1221"/>
    </row>
    <row r="50" spans="1:13" ht="11.65" customHeight="1">
      <c r="A50" s="138"/>
      <c r="B50" s="138"/>
      <c r="C50" s="138"/>
      <c r="D50" s="138"/>
      <c r="E50" s="138"/>
      <c r="F50" s="138"/>
      <c r="G50" s="138"/>
      <c r="H50" s="1224" t="s">
        <v>1420</v>
      </c>
      <c r="I50" s="1224"/>
      <c r="J50" s="1224"/>
      <c r="K50" s="1224"/>
      <c r="L50" s="1224"/>
      <c r="M50" s="1224"/>
    </row>
    <row r="51" spans="1:13" ht="11.65" customHeight="1">
      <c r="A51" s="138"/>
      <c r="B51" s="138"/>
      <c r="C51" s="138"/>
      <c r="D51" s="138"/>
      <c r="E51" s="138"/>
      <c r="F51" s="138"/>
      <c r="G51" s="138"/>
    </row>
    <row r="52" spans="1:13" ht="11.65" customHeight="1">
      <c r="A52" s="138"/>
      <c r="B52" s="138"/>
      <c r="C52" s="138"/>
      <c r="D52" s="138"/>
      <c r="E52" s="138"/>
      <c r="F52" s="138"/>
      <c r="G52" s="138"/>
      <c r="H52" s="138"/>
      <c r="I52" s="138"/>
      <c r="J52" s="138"/>
      <c r="K52" s="138"/>
      <c r="L52" s="138"/>
      <c r="M52" s="138"/>
    </row>
    <row r="53" spans="1:13" ht="11.65" customHeight="1">
      <c r="A53" s="138"/>
      <c r="B53" s="138"/>
      <c r="C53" s="138"/>
      <c r="D53" s="138"/>
      <c r="E53" s="138"/>
      <c r="F53" s="138"/>
      <c r="G53" s="138"/>
      <c r="H53" s="138"/>
      <c r="I53" s="138"/>
      <c r="J53" s="138"/>
      <c r="K53" s="138"/>
      <c r="L53" s="138"/>
      <c r="M53" s="138"/>
    </row>
    <row r="54" spans="1:13" ht="11.65" customHeight="1"/>
    <row r="55" spans="1:13" ht="11.65" customHeight="1"/>
    <row r="56" spans="1:13" ht="11.65" customHeight="1"/>
    <row r="57" spans="1:13" ht="11.65" customHeight="1"/>
    <row r="58" spans="1:13" ht="11.6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sheetPr codeName="Sheet14" enableFormatConditionsCalculation="0">
    <pageSetUpPr fitToPage="1"/>
  </sheetPr>
  <dimension ref="A1:Z194"/>
  <sheetViews>
    <sheetView showGridLines="0" zoomScale="115" zoomScaleNormal="115" workbookViewId="0"/>
  </sheetViews>
  <sheetFormatPr defaultColWidth="8.71093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71093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6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6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6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6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6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6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15076075</v>
      </c>
      <c r="S11" s="443" t="s">
        <v>1253</v>
      </c>
      <c r="T11" s="424"/>
      <c r="U11" s="239"/>
      <c r="V11" s="425"/>
      <c r="W11" s="425"/>
      <c r="X11" s="425"/>
    </row>
    <row r="12" spans="1:26" s="416" customFormat="1" ht="11.6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18091300</v>
      </c>
      <c r="S12" s="443" t="s">
        <v>1253</v>
      </c>
      <c r="T12" s="239"/>
      <c r="U12" s="239"/>
      <c r="V12" s="425"/>
      <c r="W12" s="425"/>
      <c r="X12" s="425"/>
    </row>
    <row r="13" spans="1:26" s="416" customFormat="1" ht="11.6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16583675</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6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6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6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6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6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6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6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6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6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6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6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6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6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6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6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6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6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6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6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6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6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6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6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6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6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6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6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6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6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6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6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6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6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6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6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6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6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6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6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6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6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6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6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6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6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6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6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6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6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6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6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6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6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6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6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pageSetUpPr fitToPage="1"/>
  </sheetPr>
  <dimension ref="A1:F24"/>
  <sheetViews>
    <sheetView showGridLines="0" zoomScale="85" zoomScaleNormal="85" workbookViewId="0">
      <selection sqref="A1:XFD1048576"/>
    </sheetView>
  </sheetViews>
  <sheetFormatPr defaultColWidth="8.7109375" defaultRowHeight="12.75"/>
  <cols>
    <col min="1" max="1" width="144.7109375" style="31" customWidth="1"/>
    <col min="2" max="16384" width="8.7109375" style="31"/>
  </cols>
  <sheetData>
    <row r="1" spans="1:6" ht="15.75">
      <c r="A1" s="1280" t="s">
        <v>1479</v>
      </c>
    </row>
    <row r="2" spans="1:6" ht="16.5">
      <c r="A2" s="1281" t="str">
        <f>'Part I-Project Information'!F22</f>
        <v>Poplar Pointe</v>
      </c>
    </row>
    <row r="3" spans="1:6" ht="16.5">
      <c r="A3" s="1281" t="str">
        <f>CONCATENATE('Part I-Project Information'!F24,", ", 'Part I-Project Information'!J25," County")</f>
        <v>Hiram, Paulding County</v>
      </c>
    </row>
    <row r="4" spans="1:6" ht="12" customHeight="1"/>
    <row r="5" spans="1:6" ht="177" customHeight="1">
      <c r="A5" s="1282" t="s">
        <v>4077</v>
      </c>
      <c r="B5" s="886" t="s">
        <v>3966</v>
      </c>
      <c r="C5" s="886"/>
      <c r="D5" s="886"/>
      <c r="E5" s="886"/>
      <c r="F5" s="886"/>
    </row>
    <row r="6" spans="1:6" ht="34.15" customHeight="1">
      <c r="A6" s="1282"/>
      <c r="B6" s="886"/>
      <c r="C6" s="886"/>
      <c r="D6" s="886"/>
      <c r="E6" s="886"/>
      <c r="F6" s="886"/>
    </row>
    <row r="7" spans="1:6" ht="111" customHeight="1">
      <c r="A7" s="1282"/>
    </row>
    <row r="8" spans="1:6" ht="6.4" customHeight="1">
      <c r="A8" s="1282"/>
    </row>
    <row r="9" spans="1:6" ht="111" customHeight="1">
      <c r="A9" s="1282"/>
    </row>
    <row r="10" spans="1:6" ht="6.4" customHeight="1">
      <c r="A10" s="1282"/>
    </row>
    <row r="11" spans="1:6" ht="111" customHeight="1">
      <c r="A11" s="1282"/>
    </row>
    <row r="12" spans="1:6" ht="6.4" customHeight="1">
      <c r="A12" s="1282"/>
    </row>
    <row r="13" spans="1:6" ht="111" customHeight="1">
      <c r="A13" s="1282"/>
    </row>
    <row r="14" spans="1:6" ht="6.4" customHeight="1">
      <c r="A14" s="1282"/>
    </row>
    <row r="15" spans="1:6" ht="111" customHeight="1">
      <c r="A15" s="1282"/>
    </row>
    <row r="16" spans="1:6" ht="6.4" customHeight="1">
      <c r="A16" s="1282"/>
    </row>
    <row r="17" spans="1:1" ht="111" customHeight="1">
      <c r="A17" s="1282"/>
    </row>
    <row r="18" spans="1:1" ht="6.4" customHeight="1">
      <c r="A18" s="1282"/>
    </row>
    <row r="19" spans="1:1" ht="111" customHeight="1">
      <c r="A19" s="1282"/>
    </row>
    <row r="20" spans="1:1" ht="6.4" customHeight="1">
      <c r="A20" s="1282"/>
    </row>
    <row r="21" spans="1:1" ht="111" customHeight="1">
      <c r="A21" s="1282"/>
    </row>
    <row r="22" spans="1:1" ht="6.4" customHeight="1">
      <c r="A22" s="1282"/>
    </row>
    <row r="23" spans="1:1" ht="368.45" customHeight="1">
      <c r="A23" s="1282"/>
    </row>
    <row r="24" spans="1:1" ht="6.4" customHeight="1">
      <c r="A24" s="1283"/>
    </row>
  </sheetData>
  <sheetProtection password="BEC8" sheet="1" objects="1" scenarios="1" formatColumns="0" formatRows="0"/>
  <mergeCells count="2">
    <mergeCell ref="B5:F6"/>
    <mergeCell ref="A5:A23"/>
  </mergeCells>
  <phoneticPr fontId="5" type="noConversion"/>
  <printOptions horizontalCentered="1"/>
  <pageMargins left="0.25" right="0.25" top="0.55000000000000004" bottom="0.38" header="0.25" footer="0.19"/>
  <pageSetup scale="97"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5"/>
  <sheetViews>
    <sheetView showGridLines="0" showZeros="0" tabSelected="1" zoomScale="130" zoomScaleNormal="130" zoomScalePageLayoutView="200" workbookViewId="0">
      <selection activeCell="F22" sqref="F22:L22"/>
    </sheetView>
  </sheetViews>
  <sheetFormatPr defaultColWidth="9.140625" defaultRowHeight="12" customHeight="1"/>
  <cols>
    <col min="1" max="1" width="3.28515625" style="472" customWidth="1"/>
    <col min="2" max="2" width="2.28515625" style="496" customWidth="1"/>
    <col min="3" max="16" width="8.71093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- 2012-018 Poplar Pointe, Hiram, Paulding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3867</v>
      </c>
      <c r="P3" s="908"/>
    </row>
    <row r="4" spans="1:16" s="449" customFormat="1" ht="12" customHeight="1" thickBot="1">
      <c r="A4" s="844"/>
      <c r="B4" s="452"/>
      <c r="C4" s="452"/>
      <c r="D4" s="453"/>
      <c r="E4" s="400" t="s">
        <v>615</v>
      </c>
      <c r="H4" s="836"/>
      <c r="I4" s="836"/>
      <c r="J4" s="836"/>
      <c r="O4" s="1284" t="s">
        <v>4081</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3348</v>
      </c>
      <c r="D6" s="416"/>
      <c r="E6" s="454"/>
      <c r="F6" s="455" t="s">
        <v>2567</v>
      </c>
      <c r="J6" s="898">
        <f>'Part IV-Uses of Funds'!J165</f>
        <v>800000</v>
      </c>
      <c r="K6" s="899"/>
      <c r="O6" s="896" t="s">
        <v>3866</v>
      </c>
      <c r="P6" s="896"/>
    </row>
    <row r="7" spans="1:16" s="2" customFormat="1" ht="13.15" customHeight="1">
      <c r="A7" s="5"/>
      <c r="C7" s="5"/>
      <c r="D7" s="31"/>
      <c r="E7" s="549"/>
      <c r="F7" s="449" t="s">
        <v>1850</v>
      </c>
      <c r="J7" s="900">
        <f>'Part III A-Sources of Funds'!J5</f>
        <v>0</v>
      </c>
      <c r="K7" s="901"/>
      <c r="M7" s="449"/>
      <c r="N7" s="449"/>
      <c r="O7" s="1286" t="s">
        <v>4040</v>
      </c>
      <c r="P7" s="1287"/>
    </row>
    <row r="8" spans="1:16" s="449" customFormat="1" ht="7.15" customHeight="1">
      <c r="A8" s="452"/>
      <c r="C8" s="452"/>
      <c r="D8" s="416"/>
      <c r="E8" s="454"/>
      <c r="F8" s="454"/>
      <c r="I8" s="456"/>
      <c r="N8" s="457"/>
    </row>
    <row r="9" spans="1:16" s="449" customFormat="1" ht="13.15" customHeight="1">
      <c r="A9" s="456" t="s">
        <v>1136</v>
      </c>
      <c r="C9" s="452" t="s">
        <v>2925</v>
      </c>
      <c r="F9" s="1288" t="s">
        <v>3977</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3978</v>
      </c>
      <c r="G13" s="1293"/>
      <c r="H13" s="1293"/>
      <c r="I13" s="1293"/>
      <c r="J13" s="1293"/>
      <c r="K13" s="1293"/>
      <c r="L13" s="1294"/>
      <c r="M13" s="827" t="s">
        <v>2859</v>
      </c>
      <c r="N13" s="1292"/>
      <c r="O13" s="1293"/>
      <c r="P13" s="1294"/>
    </row>
    <row r="14" spans="1:16" s="449" customFormat="1" ht="13.15" customHeight="1">
      <c r="C14" s="455" t="s">
        <v>2860</v>
      </c>
      <c r="F14" s="1292" t="s">
        <v>3980</v>
      </c>
      <c r="G14" s="1293"/>
      <c r="H14" s="1293"/>
      <c r="I14" s="1293"/>
      <c r="J14" s="1293"/>
      <c r="K14" s="1293"/>
      <c r="L14" s="1294"/>
      <c r="M14" s="827" t="s">
        <v>2573</v>
      </c>
      <c r="O14" s="1295">
        <v>4049695367</v>
      </c>
      <c r="P14" s="1296"/>
    </row>
    <row r="15" spans="1:16" s="449" customFormat="1" ht="13.15" customHeight="1">
      <c r="C15" s="455" t="s">
        <v>876</v>
      </c>
      <c r="F15" s="1297" t="s">
        <v>451</v>
      </c>
      <c r="G15" s="1298"/>
      <c r="H15" s="1299"/>
      <c r="M15" s="827" t="s">
        <v>2658</v>
      </c>
      <c r="O15" s="1300">
        <v>6783034111</v>
      </c>
      <c r="P15" s="1301"/>
    </row>
    <row r="16" spans="1:16" s="449" customFormat="1" ht="13.15" customHeight="1">
      <c r="C16" s="455" t="s">
        <v>2655</v>
      </c>
      <c r="F16" s="1302" t="s">
        <v>1337</v>
      </c>
      <c r="I16" s="836" t="s">
        <v>3138</v>
      </c>
      <c r="J16" s="1303">
        <v>300678770</v>
      </c>
      <c r="K16" s="1304"/>
      <c r="M16" s="827" t="s">
        <v>2858</v>
      </c>
      <c r="O16" s="1300">
        <v>4049695367</v>
      </c>
      <c r="P16" s="1301"/>
    </row>
    <row r="17" spans="1:16" s="449" customFormat="1" ht="13.15" customHeight="1">
      <c r="B17" s="833"/>
      <c r="C17" s="455" t="s">
        <v>2572</v>
      </c>
      <c r="F17" s="1300">
        <v>6783034100</v>
      </c>
      <c r="G17" s="1305"/>
      <c r="H17" s="1301"/>
      <c r="I17" s="828" t="s">
        <v>2571</v>
      </c>
      <c r="J17" s="1306"/>
      <c r="K17" s="836" t="s">
        <v>2863</v>
      </c>
      <c r="L17" s="1292" t="s">
        <v>3979</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3981</v>
      </c>
      <c r="G22" s="1308"/>
      <c r="H22" s="1308"/>
      <c r="I22" s="1308"/>
      <c r="J22" s="1308"/>
      <c r="K22" s="1308"/>
      <c r="L22" s="1309"/>
      <c r="M22" s="827" t="s">
        <v>3087</v>
      </c>
      <c r="O22" s="1292" t="s">
        <v>3982</v>
      </c>
      <c r="P22" s="1294"/>
    </row>
    <row r="23" spans="1:16" s="449" customFormat="1" ht="13.15" customHeight="1">
      <c r="A23" s="462"/>
      <c r="B23" s="452"/>
      <c r="C23" s="449" t="s">
        <v>875</v>
      </c>
      <c r="D23" s="463"/>
      <c r="F23" s="1292" t="s">
        <v>3983</v>
      </c>
      <c r="G23" s="1293"/>
      <c r="H23" s="1293"/>
      <c r="I23" s="1293"/>
      <c r="J23" s="1293"/>
      <c r="K23" s="1293"/>
      <c r="L23" s="1294"/>
      <c r="M23" s="827" t="s">
        <v>2938</v>
      </c>
      <c r="O23" s="1292" t="s">
        <v>3984</v>
      </c>
      <c r="P23" s="1294"/>
    </row>
    <row r="24" spans="1:16" s="449" customFormat="1" ht="13.15" customHeight="1">
      <c r="A24" s="844"/>
      <c r="B24" s="452"/>
      <c r="C24" s="449" t="s">
        <v>876</v>
      </c>
      <c r="F24" s="1292" t="s">
        <v>683</v>
      </c>
      <c r="G24" s="1293"/>
      <c r="H24" s="1294"/>
      <c r="I24" s="836" t="s">
        <v>418</v>
      </c>
      <c r="J24" s="1303">
        <v>301412821</v>
      </c>
      <c r="K24" s="1304"/>
      <c r="L24" s="540" t="str">
        <f>IF(AND(NOT(F22=""),NOT(F24="Select from list"),J24=""),"Enter Zip!","")</f>
        <v/>
      </c>
      <c r="M24" s="827" t="s">
        <v>3197</v>
      </c>
      <c r="O24" s="1292">
        <v>6.9930000000000003</v>
      </c>
      <c r="P24" s="1294"/>
    </row>
    <row r="25" spans="1:16" s="449" customFormat="1" ht="13.15" customHeight="1">
      <c r="A25" s="844"/>
      <c r="B25" s="452"/>
      <c r="C25" s="887" t="s">
        <v>2937</v>
      </c>
      <c r="D25" s="887"/>
      <c r="F25" s="1310" t="s">
        <v>3976</v>
      </c>
      <c r="I25" s="494" t="s">
        <v>877</v>
      </c>
      <c r="J25" s="1311" t="str">
        <f>IF($F$24="","",VLOOKUP($F$24,$N$181:$O$784,2,FALSE))</f>
        <v>Paulding</v>
      </c>
      <c r="K25" s="1312"/>
      <c r="M25" s="465" t="s">
        <v>3212</v>
      </c>
      <c r="O25" s="1292">
        <v>1206.03</v>
      </c>
      <c r="P25" s="1313"/>
    </row>
    <row r="26" spans="1:16" s="449" customFormat="1" ht="13.15" customHeight="1">
      <c r="A26" s="844"/>
      <c r="B26" s="452"/>
      <c r="C26" s="449" t="s">
        <v>2162</v>
      </c>
      <c r="F26" s="1314" t="s">
        <v>3984</v>
      </c>
      <c r="H26" s="457" t="s">
        <v>3656</v>
      </c>
      <c r="I26" s="682" t="str">
        <f>VLOOKUP($J$25,$C$181:$F$340,4)</f>
        <v>MSA</v>
      </c>
      <c r="J26" s="1315" t="str">
        <f>IF($F$24="","",VLOOKUP($J$25,$C$181:$H$340,3,FALSE))</f>
        <v>Atlanta-Sandy Springs-Marietta</v>
      </c>
      <c r="K26" s="1316"/>
      <c r="L26" s="1317"/>
      <c r="M26" s="827" t="s">
        <v>625</v>
      </c>
      <c r="N26" s="1318" t="s">
        <v>3984</v>
      </c>
      <c r="O26" s="457" t="s">
        <v>626</v>
      </c>
      <c r="P26" s="1318" t="s">
        <v>3984</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11</v>
      </c>
      <c r="G29" s="1320"/>
      <c r="H29" s="1319">
        <v>30</v>
      </c>
      <c r="I29" s="1320"/>
      <c r="J29" s="1319">
        <v>19</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3985</v>
      </c>
      <c r="G32" s="1322"/>
      <c r="H32" s="1322"/>
      <c r="I32" s="1322"/>
      <c r="J32" s="1322"/>
      <c r="K32" s="1323"/>
      <c r="L32" s="466"/>
      <c r="M32" s="466"/>
      <c r="N32" s="466"/>
    </row>
    <row r="33" spans="1:19" s="449" customFormat="1" ht="13.15" customHeight="1">
      <c r="A33" s="844"/>
      <c r="B33" s="844"/>
      <c r="C33" s="449" t="s">
        <v>897</v>
      </c>
      <c r="F33" s="1324" t="s">
        <v>4049</v>
      </c>
      <c r="G33" s="1325"/>
      <c r="H33" s="1325"/>
      <c r="I33" s="1325"/>
      <c r="J33" s="1326"/>
      <c r="K33" s="467" t="s">
        <v>2859</v>
      </c>
      <c r="L33" s="1321" t="s">
        <v>4048</v>
      </c>
      <c r="M33" s="1322"/>
      <c r="N33" s="1323"/>
    </row>
    <row r="34" spans="1:19" s="449" customFormat="1" ht="13.15" customHeight="1">
      <c r="A34" s="844"/>
      <c r="B34" s="844"/>
      <c r="C34" s="449" t="s">
        <v>2860</v>
      </c>
      <c r="F34" s="1321" t="s">
        <v>3986</v>
      </c>
      <c r="G34" s="1322"/>
      <c r="H34" s="1322"/>
      <c r="I34" s="1322"/>
      <c r="J34" s="1323"/>
      <c r="K34" s="468" t="s">
        <v>876</v>
      </c>
      <c r="L34" s="1292" t="s">
        <v>683</v>
      </c>
      <c r="M34" s="1293"/>
      <c r="N34" s="1294"/>
    </row>
    <row r="35" spans="1:19" s="449" customFormat="1" ht="13.15" customHeight="1">
      <c r="A35" s="844"/>
      <c r="B35" s="844"/>
      <c r="C35" s="827" t="s">
        <v>3138</v>
      </c>
      <c r="F35" s="1327">
        <v>301412821</v>
      </c>
      <c r="G35" s="1328"/>
      <c r="H35" s="828" t="s">
        <v>2861</v>
      </c>
      <c r="I35" s="1329">
        <v>7704452117</v>
      </c>
      <c r="J35" s="1330"/>
      <c r="K35" s="1331"/>
      <c r="L35" s="828" t="s">
        <v>2658</v>
      </c>
      <c r="M35" s="1329">
        <v>7704391190</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2862</v>
      </c>
      <c r="C39" s="452" t="s">
        <v>3214</v>
      </c>
      <c r="F39" s="1306" t="s">
        <v>3984</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2865</v>
      </c>
      <c r="C41" s="452" t="s">
        <v>996</v>
      </c>
      <c r="J41" s="593" t="s">
        <v>1845</v>
      </c>
      <c r="K41" s="594"/>
      <c r="L41" s="906" t="s">
        <v>1840</v>
      </c>
      <c r="M41" s="906"/>
      <c r="N41" s="906"/>
      <c r="O41" s="906"/>
      <c r="P41" s="907"/>
      <c r="Q41" s="836"/>
    </row>
    <row r="42" spans="1:19" ht="13.15" customHeight="1">
      <c r="B42" s="844"/>
      <c r="C42" s="449" t="s">
        <v>3213</v>
      </c>
      <c r="D42" s="449"/>
      <c r="E42" s="449"/>
      <c r="F42" s="473">
        <f>'Part VI-Revenues &amp; Expenses'!$M$74</f>
        <v>105</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4" customHeight="1">
      <c r="A47" s="844"/>
      <c r="P47" s="833"/>
    </row>
    <row r="48" spans="1:19" s="449" customFormat="1" ht="13.15" customHeight="1">
      <c r="A48" s="844"/>
      <c r="B48" s="462" t="s">
        <v>1145</v>
      </c>
      <c r="C48" s="461" t="s">
        <v>3190</v>
      </c>
      <c r="D48" s="833"/>
      <c r="I48" s="903" t="s">
        <v>1993</v>
      </c>
      <c r="J48" s="462" t="s">
        <v>3004</v>
      </c>
      <c r="K48" s="475" t="s">
        <v>3220</v>
      </c>
      <c r="M48" s="833"/>
      <c r="N48" s="833"/>
      <c r="O48" s="833"/>
      <c r="P48" s="836"/>
      <c r="Q48" s="836"/>
      <c r="R48" s="836"/>
      <c r="S48" s="833"/>
    </row>
    <row r="49" spans="1:16" s="449" customFormat="1" ht="13.15" customHeight="1">
      <c r="A49" s="844"/>
      <c r="B49" s="829"/>
      <c r="C49" s="459" t="s">
        <v>3191</v>
      </c>
      <c r="D49" s="833"/>
      <c r="E49" s="833"/>
      <c r="H49" s="476">
        <f>SUM(H50:H51)</f>
        <v>105</v>
      </c>
      <c r="I49" s="904"/>
      <c r="J49" s="844"/>
      <c r="K49" s="459" t="s">
        <v>3221</v>
      </c>
      <c r="M49" s="833"/>
      <c r="N49" s="833"/>
      <c r="O49" s="833"/>
      <c r="P49" s="476">
        <f>'Part VI-Revenues &amp; Expenses'!$M$96</f>
        <v>110815</v>
      </c>
    </row>
    <row r="50" spans="1:16" s="449" customFormat="1" ht="13.15" customHeight="1">
      <c r="A50" s="844"/>
      <c r="B50" s="472"/>
      <c r="D50" s="477" t="s">
        <v>459</v>
      </c>
      <c r="E50" s="477"/>
      <c r="H50" s="476">
        <f>'Part VI-Revenues &amp; Expenses'!$M$57</f>
        <v>16</v>
      </c>
      <c r="I50" s="476">
        <f>'Part VI-Revenues &amp; Expenses'!$M$65</f>
        <v>0</v>
      </c>
      <c r="K50" s="459" t="s">
        <v>306</v>
      </c>
      <c r="M50" s="833"/>
      <c r="N50" s="833"/>
      <c r="O50" s="833"/>
      <c r="P50" s="476">
        <f>'Part VI-Revenues &amp; Expenses'!$M$97</f>
        <v>0</v>
      </c>
    </row>
    <row r="51" spans="1:16" s="449" customFormat="1" ht="13.15" customHeight="1">
      <c r="A51" s="844"/>
      <c r="D51" s="477" t="s">
        <v>2686</v>
      </c>
      <c r="E51" s="477"/>
      <c r="H51" s="476">
        <f>'Part VI-Revenues &amp; Expenses'!$M$56</f>
        <v>89</v>
      </c>
      <c r="I51" s="476">
        <f>'Part VI-Revenues &amp; Expenses'!$M$64</f>
        <v>0</v>
      </c>
      <c r="K51" s="459" t="s">
        <v>3222</v>
      </c>
      <c r="M51" s="833"/>
      <c r="N51" s="833"/>
      <c r="O51" s="833"/>
      <c r="P51" s="476">
        <f>+P49+P50</f>
        <v>110815</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3389</v>
      </c>
      <c r="D53" s="833"/>
      <c r="E53" s="833"/>
      <c r="H53" s="476">
        <f>+H49+H52</f>
        <v>105</v>
      </c>
      <c r="J53" s="844"/>
      <c r="K53" s="459" t="s">
        <v>1995</v>
      </c>
      <c r="M53" s="833"/>
      <c r="N53" s="833"/>
      <c r="O53" s="833"/>
      <c r="P53" s="476">
        <f>+P51+P52</f>
        <v>110815</v>
      </c>
    </row>
    <row r="54" spans="1:16" s="449" customFormat="1" ht="13.15" customHeight="1">
      <c r="A54" s="844"/>
      <c r="C54" s="459" t="s">
        <v>3390</v>
      </c>
      <c r="D54" s="833"/>
      <c r="E54" s="833"/>
      <c r="H54" s="476">
        <f>'Part VI-Revenues &amp; Expenses'!$M$61</f>
        <v>0</v>
      </c>
      <c r="J54" s="844"/>
    </row>
    <row r="55" spans="1:16" s="449" customFormat="1" ht="13.15" customHeight="1">
      <c r="A55" s="844"/>
      <c r="C55" s="459" t="s">
        <v>2649</v>
      </c>
      <c r="D55" s="833"/>
      <c r="E55" s="833"/>
      <c r="H55" s="476">
        <f>+H53+H54</f>
        <v>105</v>
      </c>
      <c r="J55" s="833"/>
    </row>
    <row r="56" spans="1:16" s="449" customFormat="1" ht="3" customHeight="1">
      <c r="A56" s="844"/>
      <c r="I56" s="836"/>
      <c r="L56" s="836"/>
      <c r="M56" s="836"/>
      <c r="N56" s="833"/>
      <c r="P56" s="460"/>
    </row>
    <row r="57" spans="1:16" s="449" customFormat="1" ht="13.15" customHeight="1">
      <c r="A57" s="844"/>
      <c r="B57" s="844" t="s">
        <v>2588</v>
      </c>
      <c r="C57" s="461" t="s">
        <v>3215</v>
      </c>
      <c r="D57" s="477" t="s">
        <v>2876</v>
      </c>
      <c r="G57" s="833"/>
      <c r="H57" s="1333">
        <v>1</v>
      </c>
      <c r="K57" s="459" t="s">
        <v>1641</v>
      </c>
      <c r="O57" s="833"/>
      <c r="P57" s="1333">
        <v>3500</v>
      </c>
    </row>
    <row r="58" spans="1:16" s="449" customFormat="1" ht="13.15" customHeight="1">
      <c r="A58" s="844"/>
      <c r="B58" s="844"/>
      <c r="D58" s="829" t="s">
        <v>2877</v>
      </c>
      <c r="H58" s="1333">
        <v>1</v>
      </c>
      <c r="I58" s="833"/>
      <c r="K58" s="459" t="s">
        <v>305</v>
      </c>
      <c r="O58" s="833"/>
      <c r="P58" s="476">
        <f>+P53+P57</f>
        <v>114315</v>
      </c>
    </row>
    <row r="59" spans="1:16" s="449" customFormat="1" ht="13.15" customHeight="1">
      <c r="A59" s="844"/>
      <c r="B59" s="844"/>
      <c r="D59" s="829" t="s">
        <v>2878</v>
      </c>
      <c r="H59" s="476">
        <f>+H57+H58</f>
        <v>2</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184</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2862</v>
      </c>
      <c r="C65" s="394" t="s">
        <v>3965</v>
      </c>
      <c r="D65" s="830"/>
      <c r="E65" s="830"/>
      <c r="F65" s="833"/>
      <c r="G65" s="836"/>
      <c r="H65" s="1334" t="s">
        <v>3987</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2865</v>
      </c>
      <c r="C67" s="461" t="s">
        <v>1985</v>
      </c>
      <c r="D67" s="833"/>
      <c r="E67" s="477"/>
      <c r="G67" s="479" t="s">
        <v>1282</v>
      </c>
      <c r="H67" s="1333">
        <v>6</v>
      </c>
      <c r="K67" s="887" t="s">
        <v>755</v>
      </c>
      <c r="L67" s="887"/>
      <c r="P67" s="480">
        <f>IF('Part VI-Revenues &amp; Expenses'!$M$62=0,0,$H67/'Part VI-Revenues &amp; Expenses'!$M$62)</f>
        <v>5.7142857142857141E-2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2711</v>
      </c>
      <c r="D69" s="477"/>
      <c r="E69" s="477"/>
      <c r="G69" s="479" t="s">
        <v>1282</v>
      </c>
      <c r="H69" s="1333">
        <v>3</v>
      </c>
      <c r="K69" s="887" t="s">
        <v>755</v>
      </c>
      <c r="L69" s="887"/>
      <c r="P69" s="480">
        <f>IF('Part VI-Revenues &amp; Expenses'!$M$62=0,0,$H69/'Part VI-Revenues &amp; Expenses'!$M$62)</f>
        <v>2.8571428571428571E-2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3004</v>
      </c>
      <c r="C71" s="461" t="s">
        <v>1847</v>
      </c>
      <c r="D71" s="477"/>
      <c r="E71" s="477"/>
      <c r="G71" s="479" t="s">
        <v>1848</v>
      </c>
      <c r="H71" s="1333">
        <v>0</v>
      </c>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3350</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2862</v>
      </c>
      <c r="C75" s="394" t="s">
        <v>3349</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2865</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2926</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3976</v>
      </c>
      <c r="F81" s="477" t="s">
        <v>3639</v>
      </c>
      <c r="H81" s="1306" t="s">
        <v>3984</v>
      </c>
      <c r="I81" s="827" t="s">
        <v>3638</v>
      </c>
      <c r="K81" s="1306" t="s">
        <v>3984</v>
      </c>
      <c r="L81" s="449" t="s">
        <v>339</v>
      </c>
    </row>
    <row r="82" spans="1:16" s="449" customFormat="1" ht="13.15" customHeight="1">
      <c r="A82" s="844"/>
      <c r="B82" s="844"/>
      <c r="D82" s="470"/>
      <c r="E82" s="1306" t="s">
        <v>3984</v>
      </c>
      <c r="F82" s="827" t="s">
        <v>611</v>
      </c>
      <c r="H82" s="1306" t="s">
        <v>3984</v>
      </c>
      <c r="I82" s="829" t="s">
        <v>3025</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2655</v>
      </c>
      <c r="I88" s="1306"/>
      <c r="J88" s="483" t="s">
        <v>3138</v>
      </c>
      <c r="K88" s="1303"/>
      <c r="L88" s="1342"/>
      <c r="M88" s="416"/>
      <c r="N88" s="416"/>
      <c r="O88" s="416"/>
      <c r="P88" s="416"/>
    </row>
    <row r="89" spans="1:16" s="449" customFormat="1" ht="13.15" customHeight="1">
      <c r="C89" s="449" t="s">
        <v>3089</v>
      </c>
      <c r="E89" s="1292"/>
      <c r="F89" s="1341"/>
      <c r="G89" s="1342"/>
      <c r="H89" s="836" t="s">
        <v>2859</v>
      </c>
      <c r="I89" s="1292"/>
      <c r="J89" s="1341"/>
      <c r="K89" s="1342"/>
      <c r="L89" s="846" t="s">
        <v>2863</v>
      </c>
      <c r="M89" s="1292"/>
      <c r="N89" s="1341"/>
      <c r="O89" s="1341"/>
      <c r="P89" s="1342"/>
    </row>
    <row r="90" spans="1:16" s="449" customFormat="1" ht="13.15" customHeight="1">
      <c r="C90" s="455" t="s">
        <v>3088</v>
      </c>
      <c r="E90" s="1300"/>
      <c r="F90" s="1305"/>
      <c r="G90" s="1301"/>
      <c r="H90" s="836" t="s">
        <v>2658</v>
      </c>
      <c r="I90" s="1329"/>
      <c r="J90" s="1342"/>
      <c r="K90" s="483" t="s">
        <v>2659</v>
      </c>
      <c r="L90" s="1329"/>
      <c r="M90" s="1342"/>
      <c r="N90" s="483" t="s">
        <v>2858</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4" customHeight="1">
      <c r="A93" s="481"/>
      <c r="B93" s="844"/>
      <c r="C93" s="830"/>
      <c r="D93" s="470"/>
      <c r="E93" s="470"/>
      <c r="F93" s="836"/>
      <c r="G93" s="836"/>
      <c r="H93" s="836"/>
      <c r="I93" s="836"/>
      <c r="J93" s="470"/>
      <c r="K93" s="836"/>
      <c r="L93" s="836"/>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2862</v>
      </c>
      <c r="C96" s="830" t="s">
        <v>1986</v>
      </c>
      <c r="D96" s="829"/>
      <c r="E96" s="829"/>
      <c r="F96" s="836"/>
      <c r="G96" s="836"/>
      <c r="H96" s="1343">
        <v>2</v>
      </c>
      <c r="N96" s="833"/>
      <c r="O96" s="833"/>
    </row>
    <row r="97" spans="1:16" s="449" customFormat="1" ht="3.4" customHeight="1">
      <c r="A97" s="844"/>
      <c r="B97" s="844"/>
      <c r="C97" s="485"/>
      <c r="D97" s="485"/>
      <c r="E97" s="485"/>
      <c r="F97" s="485"/>
      <c r="G97" s="485"/>
      <c r="H97" s="485"/>
      <c r="J97" s="485"/>
      <c r="M97" s="485"/>
      <c r="N97" s="485"/>
      <c r="O97" s="485"/>
    </row>
    <row r="98" spans="1:16" s="449" customFormat="1" ht="13.15" customHeight="1">
      <c r="A98" s="844"/>
      <c r="B98" s="844" t="s">
        <v>2865</v>
      </c>
      <c r="C98" s="830" t="s">
        <v>493</v>
      </c>
      <c r="D98" s="829"/>
      <c r="E98" s="829"/>
      <c r="F98" s="836"/>
      <c r="G98" s="836"/>
      <c r="H98" s="1344">
        <v>1700000</v>
      </c>
      <c r="J98" s="470"/>
      <c r="K98" s="827"/>
      <c r="N98" s="833"/>
    </row>
    <row r="99" spans="1:16" s="449" customFormat="1" ht="3.4"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3026</v>
      </c>
      <c r="D101" s="829"/>
      <c r="F101" s="829" t="s">
        <v>1652</v>
      </c>
      <c r="G101" s="836"/>
      <c r="H101" s="836"/>
      <c r="I101" s="836"/>
      <c r="J101" s="829" t="s">
        <v>3026</v>
      </c>
      <c r="K101" s="829"/>
      <c r="M101" s="829" t="s">
        <v>1652</v>
      </c>
      <c r="N101" s="836"/>
      <c r="O101" s="836"/>
      <c r="P101" s="836"/>
    </row>
    <row r="102" spans="1:16" s="449" customFormat="1" ht="13.15" customHeight="1">
      <c r="A102" s="844"/>
      <c r="B102" s="844"/>
      <c r="C102" s="1345" t="s">
        <v>4041</v>
      </c>
      <c r="D102" s="1346"/>
      <c r="E102" s="1346"/>
      <c r="F102" s="1347" t="s">
        <v>4047</v>
      </c>
      <c r="G102" s="1347"/>
      <c r="H102" s="1347"/>
      <c r="I102" s="1348"/>
      <c r="J102" s="1349">
        <v>8</v>
      </c>
      <c r="K102" s="1347"/>
      <c r="L102" s="1347"/>
      <c r="M102" s="1347"/>
      <c r="N102" s="1347"/>
      <c r="O102" s="1347"/>
      <c r="P102" s="1348"/>
    </row>
    <row r="103" spans="1:16" s="449" customFormat="1" ht="13.15" customHeight="1">
      <c r="A103" s="844"/>
      <c r="B103" s="844"/>
      <c r="C103" s="1350" t="s">
        <v>4042</v>
      </c>
      <c r="D103" s="1351"/>
      <c r="E103" s="1351"/>
      <c r="F103" s="1351" t="s">
        <v>4047</v>
      </c>
      <c r="G103" s="1351"/>
      <c r="H103" s="1351"/>
      <c r="I103" s="1352"/>
      <c r="J103" s="1350">
        <v>9</v>
      </c>
      <c r="K103" s="1351"/>
      <c r="L103" s="1351"/>
      <c r="M103" s="1351"/>
      <c r="N103" s="1351"/>
      <c r="O103" s="1351"/>
      <c r="P103" s="1352"/>
    </row>
    <row r="104" spans="1:16" s="449" customFormat="1" ht="13.15" customHeight="1">
      <c r="A104" s="844"/>
      <c r="B104" s="844"/>
      <c r="C104" s="1350" t="s">
        <v>4043</v>
      </c>
      <c r="D104" s="1351"/>
      <c r="E104" s="1351"/>
      <c r="F104" s="1351" t="s">
        <v>4047</v>
      </c>
      <c r="G104" s="1351"/>
      <c r="H104" s="1351"/>
      <c r="I104" s="1352"/>
      <c r="J104" s="1350">
        <v>10</v>
      </c>
      <c r="K104" s="1351"/>
      <c r="L104" s="1351"/>
      <c r="M104" s="1351"/>
      <c r="N104" s="1351"/>
      <c r="O104" s="1351"/>
      <c r="P104" s="1352"/>
    </row>
    <row r="105" spans="1:16" s="449" customFormat="1" ht="13.15" customHeight="1">
      <c r="A105" s="844"/>
      <c r="B105" s="844"/>
      <c r="C105" s="1350" t="s">
        <v>4044</v>
      </c>
      <c r="D105" s="1351"/>
      <c r="E105" s="1351"/>
      <c r="F105" s="1351" t="s">
        <v>4047</v>
      </c>
      <c r="G105" s="1351"/>
      <c r="H105" s="1351"/>
      <c r="I105" s="1352"/>
      <c r="J105" s="1350">
        <v>11</v>
      </c>
      <c r="K105" s="1351"/>
      <c r="L105" s="1351"/>
      <c r="M105" s="1351"/>
      <c r="N105" s="1351"/>
      <c r="O105" s="1351"/>
      <c r="P105" s="1352"/>
    </row>
    <row r="106" spans="1:16" s="449" customFormat="1" ht="13.15" customHeight="1">
      <c r="A106" s="844"/>
      <c r="B106" s="844"/>
      <c r="C106" s="1350" t="s">
        <v>4045</v>
      </c>
      <c r="D106" s="1351"/>
      <c r="E106" s="1351"/>
      <c r="F106" s="1351" t="s">
        <v>4047</v>
      </c>
      <c r="G106" s="1351"/>
      <c r="H106" s="1351"/>
      <c r="I106" s="1352"/>
      <c r="J106" s="1350">
        <v>12</v>
      </c>
      <c r="K106" s="1351"/>
      <c r="L106" s="1351"/>
      <c r="M106" s="1351"/>
      <c r="N106" s="1351"/>
      <c r="O106" s="1351"/>
      <c r="P106" s="1352"/>
    </row>
    <row r="107" spans="1:16" s="449" customFormat="1" ht="13.15" customHeight="1">
      <c r="A107" s="844"/>
      <c r="B107" s="844"/>
      <c r="C107" s="1350" t="s">
        <v>4046</v>
      </c>
      <c r="D107" s="1351"/>
      <c r="E107" s="1351"/>
      <c r="F107" s="1351" t="s">
        <v>4047</v>
      </c>
      <c r="G107" s="1351"/>
      <c r="H107" s="1351"/>
      <c r="I107" s="1352"/>
      <c r="J107" s="1350">
        <v>13</v>
      </c>
      <c r="K107" s="1351"/>
      <c r="L107" s="1351"/>
      <c r="M107" s="1351"/>
      <c r="N107" s="1351"/>
      <c r="O107" s="1351"/>
      <c r="P107" s="1352"/>
    </row>
    <row r="108" spans="1:16" s="449" customFormat="1" ht="13.15" customHeight="1">
      <c r="A108" s="844"/>
      <c r="B108" s="844"/>
      <c r="C108" s="1353">
        <v>7</v>
      </c>
      <c r="D108" s="1354"/>
      <c r="E108" s="1354"/>
      <c r="F108" s="1354"/>
      <c r="G108" s="1354"/>
      <c r="H108" s="1354"/>
      <c r="I108" s="1355"/>
      <c r="J108" s="1353">
        <v>14</v>
      </c>
      <c r="K108" s="1354"/>
      <c r="L108" s="1354"/>
      <c r="M108" s="1354"/>
      <c r="N108" s="1354"/>
      <c r="O108" s="1354"/>
      <c r="P108" s="1355"/>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3004</v>
      </c>
      <c r="C110" s="914" t="s">
        <v>2718</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3026</v>
      </c>
      <c r="D112" s="829"/>
      <c r="F112" s="829" t="s">
        <v>1652</v>
      </c>
      <c r="G112" s="836"/>
      <c r="H112" s="836"/>
      <c r="I112" s="836"/>
      <c r="J112" s="829" t="s">
        <v>3026</v>
      </c>
      <c r="K112" s="829"/>
      <c r="M112" s="829" t="s">
        <v>1652</v>
      </c>
      <c r="N112" s="836"/>
      <c r="O112" s="836"/>
      <c r="P112" s="836"/>
    </row>
    <row r="113" spans="1:16" s="449" customFormat="1" ht="13.15" customHeight="1">
      <c r="A113" s="844"/>
      <c r="B113" s="844"/>
      <c r="C113" s="1349">
        <v>1</v>
      </c>
      <c r="D113" s="1347"/>
      <c r="E113" s="1347"/>
      <c r="F113" s="1347"/>
      <c r="G113" s="1347"/>
      <c r="H113" s="1347"/>
      <c r="I113" s="1348"/>
      <c r="J113" s="1349">
        <v>8</v>
      </c>
      <c r="K113" s="1347"/>
      <c r="L113" s="1347"/>
      <c r="M113" s="1347"/>
      <c r="N113" s="1347"/>
      <c r="O113" s="1347"/>
      <c r="P113" s="1348"/>
    </row>
    <row r="114" spans="1:16" s="449" customFormat="1" ht="13.15" customHeight="1">
      <c r="A114" s="844"/>
      <c r="B114" s="844"/>
      <c r="C114" s="1350">
        <v>2</v>
      </c>
      <c r="D114" s="1351"/>
      <c r="E114" s="1351"/>
      <c r="F114" s="1351"/>
      <c r="G114" s="1351"/>
      <c r="H114" s="1351"/>
      <c r="I114" s="1352"/>
      <c r="J114" s="1350">
        <v>9</v>
      </c>
      <c r="K114" s="1351"/>
      <c r="L114" s="1351"/>
      <c r="M114" s="1351"/>
      <c r="N114" s="1351"/>
      <c r="O114" s="1351"/>
      <c r="P114" s="1352"/>
    </row>
    <row r="115" spans="1:16" s="449" customFormat="1" ht="13.15" customHeight="1">
      <c r="A115" s="844"/>
      <c r="B115" s="844"/>
      <c r="C115" s="1350">
        <v>3</v>
      </c>
      <c r="D115" s="1351"/>
      <c r="E115" s="1351"/>
      <c r="F115" s="1351"/>
      <c r="G115" s="1351"/>
      <c r="H115" s="1351"/>
      <c r="I115" s="1352"/>
      <c r="J115" s="1350">
        <v>10</v>
      </c>
      <c r="K115" s="1351"/>
      <c r="L115" s="1351"/>
      <c r="M115" s="1351"/>
      <c r="N115" s="1351"/>
      <c r="O115" s="1351"/>
      <c r="P115" s="1352"/>
    </row>
    <row r="116" spans="1:16" s="449" customFormat="1" ht="13.15" customHeight="1">
      <c r="A116" s="844"/>
      <c r="B116" s="844"/>
      <c r="C116" s="1350">
        <v>4</v>
      </c>
      <c r="D116" s="1351"/>
      <c r="E116" s="1351"/>
      <c r="F116" s="1351"/>
      <c r="G116" s="1351"/>
      <c r="H116" s="1351"/>
      <c r="I116" s="1352"/>
      <c r="J116" s="1350">
        <v>11</v>
      </c>
      <c r="K116" s="1351"/>
      <c r="L116" s="1351"/>
      <c r="M116" s="1351"/>
      <c r="N116" s="1351"/>
      <c r="O116" s="1351"/>
      <c r="P116" s="1352"/>
    </row>
    <row r="117" spans="1:16" s="449" customFormat="1" ht="13.15" customHeight="1">
      <c r="A117" s="844"/>
      <c r="B117" s="844"/>
      <c r="C117" s="1350">
        <v>5</v>
      </c>
      <c r="D117" s="1351"/>
      <c r="E117" s="1351"/>
      <c r="F117" s="1351"/>
      <c r="G117" s="1351"/>
      <c r="H117" s="1351"/>
      <c r="I117" s="1352"/>
      <c r="J117" s="1350">
        <v>12</v>
      </c>
      <c r="K117" s="1351"/>
      <c r="L117" s="1351"/>
      <c r="M117" s="1351"/>
      <c r="N117" s="1351"/>
      <c r="O117" s="1351"/>
      <c r="P117" s="1352"/>
    </row>
    <row r="118" spans="1:16" s="449" customFormat="1" ht="13.15" customHeight="1">
      <c r="A118" s="844"/>
      <c r="B118" s="844"/>
      <c r="C118" s="1350">
        <v>6</v>
      </c>
      <c r="D118" s="1351"/>
      <c r="E118" s="1351"/>
      <c r="F118" s="1351"/>
      <c r="G118" s="1351"/>
      <c r="H118" s="1351"/>
      <c r="I118" s="1352"/>
      <c r="J118" s="1350">
        <v>13</v>
      </c>
      <c r="K118" s="1351"/>
      <c r="L118" s="1351"/>
      <c r="M118" s="1351"/>
      <c r="N118" s="1351"/>
      <c r="O118" s="1351"/>
      <c r="P118" s="1352"/>
    </row>
    <row r="119" spans="1:16" s="449" customFormat="1" ht="13.15" customHeight="1">
      <c r="A119" s="844"/>
      <c r="B119" s="844"/>
      <c r="C119" s="1353">
        <v>7</v>
      </c>
      <c r="D119" s="1354"/>
      <c r="E119" s="1354"/>
      <c r="F119" s="1354"/>
      <c r="G119" s="1354"/>
      <c r="H119" s="1354"/>
      <c r="I119" s="1355"/>
      <c r="J119" s="1353">
        <v>14</v>
      </c>
      <c r="K119" s="1354"/>
      <c r="L119" s="1354"/>
      <c r="M119" s="1354"/>
      <c r="N119" s="1354"/>
      <c r="O119" s="1354"/>
      <c r="P119" s="1355"/>
    </row>
    <row r="120" spans="1:16" s="449" customFormat="1" ht="6.4"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3402</v>
      </c>
      <c r="D121" s="478"/>
      <c r="E121" s="478"/>
      <c r="F121" s="478"/>
      <c r="H121" s="1306"/>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2862</v>
      </c>
      <c r="C123" s="456" t="s">
        <v>2560</v>
      </c>
      <c r="H123" s="1306"/>
      <c r="M123" s="836"/>
      <c r="N123" s="833"/>
      <c r="O123" s="833"/>
      <c r="P123" s="460"/>
    </row>
    <row r="124" spans="1:16" s="449" customFormat="1" ht="13.15" customHeight="1">
      <c r="A124" s="844"/>
      <c r="B124" s="844"/>
      <c r="C124" s="829" t="s">
        <v>3404</v>
      </c>
      <c r="D124" s="829"/>
      <c r="E124" s="829"/>
      <c r="F124" s="836"/>
      <c r="H124" s="1356"/>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3405</v>
      </c>
      <c r="D126" s="829"/>
      <c r="E126" s="829"/>
      <c r="F126" s="836"/>
      <c r="H126" s="1356"/>
      <c r="K126" s="416" t="s">
        <v>3157</v>
      </c>
      <c r="O126" s="1292" t="s">
        <v>671</v>
      </c>
      <c r="P126" s="1294"/>
    </row>
    <row r="127" spans="1:16" s="449" customFormat="1" ht="13.15" customHeight="1">
      <c r="A127" s="844"/>
      <c r="B127" s="844"/>
      <c r="C127" s="829" t="s">
        <v>3403</v>
      </c>
      <c r="F127" s="836"/>
      <c r="H127" s="1343"/>
      <c r="K127" s="416" t="s">
        <v>3158</v>
      </c>
      <c r="O127" s="1292" t="s">
        <v>671</v>
      </c>
      <c r="P127" s="1294"/>
    </row>
    <row r="128" spans="1:16" s="449" customFormat="1" ht="13.15" customHeight="1">
      <c r="A128" s="844"/>
      <c r="B128" s="844"/>
      <c r="C128" s="829" t="s">
        <v>3060</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2865</v>
      </c>
      <c r="C130" s="830" t="s">
        <v>3497</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c r="K133" s="829" t="s">
        <v>2136</v>
      </c>
      <c r="L133" s="829"/>
      <c r="M133" s="836"/>
      <c r="N133" s="836"/>
      <c r="O133" s="1343"/>
      <c r="P133" s="460"/>
    </row>
    <row r="134" spans="1:16" s="449" customFormat="1" ht="13.15" customHeight="1">
      <c r="A134" s="844"/>
      <c r="B134" s="844"/>
      <c r="C134" s="829" t="s">
        <v>999</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2862</v>
      </c>
      <c r="C138" s="469" t="s">
        <v>2687</v>
      </c>
      <c r="F138" s="836"/>
      <c r="G138" s="836"/>
      <c r="H138" s="836"/>
      <c r="I138" s="836"/>
      <c r="J138" s="470"/>
      <c r="K138" s="836"/>
      <c r="L138" s="836"/>
      <c r="N138" s="833"/>
      <c r="O138" s="833"/>
      <c r="P138" s="460"/>
    </row>
    <row r="139" spans="1:16" s="449" customFormat="1" ht="12.4" customHeight="1">
      <c r="A139" s="844"/>
      <c r="B139" s="844"/>
      <c r="C139" s="477" t="s">
        <v>2128</v>
      </c>
      <c r="D139" s="470"/>
      <c r="E139" s="470"/>
      <c r="F139" s="836"/>
      <c r="G139" s="836"/>
      <c r="H139" s="836"/>
      <c r="I139" s="836"/>
      <c r="K139" s="1343"/>
      <c r="N139" s="833"/>
      <c r="O139" s="833"/>
      <c r="P139" s="460"/>
    </row>
    <row r="140" spans="1:16" s="449" customFormat="1" ht="12.4" customHeight="1">
      <c r="A140" s="844"/>
      <c r="B140" s="844"/>
      <c r="C140" s="449" t="s">
        <v>872</v>
      </c>
      <c r="K140" s="1333"/>
      <c r="L140" s="455" t="s">
        <v>2651</v>
      </c>
      <c r="P140" s="487">
        <f>IF('Part VI-Revenues &amp; Expenses'!$M$60=0,0,$K140/'Part VI-Revenues &amp; Expenses'!$M$60)</f>
        <v>0</v>
      </c>
    </row>
    <row r="141" spans="1:16" s="449" customFormat="1" ht="12.4" customHeight="1">
      <c r="A141" s="844"/>
      <c r="B141" s="844"/>
      <c r="C141" s="449" t="s">
        <v>3061</v>
      </c>
      <c r="K141" s="1333"/>
      <c r="L141" s="455" t="s">
        <v>2651</v>
      </c>
      <c r="P141" s="487">
        <f>IF('Part VI-Revenues &amp; Expenses'!$M$60=0,0,$K141/'Part VI-Revenues &amp; Expenses'!$M$60)</f>
        <v>0</v>
      </c>
    </row>
    <row r="142" spans="1:16" s="449" customFormat="1" ht="12.4" customHeight="1">
      <c r="A142" s="844"/>
      <c r="B142" s="844"/>
      <c r="C142" s="449" t="s">
        <v>2652</v>
      </c>
      <c r="E142" s="1292"/>
      <c r="F142" s="1293"/>
      <c r="G142" s="1293"/>
      <c r="H142" s="1293"/>
      <c r="I142" s="1293"/>
      <c r="J142" s="1293"/>
      <c r="K142" s="1294"/>
      <c r="L142" s="488" t="s">
        <v>2653</v>
      </c>
      <c r="M142" s="1292"/>
      <c r="N142" s="1293"/>
      <c r="O142" s="1293"/>
      <c r="P142" s="1294"/>
    </row>
    <row r="143" spans="1:16" s="449" customFormat="1" ht="12.4" customHeight="1">
      <c r="A143" s="844"/>
      <c r="B143" s="844"/>
      <c r="C143" s="455" t="s">
        <v>2654</v>
      </c>
      <c r="D143" s="463"/>
      <c r="E143" s="1292"/>
      <c r="F143" s="1293"/>
      <c r="G143" s="1293"/>
      <c r="H143" s="1293"/>
      <c r="I143" s="1293"/>
      <c r="J143" s="1293"/>
      <c r="K143" s="1357"/>
      <c r="L143" s="827" t="s">
        <v>2656</v>
      </c>
      <c r="M143" s="1307"/>
      <c r="N143" s="1308"/>
      <c r="O143" s="1308"/>
      <c r="P143" s="1309"/>
    </row>
    <row r="144" spans="1:16" s="449" customFormat="1" ht="12.4" customHeight="1">
      <c r="A144" s="844"/>
      <c r="B144" s="844"/>
      <c r="C144" s="455" t="s">
        <v>876</v>
      </c>
      <c r="E144" s="1292"/>
      <c r="F144" s="1293"/>
      <c r="G144" s="1293"/>
      <c r="H144" s="1294"/>
      <c r="I144" s="483" t="s">
        <v>3138</v>
      </c>
      <c r="J144" s="1303"/>
      <c r="K144" s="1304"/>
      <c r="L144" s="488" t="s">
        <v>2659</v>
      </c>
      <c r="M144" s="1300"/>
      <c r="N144" s="1305"/>
      <c r="O144" s="1301"/>
    </row>
    <row r="145" spans="1:16" s="449" customFormat="1" ht="12.4" customHeight="1">
      <c r="A145" s="844"/>
      <c r="B145" s="844"/>
      <c r="C145" s="455" t="s">
        <v>2657</v>
      </c>
      <c r="E145" s="1300"/>
      <c r="F145" s="1305"/>
      <c r="G145" s="1301"/>
      <c r="H145" s="489" t="s">
        <v>2658</v>
      </c>
      <c r="I145" s="1300"/>
      <c r="J145" s="1305"/>
      <c r="K145" s="1301"/>
      <c r="L145" s="490" t="s">
        <v>2858</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4" customHeight="1">
      <c r="A147" s="844"/>
      <c r="B147" s="844" t="s">
        <v>2865</v>
      </c>
      <c r="C147" s="830" t="s">
        <v>2219</v>
      </c>
      <c r="D147" s="830"/>
      <c r="E147" s="830"/>
      <c r="F147" s="830"/>
      <c r="G147" s="830"/>
      <c r="I147" s="1343"/>
      <c r="J147" s="912" t="s">
        <v>1158</v>
      </c>
      <c r="K147" s="913"/>
      <c r="L147" s="1343"/>
      <c r="M147" s="909" t="s">
        <v>3247</v>
      </c>
      <c r="N147" s="910"/>
      <c r="O147" s="911"/>
      <c r="P147" s="1356"/>
    </row>
    <row r="148" spans="1:16" s="449" customFormat="1" ht="1.9" customHeight="1">
      <c r="A148" s="844"/>
      <c r="B148" s="844"/>
      <c r="C148" s="830"/>
      <c r="D148" s="830"/>
      <c r="E148" s="452"/>
      <c r="F148" s="830"/>
      <c r="G148" s="830"/>
      <c r="J148" s="459"/>
      <c r="K148" s="492"/>
      <c r="M148" s="833"/>
      <c r="O148" s="836"/>
      <c r="P148" s="460"/>
    </row>
    <row r="149" spans="1:16" s="449" customFormat="1" ht="12.4" customHeight="1">
      <c r="A149" s="844"/>
      <c r="B149" s="844" t="s">
        <v>1145</v>
      </c>
      <c r="C149" s="830" t="s">
        <v>2611</v>
      </c>
      <c r="D149" s="830"/>
      <c r="E149" s="830"/>
      <c r="F149" s="830"/>
      <c r="G149" s="830"/>
      <c r="H149" s="1343"/>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4" customHeight="1">
      <c r="A151" s="844"/>
      <c r="B151" s="844" t="s">
        <v>3004</v>
      </c>
      <c r="C151" s="892" t="s">
        <v>2857</v>
      </c>
      <c r="D151" s="892"/>
      <c r="E151" s="892"/>
      <c r="F151" s="892"/>
      <c r="G151" s="830"/>
      <c r="H151" s="1343"/>
    </row>
    <row r="152" spans="1:16" s="449" customFormat="1" ht="12.4" customHeight="1">
      <c r="B152" s="844"/>
      <c r="C152" s="891" t="s">
        <v>2067</v>
      </c>
      <c r="D152" s="891"/>
      <c r="E152" s="830"/>
      <c r="F152" s="830"/>
      <c r="G152" s="830"/>
      <c r="H152" s="1358"/>
    </row>
    <row r="153" spans="1:16" s="449" customFormat="1" ht="12.4" customHeight="1">
      <c r="A153" s="844"/>
      <c r="B153" s="844"/>
      <c r="C153" s="887" t="s">
        <v>1283</v>
      </c>
      <c r="D153" s="887"/>
      <c r="E153" s="452"/>
      <c r="F153" s="830"/>
      <c r="G153" s="830"/>
      <c r="H153" s="1358"/>
      <c r="K153" s="459"/>
      <c r="P153" s="460"/>
    </row>
    <row r="154" spans="1:16" s="449" customFormat="1" ht="12.4" customHeight="1">
      <c r="B154" s="844"/>
      <c r="C154" s="887" t="s">
        <v>2647</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4" customHeight="1">
      <c r="A157" s="844"/>
      <c r="B157" s="844"/>
      <c r="C157" s="833" t="s">
        <v>3113</v>
      </c>
      <c r="D157" s="461"/>
      <c r="E157" s="833"/>
      <c r="F157" s="833"/>
      <c r="H157" s="1359" t="s">
        <v>3984</v>
      </c>
      <c r="L157" s="833" t="s">
        <v>3907</v>
      </c>
      <c r="P157" s="1359" t="s">
        <v>3984</v>
      </c>
    </row>
    <row r="158" spans="1:16" s="449" customFormat="1" ht="12.4" customHeight="1">
      <c r="A158" s="844"/>
      <c r="B158" s="844"/>
      <c r="C158" s="833" t="s">
        <v>3115</v>
      </c>
      <c r="H158" s="1359" t="s">
        <v>3984</v>
      </c>
      <c r="L158" s="833" t="s">
        <v>2222</v>
      </c>
      <c r="P158" s="1359" t="s">
        <v>3984</v>
      </c>
    </row>
    <row r="159" spans="1:16" s="449" customFormat="1" ht="12.4" customHeight="1">
      <c r="A159" s="844"/>
      <c r="C159" s="833" t="s">
        <v>1849</v>
      </c>
      <c r="D159" s="495"/>
      <c r="H159" s="1359" t="s">
        <v>3984</v>
      </c>
      <c r="L159" s="833" t="s">
        <v>2387</v>
      </c>
      <c r="P159" s="1359" t="s">
        <v>3984</v>
      </c>
    </row>
    <row r="160" spans="1:16" s="449" customFormat="1" ht="12.4" customHeight="1">
      <c r="A160" s="844"/>
      <c r="B160" s="844"/>
      <c r="C160" s="833" t="s">
        <v>2221</v>
      </c>
      <c r="D160" s="461"/>
      <c r="E160" s="833"/>
      <c r="F160" s="833"/>
      <c r="H160" s="1359" t="s">
        <v>3976</v>
      </c>
      <c r="K160" s="461"/>
      <c r="L160" s="449" t="s">
        <v>3908</v>
      </c>
      <c r="M160" s="833"/>
      <c r="P160" s="1359" t="s">
        <v>3984</v>
      </c>
    </row>
    <row r="161" spans="1:21" s="449" customFormat="1" ht="12.4" customHeight="1">
      <c r="A161" s="844"/>
      <c r="B161" s="452"/>
      <c r="C161" s="833" t="s">
        <v>2139</v>
      </c>
      <c r="D161" s="461"/>
      <c r="H161" s="1359" t="s">
        <v>3984</v>
      </c>
      <c r="L161" s="833" t="s">
        <v>3954</v>
      </c>
      <c r="M161" s="833"/>
      <c r="P161" s="1359" t="s">
        <v>3984</v>
      </c>
    </row>
    <row r="162" spans="1:21" s="449" customFormat="1" ht="12.4" customHeight="1">
      <c r="A162" s="844"/>
      <c r="B162" s="844"/>
      <c r="C162" s="833" t="s">
        <v>2668</v>
      </c>
      <c r="D162" s="461"/>
      <c r="E162" s="833"/>
      <c r="F162" s="833"/>
      <c r="H162" s="1359" t="s">
        <v>3984</v>
      </c>
      <c r="I162" s="494" t="s">
        <v>3701</v>
      </c>
      <c r="O162" s="1360"/>
      <c r="P162" s="1361"/>
    </row>
    <row r="163" spans="1:21" s="449" customFormat="1" ht="12.4" customHeight="1">
      <c r="A163" s="844"/>
      <c r="B163" s="844"/>
      <c r="C163" s="833" t="s">
        <v>3956</v>
      </c>
      <c r="E163" s="1334"/>
      <c r="F163" s="1362"/>
      <c r="G163" s="1335"/>
      <c r="H163" s="1343" t="s">
        <v>3984</v>
      </c>
    </row>
    <row r="164" spans="1:21" s="449" customFormat="1" ht="1.9" customHeight="1">
      <c r="A164" s="844"/>
      <c r="B164" s="844"/>
      <c r="P164" s="459"/>
    </row>
    <row r="165" spans="1:21" s="449" customFormat="1" ht="13.15" customHeight="1">
      <c r="B165" s="844" t="s">
        <v>2589</v>
      </c>
      <c r="C165" s="456" t="s">
        <v>1135</v>
      </c>
    </row>
    <row r="166" spans="1:21" s="449" customFormat="1" ht="12.4" customHeight="1">
      <c r="A166" s="844"/>
      <c r="B166" s="844"/>
      <c r="C166" s="455" t="s">
        <v>898</v>
      </c>
      <c r="D166" s="829"/>
      <c r="E166" s="829"/>
      <c r="F166" s="836"/>
      <c r="G166" s="836"/>
      <c r="H166" s="1339"/>
      <c r="I166" s="1340"/>
      <c r="N166" s="833"/>
      <c r="O166" s="833"/>
      <c r="P166" s="460"/>
    </row>
    <row r="167" spans="1:21" s="449" customFormat="1" ht="12.4" customHeight="1">
      <c r="A167" s="844"/>
      <c r="B167" s="844"/>
      <c r="C167" s="455" t="s">
        <v>341</v>
      </c>
      <c r="D167" s="829"/>
      <c r="E167" s="829"/>
      <c r="F167" s="836"/>
      <c r="G167" s="836"/>
      <c r="H167" s="1339"/>
      <c r="I167" s="1340"/>
      <c r="N167" s="833"/>
      <c r="O167" s="833"/>
      <c r="P167" s="460"/>
    </row>
    <row r="168" spans="1:21" s="449" customFormat="1" ht="12.4" customHeight="1">
      <c r="A168" s="844"/>
      <c r="B168" s="844"/>
      <c r="C168" s="455" t="s">
        <v>3213</v>
      </c>
      <c r="D168" s="829"/>
      <c r="E168" s="829"/>
      <c r="F168" s="836"/>
      <c r="G168" s="836"/>
      <c r="H168" s="1339">
        <v>41912</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3"/>
      <c r="B171" s="1364"/>
      <c r="C171" s="1364"/>
      <c r="D171" s="1364"/>
      <c r="E171" s="1364"/>
      <c r="F171" s="1364"/>
      <c r="G171" s="1364"/>
      <c r="H171" s="1364"/>
      <c r="I171" s="1364"/>
      <c r="J171" s="1365"/>
      <c r="K171" s="1366"/>
      <c r="L171" s="1367"/>
      <c r="M171" s="1367"/>
      <c r="N171" s="1367"/>
      <c r="O171" s="1367"/>
      <c r="P171" s="1368"/>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9"/>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9"/>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9"/>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9"/>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9"/>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9"/>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9"/>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9"/>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9"/>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9"/>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9"/>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9"/>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9"/>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9"/>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9"/>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9"/>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9"/>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9"/>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9"/>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70"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9"/>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9"/>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9"/>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70"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9"/>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9"/>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9"/>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9"/>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9"/>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9"/>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9"/>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9"/>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9"/>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9"/>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9"/>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9"/>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9"/>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71" t="s">
        <v>3032</v>
      </c>
      <c r="Q225" s="1369"/>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9"/>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9"/>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9"/>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70"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9"/>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9"/>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71" t="s">
        <v>3032</v>
      </c>
      <c r="Q233" s="1369"/>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9"/>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9"/>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9"/>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9"/>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9"/>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9"/>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9"/>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71" t="s">
        <v>3032</v>
      </c>
      <c r="Q241" s="1369"/>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9"/>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9"/>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9"/>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9"/>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9"/>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9"/>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9"/>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9"/>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9"/>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9"/>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9"/>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9"/>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9"/>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9"/>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9"/>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9"/>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9"/>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9"/>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9"/>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9"/>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9"/>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9"/>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9"/>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9"/>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9"/>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9"/>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9"/>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9"/>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9"/>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9"/>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9"/>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9"/>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9"/>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9"/>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9"/>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9"/>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9"/>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9"/>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9"/>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9"/>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9"/>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71" t="s">
        <v>3032</v>
      </c>
      <c r="Q283" s="1369"/>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9"/>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9"/>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9"/>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9"/>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9"/>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9"/>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9"/>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9"/>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9"/>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9"/>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9"/>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9"/>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9"/>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70"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9"/>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9"/>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9"/>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70"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9"/>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9"/>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71"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9"/>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9"/>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9"/>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70"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9"/>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71" t="s">
        <v>3032</v>
      </c>
      <c r="Q312" s="1369"/>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9"/>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9"/>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9"/>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70" t="s">
        <v>1311</v>
      </c>
      <c r="Q318" s="1369"/>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9"/>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9"/>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9"/>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9"/>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9"/>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9"/>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9"/>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9"/>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9"/>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9"/>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9"/>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9"/>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9"/>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9"/>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9"/>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9"/>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9"/>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71" t="s">
        <v>3032</v>
      </c>
      <c r="Q336" s="1369"/>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9"/>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9"/>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9"/>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9"/>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71"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71"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71"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71"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71"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71"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71"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71"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1"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70"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1"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71"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71"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71"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71"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71"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1"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1"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1"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71"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71"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70"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70"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71"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71"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70"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1"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71"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71"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70"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1"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1"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1"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70"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1"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71"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1" t="s">
        <v>3032</v>
      </c>
      <c r="Q600" s="596"/>
      <c r="R600" s="497" t="s">
        <v>3592</v>
      </c>
      <c r="S600" s="497" t="s">
        <v>388</v>
      </c>
      <c r="T600" s="1371"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71"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71"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71"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71"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71"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71"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71"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71"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71"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71"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71"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71"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71"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70" t="s">
        <v>1311</v>
      </c>
      <c r="Q614" s="596"/>
      <c r="R614" s="497" t="s">
        <v>3605</v>
      </c>
      <c r="S614" s="497" t="s">
        <v>2888</v>
      </c>
      <c r="T614" s="1371"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71"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71" t="s">
        <v>3032</v>
      </c>
      <c r="Q616" s="596"/>
      <c r="R616" s="497" t="s">
        <v>1397</v>
      </c>
      <c r="S616" s="497" t="s">
        <v>1616</v>
      </c>
      <c r="T616" s="1371"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71"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71"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1" t="s">
        <v>3032</v>
      </c>
      <c r="Q619" s="596"/>
      <c r="R619" s="497" t="s">
        <v>1561</v>
      </c>
      <c r="S619" s="497" t="s">
        <v>2886</v>
      </c>
      <c r="T619" s="1371"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1"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72"/>
      <c r="R621" s="497" t="s">
        <v>1563</v>
      </c>
      <c r="S621" s="497" t="s">
        <v>2121</v>
      </c>
      <c r="T621" s="1371"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71"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1" t="s">
        <v>3032</v>
      </c>
      <c r="Q623" s="596"/>
      <c r="R623" s="497" t="s">
        <v>1565</v>
      </c>
      <c r="S623" s="497" t="s">
        <v>196</v>
      </c>
      <c r="T623" s="1371"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71" t="s">
        <v>3032</v>
      </c>
      <c r="Q624" s="596"/>
      <c r="R624" s="497" t="s">
        <v>1566</v>
      </c>
      <c r="S624" s="497" t="s">
        <v>1901</v>
      </c>
      <c r="T624" s="1371"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71"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71"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71"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71"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71"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71"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71"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1"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1"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71"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1"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1"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1"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1"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71"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71"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71"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1" t="s">
        <v>3032</v>
      </c>
      <c r="Q642" s="596"/>
      <c r="R642" s="497" t="s">
        <v>1580</v>
      </c>
      <c r="S642" s="497" t="s">
        <v>887</v>
      </c>
      <c r="T642" s="1371"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71"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1"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71"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71"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71"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71"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71"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71"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70" t="s">
        <v>1311</v>
      </c>
      <c r="Q651" s="596"/>
      <c r="R651" s="497" t="s">
        <v>1588</v>
      </c>
      <c r="S651" s="497" t="s">
        <v>2788</v>
      </c>
      <c r="T651" s="1371"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1" t="s">
        <v>3032</v>
      </c>
      <c r="Q652" s="596"/>
      <c r="R652" s="497" t="s">
        <v>1589</v>
      </c>
      <c r="S652" s="497" t="s">
        <v>2886</v>
      </c>
      <c r="T652" s="1371"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71"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1"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1" t="s">
        <v>3032</v>
      </c>
      <c r="Q655" s="596"/>
      <c r="R655" s="497" t="s">
        <v>1592</v>
      </c>
      <c r="S655" s="497" t="s">
        <v>3491</v>
      </c>
      <c r="T655" s="1371"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71"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1"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71"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1"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1"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71"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71"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71"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72"/>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70"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1"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1"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70"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71"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70"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1"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1"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55000000000000004" bottom="0.38" header="0.25" footer="0.19"/>
  <pageSetup fitToHeight="0" orientation="landscape" r:id="rId3"/>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3" manualBreakCount="3">
    <brk id="47" max="16383" man="1"/>
    <brk id="91" max="16383" man="1"/>
    <brk id="135" max="16383" man="1"/>
  </row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X201"/>
  <sheetViews>
    <sheetView showGridLines="0" zoomScale="80" zoomScaleNormal="80" zoomScalePageLayoutView="15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7109375" style="472" customWidth="1"/>
    <col min="14" max="14" width="9.42578125" style="472" customWidth="1"/>
    <col min="15" max="15" width="9.7109375" style="472" customWidth="1"/>
    <col min="16" max="16" width="6.140625" style="472" customWidth="1"/>
    <col min="17" max="19" width="6.28515625" style="472" customWidth="1"/>
    <col min="20" max="24" width="11.42578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2012-018 Poplar Pointe, Hiram, Paulding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2729</v>
      </c>
      <c r="C3" s="456"/>
      <c r="E3" s="456"/>
      <c r="F3" s="456"/>
      <c r="G3" s="456"/>
      <c r="H3" s="456"/>
      <c r="I3" s="456"/>
      <c r="J3" s="456"/>
    </row>
    <row r="4" spans="1:19" s="449" customFormat="1" ht="8.65" customHeight="1">
      <c r="A4" s="452"/>
      <c r="B4" s="452"/>
      <c r="C4" s="452"/>
      <c r="D4" s="456"/>
      <c r="E4" s="456"/>
      <c r="F4" s="456"/>
      <c r="G4" s="456"/>
      <c r="H4" s="456"/>
      <c r="I4" s="456"/>
      <c r="J4" s="456"/>
    </row>
    <row r="5" spans="1:19" s="449" customFormat="1" ht="12.4" customHeight="1">
      <c r="B5" s="452" t="s">
        <v>2862</v>
      </c>
      <c r="C5" s="456" t="s">
        <v>2725</v>
      </c>
      <c r="H5" s="1292" t="s">
        <v>3990</v>
      </c>
      <c r="I5" s="1341"/>
      <c r="J5" s="1341"/>
      <c r="K5" s="1341"/>
      <c r="L5" s="1341"/>
      <c r="M5" s="1341"/>
      <c r="N5" s="1342"/>
      <c r="O5" s="827" t="s">
        <v>2869</v>
      </c>
      <c r="P5" s="827"/>
      <c r="Q5" s="1292" t="s">
        <v>3988</v>
      </c>
      <c r="R5" s="1341"/>
      <c r="S5" s="1342"/>
    </row>
    <row r="6" spans="1:19" s="449" customFormat="1" ht="12.4" customHeight="1">
      <c r="D6" s="498"/>
      <c r="E6" s="455" t="s">
        <v>1527</v>
      </c>
      <c r="F6" s="463"/>
      <c r="H6" s="1292" t="s">
        <v>3980</v>
      </c>
      <c r="I6" s="1341"/>
      <c r="J6" s="1341"/>
      <c r="K6" s="1341"/>
      <c r="L6" s="1341"/>
      <c r="M6" s="1341"/>
      <c r="N6" s="1342"/>
      <c r="O6" s="827" t="s">
        <v>2601</v>
      </c>
      <c r="Q6" s="1292" t="s">
        <v>3989</v>
      </c>
      <c r="R6" s="1341"/>
      <c r="S6" s="1342"/>
    </row>
    <row r="7" spans="1:19" s="449" customFormat="1" ht="12.4" customHeight="1">
      <c r="D7" s="498"/>
      <c r="E7" s="455" t="s">
        <v>876</v>
      </c>
      <c r="H7" s="1292" t="s">
        <v>451</v>
      </c>
      <c r="I7" s="1341"/>
      <c r="J7" s="1342"/>
      <c r="K7" s="1373" t="s">
        <v>1159</v>
      </c>
      <c r="L7" s="1292"/>
      <c r="M7" s="1341"/>
      <c r="N7" s="1342"/>
      <c r="O7" s="827" t="s">
        <v>2659</v>
      </c>
      <c r="Q7" s="1300">
        <v>6783034125</v>
      </c>
      <c r="R7" s="1305"/>
      <c r="S7" s="1301"/>
    </row>
    <row r="8" spans="1:19" s="449" customFormat="1" ht="12.4" customHeight="1">
      <c r="D8" s="498"/>
      <c r="E8" s="455" t="s">
        <v>2655</v>
      </c>
      <c r="H8" s="1306" t="s">
        <v>1337</v>
      </c>
      <c r="I8" s="836" t="s">
        <v>1843</v>
      </c>
      <c r="J8" s="1303">
        <v>300678770</v>
      </c>
      <c r="K8" s="1342"/>
      <c r="L8" s="397" t="s">
        <v>1846</v>
      </c>
      <c r="N8" s="1343">
        <v>11</v>
      </c>
      <c r="O8" s="827" t="s">
        <v>2858</v>
      </c>
      <c r="Q8" s="1300"/>
      <c r="R8" s="1305"/>
      <c r="S8" s="1301"/>
    </row>
    <row r="9" spans="1:19" s="449" customFormat="1" ht="12.4" customHeight="1">
      <c r="D9" s="498"/>
      <c r="E9" s="455" t="s">
        <v>2864</v>
      </c>
      <c r="H9" s="1300">
        <v>6783034100</v>
      </c>
      <c r="I9" s="1301"/>
      <c r="J9" s="1374">
        <v>4735</v>
      </c>
      <c r="K9" s="836" t="s">
        <v>2658</v>
      </c>
      <c r="L9" s="1329">
        <v>6783034135</v>
      </c>
      <c r="M9" s="1342"/>
      <c r="N9" s="457" t="s">
        <v>2863</v>
      </c>
      <c r="O9" s="1307" t="s">
        <v>3991</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5" t="s">
        <v>1842</v>
      </c>
      <c r="P12" s="1375"/>
      <c r="Q12" s="1375"/>
      <c r="R12" s="1375"/>
      <c r="S12" s="1375"/>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6" t="s">
        <v>1840</v>
      </c>
      <c r="P14" s="1376"/>
      <c r="Q14" s="1376"/>
      <c r="R14" s="1376"/>
      <c r="S14" s="1376"/>
    </row>
    <row r="15" spans="1:19" s="449" customFormat="1" ht="4.1500000000000004" customHeight="1">
      <c r="D15" s="500"/>
      <c r="E15" s="501"/>
      <c r="H15" s="1377"/>
      <c r="I15" s="1377"/>
      <c r="J15" s="1377"/>
      <c r="K15" s="826"/>
      <c r="L15" s="1377"/>
      <c r="M15" s="1377"/>
      <c r="N15" s="826"/>
      <c r="O15" s="863"/>
      <c r="P15" s="863"/>
      <c r="Q15" s="836"/>
      <c r="R15" s="863"/>
      <c r="S15" s="863"/>
    </row>
    <row r="16" spans="1:19" s="449" customFormat="1" ht="12.4" customHeight="1">
      <c r="D16" s="452" t="s">
        <v>3005</v>
      </c>
      <c r="E16" s="449" t="s">
        <v>2727</v>
      </c>
      <c r="H16" s="1292" t="s">
        <v>3992</v>
      </c>
      <c r="I16" s="1341"/>
      <c r="J16" s="1341"/>
      <c r="K16" s="1341"/>
      <c r="L16" s="1341"/>
      <c r="M16" s="1341"/>
      <c r="N16" s="1342"/>
      <c r="O16" s="827" t="s">
        <v>2869</v>
      </c>
      <c r="P16" s="827"/>
      <c r="Q16" s="1292" t="s">
        <v>3988</v>
      </c>
      <c r="R16" s="1341"/>
      <c r="S16" s="1342"/>
    </row>
    <row r="17" spans="4:19" s="449" customFormat="1" ht="12.4" customHeight="1">
      <c r="D17" s="498"/>
      <c r="E17" s="455" t="s">
        <v>1527</v>
      </c>
      <c r="F17" s="463"/>
      <c r="H17" s="1292" t="s">
        <v>3980</v>
      </c>
      <c r="I17" s="1341"/>
      <c r="J17" s="1341"/>
      <c r="K17" s="1341"/>
      <c r="L17" s="1341"/>
      <c r="M17" s="1341"/>
      <c r="N17" s="1342"/>
      <c r="O17" s="827" t="s">
        <v>2601</v>
      </c>
      <c r="Q17" s="1292" t="s">
        <v>3989</v>
      </c>
      <c r="R17" s="1341"/>
      <c r="S17" s="1342"/>
    </row>
    <row r="18" spans="4:19" s="449" customFormat="1" ht="12.4" customHeight="1">
      <c r="D18" s="498"/>
      <c r="E18" s="455" t="s">
        <v>876</v>
      </c>
      <c r="H18" s="1292" t="s">
        <v>451</v>
      </c>
      <c r="I18" s="1341"/>
      <c r="J18" s="1342"/>
      <c r="O18" s="827" t="s">
        <v>2659</v>
      </c>
      <c r="Q18" s="1300">
        <v>6783034125</v>
      </c>
      <c r="R18" s="1305"/>
      <c r="S18" s="1301"/>
    </row>
    <row r="19" spans="4:19" s="449" customFormat="1" ht="12.4" customHeight="1">
      <c r="D19" s="452"/>
      <c r="E19" s="455" t="s">
        <v>2655</v>
      </c>
      <c r="H19" s="1306" t="s">
        <v>1337</v>
      </c>
      <c r="I19" s="836" t="s">
        <v>1843</v>
      </c>
      <c r="J19" s="1303">
        <v>300678770</v>
      </c>
      <c r="K19" s="1342"/>
      <c r="L19" s="397" t="s">
        <v>1846</v>
      </c>
      <c r="N19" s="1343">
        <v>11</v>
      </c>
      <c r="O19" s="827" t="s">
        <v>2858</v>
      </c>
      <c r="Q19" s="1300"/>
      <c r="R19" s="1305"/>
      <c r="S19" s="1301"/>
    </row>
    <row r="20" spans="4:19" s="449" customFormat="1" ht="12.4" customHeight="1">
      <c r="D20" s="498"/>
      <c r="E20" s="455" t="s">
        <v>2864</v>
      </c>
      <c r="H20" s="1300">
        <v>6783034100</v>
      </c>
      <c r="I20" s="1301"/>
      <c r="J20" s="1374">
        <v>4735</v>
      </c>
      <c r="K20" s="836" t="s">
        <v>2658</v>
      </c>
      <c r="L20" s="1329">
        <v>6783034111</v>
      </c>
      <c r="M20" s="1342"/>
      <c r="N20" s="457" t="s">
        <v>2863</v>
      </c>
      <c r="O20" s="1307" t="s">
        <v>3991</v>
      </c>
      <c r="P20" s="1308"/>
      <c r="Q20" s="1308"/>
      <c r="R20" s="1308"/>
      <c r="S20" s="1309"/>
    </row>
    <row r="21" spans="4:19" ht="4.1500000000000004" customHeight="1">
      <c r="D21" s="481"/>
      <c r="H21" s="1378"/>
      <c r="I21" s="1378"/>
      <c r="J21" s="1378"/>
      <c r="K21" s="836"/>
      <c r="L21" s="1378"/>
      <c r="M21" s="1378"/>
      <c r="N21" s="826"/>
      <c r="O21" s="863"/>
      <c r="P21" s="863"/>
      <c r="Q21" s="836"/>
      <c r="R21" s="863"/>
      <c r="S21" s="863"/>
    </row>
    <row r="22" spans="4:19" s="449" customFormat="1" ht="12.4" customHeight="1">
      <c r="D22" s="452" t="s">
        <v>3006</v>
      </c>
      <c r="E22" s="449" t="s">
        <v>2728</v>
      </c>
      <c r="F22" s="833"/>
      <c r="H22" s="1292"/>
      <c r="I22" s="1341"/>
      <c r="J22" s="1341"/>
      <c r="K22" s="1341"/>
      <c r="L22" s="1341"/>
      <c r="M22" s="1341"/>
      <c r="N22" s="1342"/>
      <c r="O22" s="827" t="s">
        <v>2869</v>
      </c>
      <c r="P22" s="827"/>
      <c r="Q22" s="1292"/>
      <c r="R22" s="1341"/>
      <c r="S22" s="1342"/>
    </row>
    <row r="23" spans="4:19" s="449" customFormat="1" ht="12.4" customHeight="1">
      <c r="D23" s="498"/>
      <c r="E23" s="455" t="s">
        <v>1527</v>
      </c>
      <c r="F23" s="463"/>
      <c r="H23" s="1292"/>
      <c r="I23" s="1341"/>
      <c r="J23" s="1341"/>
      <c r="K23" s="1341"/>
      <c r="L23" s="1341"/>
      <c r="M23" s="1341"/>
      <c r="N23" s="1342"/>
      <c r="O23" s="827" t="s">
        <v>2601</v>
      </c>
      <c r="Q23" s="1292"/>
      <c r="R23" s="1341"/>
      <c r="S23" s="1342"/>
    </row>
    <row r="24" spans="4:19" s="449" customFormat="1" ht="12.4" customHeight="1">
      <c r="D24" s="498"/>
      <c r="E24" s="455" t="s">
        <v>876</v>
      </c>
      <c r="H24" s="1292"/>
      <c r="I24" s="1341"/>
      <c r="J24" s="1342"/>
      <c r="O24" s="827" t="s">
        <v>2659</v>
      </c>
      <c r="Q24" s="1300"/>
      <c r="R24" s="1305"/>
      <c r="S24" s="1301"/>
    </row>
    <row r="25" spans="4:19" s="449" customFormat="1" ht="12.4" customHeight="1">
      <c r="E25" s="455" t="s">
        <v>2655</v>
      </c>
      <c r="H25" s="1306"/>
      <c r="I25" s="483" t="s">
        <v>3138</v>
      </c>
      <c r="J25" s="1303"/>
      <c r="K25" s="1342"/>
      <c r="O25" s="827" t="s">
        <v>2858</v>
      </c>
      <c r="Q25" s="1300"/>
      <c r="R25" s="1305"/>
      <c r="S25" s="1301"/>
    </row>
    <row r="26" spans="4:19" s="449" customFormat="1" ht="12.4" customHeight="1">
      <c r="D26" s="498"/>
      <c r="E26" s="455" t="s">
        <v>2864</v>
      </c>
      <c r="H26" s="1300"/>
      <c r="I26" s="1301"/>
      <c r="J26" s="1374"/>
      <c r="K26" s="836" t="s">
        <v>2658</v>
      </c>
      <c r="L26" s="1329"/>
      <c r="M26" s="1342"/>
      <c r="N26" s="457" t="s">
        <v>2863</v>
      </c>
      <c r="O26" s="1307"/>
      <c r="P26" s="1308"/>
      <c r="Q26" s="1308"/>
      <c r="R26" s="1308"/>
      <c r="S26" s="1309"/>
    </row>
    <row r="27" spans="4:19" s="449" customFormat="1" ht="4.1500000000000004" customHeight="1">
      <c r="D27" s="498"/>
      <c r="E27" s="833"/>
      <c r="F27" s="833"/>
      <c r="G27" s="827"/>
      <c r="H27" s="1378"/>
      <c r="I27" s="1378"/>
      <c r="J27" s="1378"/>
      <c r="K27" s="836"/>
      <c r="L27" s="1378"/>
      <c r="M27" s="1378"/>
      <c r="N27" s="826"/>
      <c r="O27" s="863"/>
      <c r="P27" s="863"/>
      <c r="Q27" s="836"/>
      <c r="R27" s="863"/>
      <c r="S27" s="863"/>
    </row>
    <row r="28" spans="4:19" s="449" customFormat="1" ht="12.4" customHeight="1">
      <c r="D28" s="452" t="s">
        <v>2587</v>
      </c>
      <c r="E28" s="449" t="s">
        <v>2728</v>
      </c>
      <c r="F28" s="833"/>
      <c r="H28" s="1292"/>
      <c r="I28" s="1341"/>
      <c r="J28" s="1341"/>
      <c r="K28" s="1341"/>
      <c r="L28" s="1341"/>
      <c r="M28" s="1341"/>
      <c r="N28" s="1342"/>
      <c r="O28" s="827" t="s">
        <v>2869</v>
      </c>
      <c r="P28" s="827"/>
      <c r="Q28" s="1292"/>
      <c r="R28" s="1341"/>
      <c r="S28" s="1342"/>
    </row>
    <row r="29" spans="4:19" s="449" customFormat="1" ht="12.4" customHeight="1">
      <c r="D29" s="498"/>
      <c r="E29" s="455" t="s">
        <v>1527</v>
      </c>
      <c r="F29" s="463"/>
      <c r="H29" s="1292"/>
      <c r="I29" s="1341"/>
      <c r="J29" s="1341"/>
      <c r="K29" s="1341"/>
      <c r="L29" s="1341"/>
      <c r="M29" s="1341"/>
      <c r="N29" s="1342"/>
      <c r="O29" s="827" t="s">
        <v>2601</v>
      </c>
      <c r="Q29" s="1292"/>
      <c r="R29" s="1341"/>
      <c r="S29" s="1342"/>
    </row>
    <row r="30" spans="4:19" s="449" customFormat="1" ht="12.4" customHeight="1">
      <c r="D30" s="498"/>
      <c r="E30" s="455" t="s">
        <v>876</v>
      </c>
      <c r="H30" s="1292"/>
      <c r="I30" s="1341"/>
      <c r="J30" s="1342"/>
      <c r="O30" s="827" t="s">
        <v>2659</v>
      </c>
      <c r="Q30" s="1300"/>
      <c r="R30" s="1305"/>
      <c r="S30" s="1301"/>
    </row>
    <row r="31" spans="4:19" s="449" customFormat="1" ht="12.4" customHeight="1">
      <c r="E31" s="455" t="s">
        <v>2655</v>
      </c>
      <c r="H31" s="1306"/>
      <c r="I31" s="483" t="s">
        <v>3138</v>
      </c>
      <c r="J31" s="1303"/>
      <c r="K31" s="1342"/>
      <c r="O31" s="827" t="s">
        <v>2858</v>
      </c>
      <c r="Q31" s="1300"/>
      <c r="R31" s="1305"/>
      <c r="S31" s="1301"/>
    </row>
    <row r="32" spans="4:19" s="449" customFormat="1" ht="12.4" customHeight="1">
      <c r="D32" s="498"/>
      <c r="E32" s="455" t="s">
        <v>2864</v>
      </c>
      <c r="H32" s="1300"/>
      <c r="I32" s="1301"/>
      <c r="J32" s="1374"/>
      <c r="K32" s="836"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7"/>
      <c r="I35" s="1377"/>
      <c r="J35" s="1377"/>
      <c r="K35" s="826"/>
      <c r="L35" s="1377"/>
      <c r="M35" s="1377"/>
      <c r="N35" s="826"/>
      <c r="O35" s="863"/>
      <c r="P35" s="863"/>
      <c r="Q35" s="836"/>
      <c r="R35" s="863"/>
      <c r="S35" s="863"/>
    </row>
    <row r="36" spans="3:19" s="449" customFormat="1" ht="12.4" customHeight="1">
      <c r="D36" s="452" t="s">
        <v>3005</v>
      </c>
      <c r="E36" s="449" t="s">
        <v>1146</v>
      </c>
      <c r="H36" s="1292" t="s">
        <v>4066</v>
      </c>
      <c r="I36" s="1341"/>
      <c r="J36" s="1341"/>
      <c r="K36" s="1341"/>
      <c r="L36" s="1341"/>
      <c r="M36" s="1341"/>
      <c r="N36" s="1342"/>
      <c r="O36" s="827" t="s">
        <v>2869</v>
      </c>
      <c r="P36" s="827"/>
      <c r="Q36" s="1292" t="s">
        <v>3996</v>
      </c>
      <c r="R36" s="1341"/>
      <c r="S36" s="1342"/>
    </row>
    <row r="37" spans="3:19" s="449" customFormat="1" ht="12.4" customHeight="1">
      <c r="D37" s="498"/>
      <c r="E37" s="455" t="s">
        <v>1527</v>
      </c>
      <c r="F37" s="463"/>
      <c r="H37" s="1292" t="s">
        <v>4050</v>
      </c>
      <c r="I37" s="1341"/>
      <c r="J37" s="1341"/>
      <c r="K37" s="1341"/>
      <c r="L37" s="1341"/>
      <c r="M37" s="1341"/>
      <c r="N37" s="1342"/>
      <c r="O37" s="827" t="s">
        <v>2601</v>
      </c>
      <c r="Q37" s="1292" t="s">
        <v>3998</v>
      </c>
      <c r="R37" s="1341"/>
      <c r="S37" s="1342"/>
    </row>
    <row r="38" spans="3:19" s="449" customFormat="1" ht="12.4" customHeight="1">
      <c r="D38" s="498"/>
      <c r="E38" s="455" t="s">
        <v>876</v>
      </c>
      <c r="H38" s="1292" t="s">
        <v>1743</v>
      </c>
      <c r="I38" s="1341"/>
      <c r="J38" s="1342"/>
      <c r="O38" s="827" t="s">
        <v>2659</v>
      </c>
      <c r="Q38" s="1300">
        <v>2564904866</v>
      </c>
      <c r="R38" s="1305"/>
      <c r="S38" s="1301"/>
    </row>
    <row r="39" spans="3:19" s="449" customFormat="1" ht="12.4" customHeight="1">
      <c r="E39" s="455" t="s">
        <v>2655</v>
      </c>
      <c r="H39" s="1306" t="s">
        <v>1337</v>
      </c>
      <c r="I39" s="483" t="s">
        <v>3138</v>
      </c>
      <c r="J39" s="1303">
        <v>303063707</v>
      </c>
      <c r="K39" s="1342"/>
      <c r="O39" s="827" t="s">
        <v>2858</v>
      </c>
      <c r="Q39" s="1300">
        <v>2564904866</v>
      </c>
      <c r="R39" s="1305"/>
      <c r="S39" s="1301"/>
    </row>
    <row r="40" spans="3:19" s="449" customFormat="1" ht="12.4" customHeight="1">
      <c r="D40" s="498"/>
      <c r="E40" s="455" t="s">
        <v>2864</v>
      </c>
      <c r="H40" s="1300">
        <v>2564904866</v>
      </c>
      <c r="I40" s="1301"/>
      <c r="J40" s="1374"/>
      <c r="K40" s="836" t="s">
        <v>2658</v>
      </c>
      <c r="L40" s="1329">
        <v>4049350513</v>
      </c>
      <c r="M40" s="1342"/>
      <c r="N40" s="457" t="s">
        <v>2863</v>
      </c>
      <c r="O40" s="1307" t="s">
        <v>3999</v>
      </c>
      <c r="P40" s="1308"/>
      <c r="Q40" s="1308"/>
      <c r="R40" s="1308"/>
      <c r="S40" s="1309"/>
    </row>
    <row r="41" spans="3:19" ht="4.1500000000000004" customHeight="1">
      <c r="H41" s="1378"/>
      <c r="I41" s="1378"/>
      <c r="J41" s="1378"/>
      <c r="K41" s="836"/>
      <c r="L41" s="1378"/>
      <c r="M41" s="1378"/>
      <c r="N41" s="826"/>
      <c r="O41" s="863"/>
      <c r="P41" s="863"/>
      <c r="Q41" s="836"/>
      <c r="R41" s="863"/>
      <c r="S41" s="863"/>
    </row>
    <row r="42" spans="3:19" s="449" customFormat="1" ht="12.4" customHeight="1">
      <c r="D42" s="452" t="s">
        <v>3006</v>
      </c>
      <c r="E42" s="449" t="s">
        <v>1147</v>
      </c>
      <c r="F42" s="452"/>
      <c r="H42" s="1292" t="s">
        <v>4051</v>
      </c>
      <c r="I42" s="1341"/>
      <c r="J42" s="1341"/>
      <c r="K42" s="1341"/>
      <c r="L42" s="1341"/>
      <c r="M42" s="1341"/>
      <c r="N42" s="1342"/>
      <c r="O42" s="827" t="s">
        <v>2869</v>
      </c>
      <c r="P42" s="827"/>
      <c r="Q42" s="1292" t="s">
        <v>4052</v>
      </c>
      <c r="R42" s="1341"/>
      <c r="S42" s="1342"/>
    </row>
    <row r="43" spans="3:19" s="449" customFormat="1" ht="12.4" customHeight="1">
      <c r="D43" s="498"/>
      <c r="E43" s="455" t="s">
        <v>1527</v>
      </c>
      <c r="F43" s="463"/>
      <c r="H43" s="1292" t="s">
        <v>3980</v>
      </c>
      <c r="I43" s="1341"/>
      <c r="J43" s="1341"/>
      <c r="K43" s="1341"/>
      <c r="L43" s="1341"/>
      <c r="M43" s="1341"/>
      <c r="N43" s="1342"/>
      <c r="O43" s="827" t="s">
        <v>2601</v>
      </c>
      <c r="Q43" s="1292" t="s">
        <v>3994</v>
      </c>
      <c r="R43" s="1341"/>
      <c r="S43" s="1342"/>
    </row>
    <row r="44" spans="3:19" s="449" customFormat="1" ht="12.4" customHeight="1">
      <c r="D44" s="498"/>
      <c r="E44" s="455" t="s">
        <v>876</v>
      </c>
      <c r="H44" s="1292" t="s">
        <v>451</v>
      </c>
      <c r="I44" s="1341"/>
      <c r="J44" s="1342"/>
      <c r="O44" s="827" t="s">
        <v>2659</v>
      </c>
      <c r="Q44" s="1300">
        <v>6783034135</v>
      </c>
      <c r="R44" s="1305"/>
      <c r="S44" s="1301"/>
    </row>
    <row r="45" spans="3:19" s="449" customFormat="1" ht="12.4" customHeight="1">
      <c r="D45" s="452"/>
      <c r="E45" s="455" t="s">
        <v>2655</v>
      </c>
      <c r="H45" s="1306" t="s">
        <v>1337</v>
      </c>
      <c r="I45" s="483" t="s">
        <v>3138</v>
      </c>
      <c r="J45" s="1303">
        <v>300678770</v>
      </c>
      <c r="K45" s="1342"/>
      <c r="O45" s="827" t="s">
        <v>2858</v>
      </c>
      <c r="Q45" s="1300"/>
      <c r="R45" s="1305"/>
      <c r="S45" s="1301"/>
    </row>
    <row r="46" spans="3:19" s="449" customFormat="1" ht="12.4" customHeight="1">
      <c r="D46" s="498"/>
      <c r="E46" s="455" t="s">
        <v>2864</v>
      </c>
      <c r="H46" s="1300">
        <v>6783034100</v>
      </c>
      <c r="I46" s="1301"/>
      <c r="J46" s="1374">
        <v>4735</v>
      </c>
      <c r="K46" s="836" t="s">
        <v>2658</v>
      </c>
      <c r="L46" s="1329">
        <v>6783034111</v>
      </c>
      <c r="M46" s="1342"/>
      <c r="N46" s="457" t="s">
        <v>2863</v>
      </c>
      <c r="O46" s="1307" t="s">
        <v>3991</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77"/>
      <c r="I49" s="1377"/>
      <c r="J49" s="1377"/>
      <c r="K49" s="826"/>
      <c r="L49" s="1377"/>
      <c r="M49" s="1377"/>
      <c r="N49" s="826"/>
      <c r="O49" s="863"/>
      <c r="P49" s="863"/>
      <c r="Q49" s="836"/>
      <c r="R49" s="863"/>
      <c r="S49" s="863"/>
    </row>
    <row r="50" spans="1:19" s="449" customFormat="1" ht="12.4" customHeight="1">
      <c r="E50" s="449" t="s">
        <v>98</v>
      </c>
      <c r="H50" s="1292" t="s">
        <v>3995</v>
      </c>
      <c r="I50" s="1341"/>
      <c r="J50" s="1341"/>
      <c r="K50" s="1341"/>
      <c r="L50" s="1341"/>
      <c r="M50" s="1341"/>
      <c r="N50" s="1342"/>
      <c r="O50" s="827" t="s">
        <v>2869</v>
      </c>
      <c r="P50" s="827"/>
      <c r="Q50" s="1292" t="s">
        <v>3996</v>
      </c>
      <c r="R50" s="1341"/>
      <c r="S50" s="1342"/>
    </row>
    <row r="51" spans="1:19" s="449" customFormat="1" ht="12.4" customHeight="1">
      <c r="D51" s="498"/>
      <c r="E51" s="455" t="s">
        <v>1527</v>
      </c>
      <c r="F51" s="463"/>
      <c r="H51" s="1292" t="s">
        <v>4050</v>
      </c>
      <c r="I51" s="1341"/>
      <c r="J51" s="1341"/>
      <c r="K51" s="1341"/>
      <c r="L51" s="1341"/>
      <c r="M51" s="1341"/>
      <c r="N51" s="1342"/>
      <c r="O51" s="827" t="s">
        <v>2601</v>
      </c>
      <c r="Q51" s="1292" t="s">
        <v>3998</v>
      </c>
      <c r="R51" s="1341"/>
      <c r="S51" s="1342"/>
    </row>
    <row r="52" spans="1:19" s="449" customFormat="1" ht="12.4" customHeight="1">
      <c r="D52" s="498"/>
      <c r="E52" s="455" t="s">
        <v>876</v>
      </c>
      <c r="H52" s="1292" t="s">
        <v>1743</v>
      </c>
      <c r="I52" s="1341"/>
      <c r="J52" s="1342"/>
      <c r="O52" s="827" t="s">
        <v>2659</v>
      </c>
      <c r="Q52" s="1300">
        <v>2564904866</v>
      </c>
      <c r="R52" s="1305"/>
      <c r="S52" s="1301"/>
    </row>
    <row r="53" spans="1:19" s="449" customFormat="1" ht="12.4" customHeight="1">
      <c r="E53" s="455" t="s">
        <v>2655</v>
      </c>
      <c r="H53" s="1306" t="s">
        <v>1337</v>
      </c>
      <c r="I53" s="483" t="s">
        <v>3138</v>
      </c>
      <c r="J53" s="1303">
        <v>303063707</v>
      </c>
      <c r="K53" s="1342"/>
      <c r="O53" s="827" t="s">
        <v>2858</v>
      </c>
      <c r="Q53" s="1300">
        <v>2564904866</v>
      </c>
      <c r="R53" s="1305"/>
      <c r="S53" s="1301"/>
    </row>
    <row r="54" spans="1:19" s="449" customFormat="1" ht="12.4" customHeight="1">
      <c r="D54" s="498"/>
      <c r="E54" s="455" t="s">
        <v>2864</v>
      </c>
      <c r="H54" s="1300">
        <v>2564904866</v>
      </c>
      <c r="I54" s="1301"/>
      <c r="J54" s="1374"/>
      <c r="K54" s="836" t="s">
        <v>2658</v>
      </c>
      <c r="L54" s="1329"/>
      <c r="M54" s="1342"/>
      <c r="N54" s="457" t="s">
        <v>2863</v>
      </c>
      <c r="O54" s="1307" t="s">
        <v>3999</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7"/>
      <c r="I57" s="1377"/>
      <c r="J57" s="1377"/>
      <c r="K57" s="826"/>
      <c r="L57" s="1377"/>
      <c r="M57" s="1377"/>
      <c r="N57" s="826"/>
      <c r="O57" s="863"/>
      <c r="P57" s="863"/>
      <c r="Q57" s="836"/>
      <c r="R57" s="863"/>
      <c r="S57" s="863"/>
    </row>
    <row r="58" spans="1:19" s="449" customFormat="1" ht="13.15" customHeight="1">
      <c r="B58" s="452" t="s">
        <v>2862</v>
      </c>
      <c r="C58" s="452" t="s">
        <v>349</v>
      </c>
      <c r="H58" s="1292" t="s">
        <v>3993</v>
      </c>
      <c r="I58" s="1341"/>
      <c r="J58" s="1341"/>
      <c r="K58" s="1341"/>
      <c r="L58" s="1341"/>
      <c r="M58" s="1341"/>
      <c r="N58" s="1342"/>
      <c r="O58" s="827" t="s">
        <v>2869</v>
      </c>
      <c r="P58" s="827"/>
      <c r="Q58" s="1292" t="s">
        <v>3988</v>
      </c>
      <c r="R58" s="1341"/>
      <c r="S58" s="1342"/>
    </row>
    <row r="59" spans="1:19" s="449" customFormat="1" ht="13.15" customHeight="1">
      <c r="D59" s="498"/>
      <c r="E59" s="455" t="s">
        <v>1527</v>
      </c>
      <c r="F59" s="463"/>
      <c r="H59" s="1292" t="s">
        <v>3980</v>
      </c>
      <c r="I59" s="1341"/>
      <c r="J59" s="1341"/>
      <c r="K59" s="1341"/>
      <c r="L59" s="1341"/>
      <c r="M59" s="1341"/>
      <c r="N59" s="1342"/>
      <c r="O59" s="827" t="s">
        <v>2601</v>
      </c>
      <c r="Q59" s="1292" t="s">
        <v>3994</v>
      </c>
      <c r="R59" s="1341"/>
      <c r="S59" s="1342"/>
    </row>
    <row r="60" spans="1:19" s="449" customFormat="1" ht="13.15" customHeight="1">
      <c r="D60" s="498"/>
      <c r="E60" s="455" t="s">
        <v>876</v>
      </c>
      <c r="H60" s="1292" t="s">
        <v>451</v>
      </c>
      <c r="I60" s="1341"/>
      <c r="J60" s="1342"/>
      <c r="O60" s="827" t="s">
        <v>2659</v>
      </c>
      <c r="Q60" s="1300">
        <v>6783034135</v>
      </c>
      <c r="R60" s="1305"/>
      <c r="S60" s="1301"/>
    </row>
    <row r="61" spans="1:19" s="449" customFormat="1" ht="13.15" customHeight="1">
      <c r="E61" s="455" t="s">
        <v>2655</v>
      </c>
      <c r="H61" s="1306" t="s">
        <v>1337</v>
      </c>
      <c r="I61" s="483" t="s">
        <v>3138</v>
      </c>
      <c r="J61" s="1303">
        <v>300678770</v>
      </c>
      <c r="K61" s="1342"/>
      <c r="O61" s="827" t="s">
        <v>2858</v>
      </c>
      <c r="Q61" s="1300"/>
      <c r="R61" s="1305"/>
      <c r="S61" s="1301"/>
    </row>
    <row r="62" spans="1:19" s="449" customFormat="1" ht="13.15" customHeight="1">
      <c r="D62" s="498"/>
      <c r="E62" s="455" t="s">
        <v>2864</v>
      </c>
      <c r="H62" s="1300">
        <v>6783034100</v>
      </c>
      <c r="I62" s="1301"/>
      <c r="J62" s="1374">
        <v>4735</v>
      </c>
      <c r="K62" s="836" t="s">
        <v>2658</v>
      </c>
      <c r="L62" s="1329">
        <v>6783034111</v>
      </c>
      <c r="M62" s="1342"/>
      <c r="N62" s="457" t="s">
        <v>2863</v>
      </c>
      <c r="O62" s="1379" t="s">
        <v>3991</v>
      </c>
      <c r="P62" s="1380"/>
      <c r="Q62" s="1380"/>
      <c r="R62" s="1380"/>
      <c r="S62" s="1381"/>
    </row>
    <row r="63" spans="1:19" s="449" customFormat="1" ht="6.4" customHeight="1">
      <c r="D63" s="498"/>
      <c r="E63" s="833"/>
      <c r="F63" s="833"/>
      <c r="G63" s="827"/>
      <c r="H63" s="1378"/>
      <c r="I63" s="1378"/>
      <c r="J63" s="1378"/>
      <c r="K63" s="836"/>
      <c r="L63" s="1378"/>
      <c r="M63" s="1378"/>
      <c r="N63" s="826"/>
      <c r="O63" s="863"/>
      <c r="P63" s="863"/>
      <c r="Q63" s="836"/>
      <c r="R63" s="863"/>
      <c r="S63" s="863"/>
    </row>
    <row r="64" spans="1:19" s="449" customFormat="1" ht="13.15" customHeight="1">
      <c r="B64" s="452" t="s">
        <v>2865</v>
      </c>
      <c r="C64" s="452" t="s">
        <v>350</v>
      </c>
      <c r="H64" s="1292" t="s">
        <v>3995</v>
      </c>
      <c r="I64" s="1341"/>
      <c r="J64" s="1341"/>
      <c r="K64" s="1341"/>
      <c r="L64" s="1341"/>
      <c r="M64" s="1341"/>
      <c r="N64" s="1342"/>
      <c r="O64" s="827" t="s">
        <v>2869</v>
      </c>
      <c r="P64" s="827"/>
      <c r="Q64" s="1292" t="s">
        <v>3996</v>
      </c>
      <c r="R64" s="1341"/>
      <c r="S64" s="1342"/>
    </row>
    <row r="65" spans="2:19" s="449" customFormat="1" ht="13.15" customHeight="1">
      <c r="D65" s="498"/>
      <c r="E65" s="455" t="s">
        <v>1527</v>
      </c>
      <c r="F65" s="463"/>
      <c r="H65" s="1292" t="s">
        <v>3997</v>
      </c>
      <c r="I65" s="1341"/>
      <c r="J65" s="1341"/>
      <c r="K65" s="1341"/>
      <c r="L65" s="1341"/>
      <c r="M65" s="1341"/>
      <c r="N65" s="1342"/>
      <c r="O65" s="827" t="s">
        <v>2601</v>
      </c>
      <c r="Q65" s="1292" t="s">
        <v>3998</v>
      </c>
      <c r="R65" s="1341"/>
      <c r="S65" s="1342"/>
    </row>
    <row r="66" spans="2:19" s="449" customFormat="1" ht="13.15" customHeight="1">
      <c r="D66" s="498"/>
      <c r="E66" s="455" t="s">
        <v>876</v>
      </c>
      <c r="H66" s="1292" t="s">
        <v>1743</v>
      </c>
      <c r="I66" s="1341"/>
      <c r="J66" s="1342"/>
      <c r="O66" s="827" t="s">
        <v>2659</v>
      </c>
      <c r="Q66" s="1300">
        <v>2564904866</v>
      </c>
      <c r="R66" s="1305"/>
      <c r="S66" s="1301"/>
    </row>
    <row r="67" spans="2:19" s="449" customFormat="1" ht="13.15" customHeight="1">
      <c r="E67" s="455" t="s">
        <v>2655</v>
      </c>
      <c r="H67" s="1306" t="s">
        <v>1337</v>
      </c>
      <c r="I67" s="483" t="s">
        <v>3138</v>
      </c>
      <c r="J67" s="1303">
        <v>303063707</v>
      </c>
      <c r="K67" s="1342"/>
      <c r="O67" s="827" t="s">
        <v>2858</v>
      </c>
      <c r="Q67" s="1300">
        <v>2564904866</v>
      </c>
      <c r="R67" s="1305"/>
      <c r="S67" s="1301"/>
    </row>
    <row r="68" spans="2:19" s="449" customFormat="1" ht="13.15" customHeight="1">
      <c r="D68" s="498"/>
      <c r="E68" s="455" t="s">
        <v>2864</v>
      </c>
      <c r="H68" s="1300">
        <v>2564904866</v>
      </c>
      <c r="I68" s="1301"/>
      <c r="J68" s="1374"/>
      <c r="K68" s="836" t="s">
        <v>2658</v>
      </c>
      <c r="L68" s="1329">
        <v>4049350513</v>
      </c>
      <c r="M68" s="1342"/>
      <c r="N68" s="457" t="s">
        <v>2863</v>
      </c>
      <c r="O68" s="1307" t="s">
        <v>3999</v>
      </c>
      <c r="P68" s="1308"/>
      <c r="Q68" s="1308"/>
      <c r="R68" s="1308"/>
      <c r="S68" s="1309"/>
    </row>
    <row r="69" spans="2:19" s="449" customFormat="1" ht="6.4" customHeight="1">
      <c r="D69" s="498"/>
      <c r="E69" s="833"/>
      <c r="F69" s="833"/>
      <c r="G69" s="827"/>
      <c r="H69" s="1378"/>
      <c r="I69" s="1378"/>
      <c r="J69" s="1378"/>
      <c r="K69" s="836"/>
      <c r="L69" s="1378"/>
      <c r="M69" s="1378"/>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2869</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2659</v>
      </c>
      <c r="Q72" s="1300"/>
      <c r="R72" s="1305"/>
      <c r="S72" s="1301"/>
    </row>
    <row r="73" spans="2:19" s="449" customFormat="1" ht="13.15" customHeight="1">
      <c r="E73" s="455" t="s">
        <v>2655</v>
      </c>
      <c r="H73" s="1306"/>
      <c r="I73" s="483" t="s">
        <v>3138</v>
      </c>
      <c r="J73" s="1303"/>
      <c r="K73" s="1342"/>
      <c r="O73" s="827" t="s">
        <v>2858</v>
      </c>
      <c r="Q73" s="1300"/>
      <c r="R73" s="1305"/>
      <c r="S73" s="1301"/>
    </row>
    <row r="74" spans="2:19" s="449" customFormat="1" ht="13.15" customHeight="1">
      <c r="D74" s="498"/>
      <c r="E74" s="455" t="s">
        <v>2864</v>
      </c>
      <c r="H74" s="1300"/>
      <c r="I74" s="1301"/>
      <c r="J74" s="1374"/>
      <c r="K74" s="836" t="s">
        <v>2658</v>
      </c>
      <c r="L74" s="1329"/>
      <c r="M74" s="1342"/>
      <c r="N74" s="457" t="s">
        <v>2863</v>
      </c>
      <c r="O74" s="1307"/>
      <c r="P74" s="1308"/>
      <c r="Q74" s="1308"/>
      <c r="R74" s="1308"/>
      <c r="S74" s="1309"/>
    </row>
    <row r="75" spans="2:19" ht="6.4" customHeight="1">
      <c r="H75" s="1378"/>
      <c r="I75" s="1378"/>
      <c r="J75" s="1378"/>
      <c r="K75" s="836"/>
      <c r="L75" s="1378"/>
      <c r="M75" s="1378"/>
      <c r="N75" s="826"/>
      <c r="O75" s="863"/>
      <c r="P75" s="863"/>
      <c r="Q75" s="836"/>
      <c r="R75" s="863"/>
      <c r="S75" s="863"/>
    </row>
    <row r="76" spans="2:19" s="449" customFormat="1" ht="13.15" customHeight="1">
      <c r="B76" s="452" t="s">
        <v>3004</v>
      </c>
      <c r="C76" s="452" t="s">
        <v>351</v>
      </c>
      <c r="H76" s="1292"/>
      <c r="I76" s="1341"/>
      <c r="J76" s="1341"/>
      <c r="K76" s="1341"/>
      <c r="L76" s="1341"/>
      <c r="M76" s="1341"/>
      <c r="N76" s="1342"/>
      <c r="O76" s="827" t="s">
        <v>2869</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2659</v>
      </c>
      <c r="Q78" s="1300"/>
      <c r="R78" s="1305"/>
      <c r="S78" s="1301"/>
    </row>
    <row r="79" spans="2:19" s="449" customFormat="1" ht="13.15" customHeight="1">
      <c r="E79" s="455" t="s">
        <v>2655</v>
      </c>
      <c r="H79" s="1306"/>
      <c r="I79" s="483" t="s">
        <v>3138</v>
      </c>
      <c r="J79" s="1303"/>
      <c r="K79" s="1342"/>
      <c r="O79" s="827" t="s">
        <v>2858</v>
      </c>
      <c r="Q79" s="1300"/>
      <c r="R79" s="1305"/>
      <c r="S79" s="1301"/>
    </row>
    <row r="80" spans="2:19" s="449" customFormat="1" ht="13.15" customHeight="1">
      <c r="D80" s="498"/>
      <c r="E80" s="455" t="s">
        <v>2864</v>
      </c>
      <c r="H80" s="1300"/>
      <c r="I80" s="1301"/>
      <c r="J80" s="1374"/>
      <c r="K80" s="836"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7"/>
      <c r="I83" s="1377"/>
      <c r="J83" s="1377"/>
      <c r="K83" s="826"/>
      <c r="L83" s="1377"/>
      <c r="M83" s="1377"/>
      <c r="N83" s="826"/>
      <c r="O83" s="863"/>
      <c r="P83" s="863"/>
      <c r="Q83" s="836"/>
      <c r="R83" s="863"/>
      <c r="S83" s="863"/>
    </row>
    <row r="84" spans="1:19" s="449" customFormat="1" ht="13.15" customHeight="1">
      <c r="B84" s="452" t="s">
        <v>2862</v>
      </c>
      <c r="C84" s="452" t="s">
        <v>353</v>
      </c>
      <c r="H84" s="1292"/>
      <c r="I84" s="1341"/>
      <c r="J84" s="1341"/>
      <c r="K84" s="1341"/>
      <c r="L84" s="1341"/>
      <c r="M84" s="1341"/>
      <c r="N84" s="1342"/>
      <c r="O84" s="827" t="s">
        <v>2869</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2659</v>
      </c>
      <c r="Q86" s="1300"/>
      <c r="R86" s="1305"/>
      <c r="S86" s="1301"/>
    </row>
    <row r="87" spans="1:19" s="449" customFormat="1" ht="13.15" customHeight="1">
      <c r="E87" s="455" t="s">
        <v>2655</v>
      </c>
      <c r="H87" s="1306"/>
      <c r="I87" s="483" t="s">
        <v>3138</v>
      </c>
      <c r="J87" s="1303"/>
      <c r="K87" s="1342"/>
      <c r="O87" s="827" t="s">
        <v>2858</v>
      </c>
      <c r="Q87" s="1300"/>
      <c r="R87" s="1305"/>
      <c r="S87" s="1301"/>
    </row>
    <row r="88" spans="1:19" s="449" customFormat="1" ht="13.15" customHeight="1">
      <c r="D88" s="498"/>
      <c r="E88" s="455" t="s">
        <v>2864</v>
      </c>
      <c r="H88" s="1300"/>
      <c r="I88" s="1301"/>
      <c r="J88" s="1374"/>
      <c r="K88" s="836" t="s">
        <v>2658</v>
      </c>
      <c r="L88" s="1329"/>
      <c r="M88" s="1342"/>
      <c r="N88" s="457" t="s">
        <v>2863</v>
      </c>
      <c r="O88" s="1307"/>
      <c r="P88" s="1308"/>
      <c r="Q88" s="1308"/>
      <c r="R88" s="1308"/>
      <c r="S88" s="1309"/>
    </row>
    <row r="89" spans="1:19" ht="6.4" customHeight="1">
      <c r="H89" s="1378"/>
      <c r="I89" s="1378"/>
      <c r="J89" s="1378"/>
      <c r="K89" s="836"/>
      <c r="L89" s="1378"/>
      <c r="M89" s="1378"/>
      <c r="N89" s="826"/>
      <c r="O89" s="863"/>
      <c r="P89" s="863"/>
      <c r="Q89" s="836"/>
      <c r="R89" s="863"/>
      <c r="S89" s="863"/>
    </row>
    <row r="90" spans="1:19" s="449" customFormat="1" ht="13.15" customHeight="1">
      <c r="B90" s="452" t="s">
        <v>2865</v>
      </c>
      <c r="C90" s="452" t="s">
        <v>354</v>
      </c>
      <c r="H90" s="1382" t="s">
        <v>4000</v>
      </c>
      <c r="I90" s="1383"/>
      <c r="J90" s="1383"/>
      <c r="K90" s="1383"/>
      <c r="L90" s="1383"/>
      <c r="M90" s="1383"/>
      <c r="N90" s="1384"/>
      <c r="O90" s="827" t="s">
        <v>2869</v>
      </c>
      <c r="P90" s="827"/>
      <c r="Q90" s="1382" t="s">
        <v>4002</v>
      </c>
      <c r="R90" s="1383"/>
      <c r="S90" s="1384"/>
    </row>
    <row r="91" spans="1:19" s="449" customFormat="1" ht="13.15" customHeight="1">
      <c r="D91" s="498"/>
      <c r="E91" s="455" t="s">
        <v>1527</v>
      </c>
      <c r="F91" s="463"/>
      <c r="H91" s="1382" t="s">
        <v>4001</v>
      </c>
      <c r="I91" s="1383"/>
      <c r="J91" s="1383"/>
      <c r="K91" s="1383"/>
      <c r="L91" s="1383"/>
      <c r="M91" s="1383"/>
      <c r="N91" s="1384"/>
      <c r="O91" s="827" t="s">
        <v>2601</v>
      </c>
      <c r="Q91" s="1382" t="s">
        <v>4003</v>
      </c>
      <c r="R91" s="1383"/>
      <c r="S91" s="1384"/>
    </row>
    <row r="92" spans="1:19" s="449" customFormat="1" ht="13.15" customHeight="1">
      <c r="D92" s="498"/>
      <c r="E92" s="455" t="s">
        <v>876</v>
      </c>
      <c r="H92" s="1382" t="s">
        <v>1743</v>
      </c>
      <c r="I92" s="1383"/>
      <c r="J92" s="1384"/>
      <c r="K92" s="126"/>
      <c r="L92" s="126"/>
      <c r="M92" s="126"/>
      <c r="N92" s="126"/>
      <c r="O92" s="827" t="s">
        <v>2659</v>
      </c>
      <c r="Q92" s="1385">
        <v>7702729256</v>
      </c>
      <c r="R92" s="1386"/>
      <c r="S92" s="1387"/>
    </row>
    <row r="93" spans="1:19" s="449" customFormat="1" ht="13.15" customHeight="1">
      <c r="E93" s="455" t="s">
        <v>2655</v>
      </c>
      <c r="H93" s="1306" t="s">
        <v>1337</v>
      </c>
      <c r="I93" s="483" t="s">
        <v>3138</v>
      </c>
      <c r="J93" s="1303">
        <v>303392715</v>
      </c>
      <c r="K93" s="1342"/>
      <c r="O93" s="827" t="s">
        <v>2858</v>
      </c>
      <c r="Q93" s="1300"/>
      <c r="R93" s="1305"/>
      <c r="S93" s="1301"/>
    </row>
    <row r="94" spans="1:19" s="449" customFormat="1" ht="13.15" customHeight="1">
      <c r="D94" s="498"/>
      <c r="E94" s="455" t="s">
        <v>2864</v>
      </c>
      <c r="H94" s="1300">
        <v>7702729256</v>
      </c>
      <c r="I94" s="1301"/>
      <c r="J94" s="1374"/>
      <c r="K94" s="836" t="s">
        <v>2658</v>
      </c>
      <c r="L94" s="1329"/>
      <c r="M94" s="1342"/>
      <c r="N94" s="457" t="s">
        <v>2863</v>
      </c>
      <c r="O94" s="1307" t="s">
        <v>4053</v>
      </c>
      <c r="P94" s="1308"/>
      <c r="Q94" s="1308"/>
      <c r="R94" s="1308"/>
      <c r="S94" s="1309"/>
    </row>
    <row r="95" spans="1:19" ht="6.4" customHeight="1">
      <c r="H95" s="1378"/>
      <c r="I95" s="1378"/>
      <c r="J95" s="1378"/>
      <c r="K95" s="836"/>
      <c r="L95" s="1378"/>
      <c r="M95" s="1378"/>
      <c r="N95" s="826"/>
      <c r="O95" s="863"/>
      <c r="P95" s="863"/>
      <c r="Q95" s="836"/>
      <c r="R95" s="863"/>
      <c r="S95" s="863"/>
    </row>
    <row r="96" spans="1:19" s="449" customFormat="1" ht="13.15" customHeight="1">
      <c r="B96" s="452" t="s">
        <v>1145</v>
      </c>
      <c r="C96" s="452" t="s">
        <v>355</v>
      </c>
      <c r="F96" s="472"/>
      <c r="H96" s="1382" t="s">
        <v>4004</v>
      </c>
      <c r="I96" s="1383"/>
      <c r="J96" s="1383"/>
      <c r="K96" s="1383"/>
      <c r="L96" s="1383"/>
      <c r="M96" s="1383"/>
      <c r="N96" s="1384"/>
      <c r="O96" s="827" t="s">
        <v>2869</v>
      </c>
      <c r="P96" s="827"/>
      <c r="Q96" s="1388" t="s">
        <v>3988</v>
      </c>
      <c r="R96" s="1383"/>
      <c r="S96" s="1384"/>
    </row>
    <row r="97" spans="2:19" s="449" customFormat="1" ht="13.15" customHeight="1">
      <c r="D97" s="498"/>
      <c r="E97" s="455" t="s">
        <v>1527</v>
      </c>
      <c r="F97" s="463"/>
      <c r="H97" s="1382" t="s">
        <v>3980</v>
      </c>
      <c r="I97" s="1383"/>
      <c r="J97" s="1383"/>
      <c r="K97" s="1383"/>
      <c r="L97" s="1383"/>
      <c r="M97" s="1383"/>
      <c r="N97" s="1384"/>
      <c r="O97" s="827" t="s">
        <v>2601</v>
      </c>
      <c r="Q97" s="1382" t="s">
        <v>3994</v>
      </c>
      <c r="R97" s="1383"/>
      <c r="S97" s="1384"/>
    </row>
    <row r="98" spans="2:19" s="449" customFormat="1" ht="13.15" customHeight="1">
      <c r="D98" s="498"/>
      <c r="E98" s="455" t="s">
        <v>876</v>
      </c>
      <c r="H98" s="1382" t="s">
        <v>451</v>
      </c>
      <c r="I98" s="1383"/>
      <c r="J98" s="1384"/>
      <c r="K98" s="126"/>
      <c r="L98" s="126"/>
      <c r="M98" s="126"/>
      <c r="N98" s="126"/>
      <c r="O98" s="827" t="s">
        <v>2659</v>
      </c>
      <c r="Q98" s="1385">
        <v>6783034135</v>
      </c>
      <c r="R98" s="1386"/>
      <c r="S98" s="1387"/>
    </row>
    <row r="99" spans="2:19" s="449" customFormat="1" ht="13.15" customHeight="1">
      <c r="D99" s="498"/>
      <c r="E99" s="455" t="s">
        <v>2655</v>
      </c>
      <c r="H99" s="1306" t="s">
        <v>1337</v>
      </c>
      <c r="I99" s="483" t="s">
        <v>3138</v>
      </c>
      <c r="J99" s="1303">
        <v>300678770</v>
      </c>
      <c r="K99" s="1342"/>
      <c r="O99" s="827" t="s">
        <v>2858</v>
      </c>
      <c r="Q99" s="1300"/>
      <c r="R99" s="1305"/>
      <c r="S99" s="1301"/>
    </row>
    <row r="100" spans="2:19" s="449" customFormat="1" ht="13.15" customHeight="1">
      <c r="D100" s="498"/>
      <c r="E100" s="455" t="s">
        <v>2864</v>
      </c>
      <c r="H100" s="1300">
        <v>6783034100</v>
      </c>
      <c r="I100" s="1301"/>
      <c r="J100" s="1374"/>
      <c r="K100" s="836" t="s">
        <v>2658</v>
      </c>
      <c r="L100" s="1329">
        <v>6783034111</v>
      </c>
      <c r="M100" s="1342"/>
      <c r="N100" s="457" t="s">
        <v>2863</v>
      </c>
      <c r="O100" s="1379" t="s">
        <v>3991</v>
      </c>
      <c r="P100" s="1380"/>
      <c r="Q100" s="1380"/>
      <c r="R100" s="1380"/>
      <c r="S100" s="1381"/>
    </row>
    <row r="101" spans="2:19" ht="6.4" customHeight="1">
      <c r="H101" s="1378"/>
      <c r="I101" s="1378"/>
      <c r="J101" s="1378"/>
      <c r="K101" s="836"/>
      <c r="L101" s="1378"/>
      <c r="M101" s="1378"/>
      <c r="N101" s="826"/>
      <c r="O101" s="863"/>
      <c r="P101" s="863"/>
      <c r="Q101" s="836"/>
      <c r="R101" s="863"/>
      <c r="S101" s="863"/>
    </row>
    <row r="102" spans="2:19" s="449" customFormat="1" ht="13.15" customHeight="1">
      <c r="B102" s="452" t="s">
        <v>3004</v>
      </c>
      <c r="C102" s="452" t="s">
        <v>356</v>
      </c>
      <c r="H102" s="1382" t="s">
        <v>4005</v>
      </c>
      <c r="I102" s="1383"/>
      <c r="J102" s="1383"/>
      <c r="K102" s="1383"/>
      <c r="L102" s="1383"/>
      <c r="M102" s="1383"/>
      <c r="N102" s="1384"/>
      <c r="O102" s="827" t="s">
        <v>2869</v>
      </c>
      <c r="P102" s="827"/>
      <c r="Q102" s="1382" t="s">
        <v>4007</v>
      </c>
      <c r="R102" s="1383"/>
      <c r="S102" s="1384"/>
    </row>
    <row r="103" spans="2:19" s="449" customFormat="1" ht="13.15" customHeight="1">
      <c r="D103" s="498"/>
      <c r="E103" s="455" t="s">
        <v>1527</v>
      </c>
      <c r="F103" s="463"/>
      <c r="H103" s="1382" t="s">
        <v>4006</v>
      </c>
      <c r="I103" s="1383"/>
      <c r="J103" s="1383"/>
      <c r="K103" s="1383"/>
      <c r="L103" s="1383"/>
      <c r="M103" s="1383"/>
      <c r="N103" s="1384"/>
      <c r="O103" s="827" t="s">
        <v>2601</v>
      </c>
      <c r="Q103" s="1382" t="s">
        <v>4008</v>
      </c>
      <c r="R103" s="1383"/>
      <c r="S103" s="1384"/>
    </row>
    <row r="104" spans="2:19" s="449" customFormat="1" ht="13.15" customHeight="1">
      <c r="D104" s="498"/>
      <c r="E104" s="455" t="s">
        <v>876</v>
      </c>
      <c r="H104" s="1382" t="s">
        <v>1743</v>
      </c>
      <c r="I104" s="1383"/>
      <c r="J104" s="1384"/>
      <c r="K104" s="126"/>
      <c r="L104" s="126"/>
      <c r="M104" s="126"/>
      <c r="N104" s="126"/>
      <c r="O104" s="827" t="s">
        <v>2659</v>
      </c>
      <c r="Q104" s="1385">
        <v>4048737014</v>
      </c>
      <c r="R104" s="1386"/>
      <c r="S104" s="1387"/>
    </row>
    <row r="105" spans="2:19" s="449" customFormat="1" ht="13.15" customHeight="1">
      <c r="D105" s="498"/>
      <c r="E105" s="455" t="s">
        <v>2655</v>
      </c>
      <c r="H105" s="1306" t="s">
        <v>1337</v>
      </c>
      <c r="I105" s="483" t="s">
        <v>3138</v>
      </c>
      <c r="J105" s="1303">
        <v>303631031</v>
      </c>
      <c r="K105" s="1342"/>
      <c r="O105" s="827" t="s">
        <v>2858</v>
      </c>
      <c r="Q105" s="1300"/>
      <c r="R105" s="1305"/>
      <c r="S105" s="1301"/>
    </row>
    <row r="106" spans="2:19" ht="13.15" customHeight="1">
      <c r="E106" s="455" t="s">
        <v>2864</v>
      </c>
      <c r="F106" s="449"/>
      <c r="G106" s="449"/>
      <c r="H106" s="1300">
        <v>4048737014</v>
      </c>
      <c r="I106" s="1301"/>
      <c r="J106" s="1374"/>
      <c r="K106" s="836" t="s">
        <v>2658</v>
      </c>
      <c r="L106" s="1329"/>
      <c r="M106" s="1342"/>
      <c r="N106" s="457" t="s">
        <v>2863</v>
      </c>
      <c r="O106" s="1307" t="s">
        <v>4054</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89"/>
    </row>
    <row r="108" spans="2:19" ht="0.4" customHeight="1">
      <c r="E108" s="455"/>
      <c r="F108" s="449"/>
      <c r="G108" s="833"/>
      <c r="H108" s="1377"/>
      <c r="I108" s="1377"/>
      <c r="J108" s="1377"/>
      <c r="K108" s="826"/>
      <c r="L108" s="1377"/>
      <c r="M108" s="1377"/>
      <c r="N108" s="826"/>
      <c r="O108" s="863"/>
      <c r="P108" s="863"/>
      <c r="Q108" s="836"/>
      <c r="R108" s="863"/>
      <c r="S108" s="863"/>
    </row>
    <row r="109" spans="2:19" s="449" customFormat="1" ht="13.15" customHeight="1">
      <c r="B109" s="452" t="s">
        <v>2588</v>
      </c>
      <c r="C109" s="452" t="s">
        <v>357</v>
      </c>
      <c r="H109" s="1382" t="s">
        <v>4009</v>
      </c>
      <c r="I109" s="1383"/>
      <c r="J109" s="1383"/>
      <c r="K109" s="1383"/>
      <c r="L109" s="1383"/>
      <c r="M109" s="1383"/>
      <c r="N109" s="1384"/>
      <c r="O109" s="827" t="s">
        <v>2869</v>
      </c>
      <c r="P109" s="827"/>
      <c r="Q109" s="1390" t="s">
        <v>4056</v>
      </c>
      <c r="R109" s="1391"/>
      <c r="S109" s="1392"/>
    </row>
    <row r="110" spans="2:19" s="449" customFormat="1" ht="13.15" customHeight="1">
      <c r="D110" s="498"/>
      <c r="E110" s="455" t="s">
        <v>1527</v>
      </c>
      <c r="F110" s="463"/>
      <c r="H110" s="1382" t="s">
        <v>4010</v>
      </c>
      <c r="I110" s="1383"/>
      <c r="J110" s="1383"/>
      <c r="K110" s="1383"/>
      <c r="L110" s="1383"/>
      <c r="M110" s="1383"/>
      <c r="N110" s="1384"/>
      <c r="O110" s="827" t="s">
        <v>2601</v>
      </c>
      <c r="Q110" s="1390" t="s">
        <v>4057</v>
      </c>
      <c r="R110" s="1391"/>
      <c r="S110" s="1392"/>
    </row>
    <row r="111" spans="2:19" s="449" customFormat="1" ht="13.15" customHeight="1">
      <c r="D111" s="498"/>
      <c r="E111" s="455" t="s">
        <v>876</v>
      </c>
      <c r="H111" s="1382" t="s">
        <v>1743</v>
      </c>
      <c r="I111" s="1383"/>
      <c r="J111" s="1384"/>
      <c r="K111" s="126"/>
      <c r="L111" s="126"/>
      <c r="M111" s="126"/>
      <c r="N111" s="126"/>
      <c r="O111" s="827" t="s">
        <v>2659</v>
      </c>
      <c r="Q111" s="1393">
        <v>4048477774</v>
      </c>
      <c r="R111" s="1394"/>
      <c r="S111" s="1395"/>
    </row>
    <row r="112" spans="2:19" s="449" customFormat="1" ht="13.15" customHeight="1">
      <c r="D112" s="498"/>
      <c r="E112" s="455" t="s">
        <v>2655</v>
      </c>
      <c r="H112" s="1306" t="s">
        <v>1337</v>
      </c>
      <c r="I112" s="483" t="s">
        <v>3138</v>
      </c>
      <c r="J112" s="1303">
        <v>303429495</v>
      </c>
      <c r="K112" s="1342"/>
      <c r="O112" s="827" t="s">
        <v>2858</v>
      </c>
      <c r="Q112" s="1393"/>
      <c r="R112" s="1394"/>
      <c r="S112" s="1395"/>
    </row>
    <row r="113" spans="1:19" ht="13.15" customHeight="1">
      <c r="E113" s="455" t="s">
        <v>2864</v>
      </c>
      <c r="F113" s="449"/>
      <c r="G113" s="449"/>
      <c r="H113" s="1300">
        <v>4048479447</v>
      </c>
      <c r="I113" s="1301"/>
      <c r="J113" s="1374"/>
      <c r="K113" s="836" t="s">
        <v>2658</v>
      </c>
      <c r="L113" s="1329">
        <v>4048477775</v>
      </c>
      <c r="M113" s="1342"/>
      <c r="N113" s="457" t="s">
        <v>2863</v>
      </c>
      <c r="O113" s="1307" t="s">
        <v>4055</v>
      </c>
      <c r="P113" s="1308"/>
      <c r="Q113" s="1308"/>
      <c r="R113" s="1308"/>
      <c r="S113" s="1309"/>
    </row>
    <row r="114" spans="1:19" ht="6.4" customHeight="1">
      <c r="E114" s="455"/>
      <c r="F114" s="449"/>
      <c r="G114" s="833"/>
      <c r="H114" s="1378"/>
      <c r="I114" s="1378"/>
      <c r="J114" s="1378"/>
      <c r="K114" s="836"/>
      <c r="L114" s="1378"/>
      <c r="M114" s="1378"/>
      <c r="N114" s="826"/>
      <c r="O114" s="863"/>
      <c r="P114" s="863"/>
      <c r="Q114" s="836"/>
      <c r="R114" s="863"/>
      <c r="S114" s="863"/>
    </row>
    <row r="115" spans="1:19" s="449" customFormat="1" ht="13.15" customHeight="1">
      <c r="B115" s="452" t="s">
        <v>2589</v>
      </c>
      <c r="C115" s="452" t="s">
        <v>358</v>
      </c>
      <c r="H115" s="1382" t="s">
        <v>4011</v>
      </c>
      <c r="I115" s="1383"/>
      <c r="J115" s="1383"/>
      <c r="K115" s="1383"/>
      <c r="L115" s="1383"/>
      <c r="M115" s="1383"/>
      <c r="N115" s="1384"/>
      <c r="O115" s="827" t="s">
        <v>2869</v>
      </c>
      <c r="P115" s="827"/>
      <c r="Q115" s="1382" t="s">
        <v>4014</v>
      </c>
      <c r="R115" s="1383"/>
      <c r="S115" s="1384"/>
    </row>
    <row r="116" spans="1:19" s="449" customFormat="1" ht="13.15" customHeight="1">
      <c r="D116" s="498"/>
      <c r="E116" s="455" t="s">
        <v>1527</v>
      </c>
      <c r="F116" s="463"/>
      <c r="H116" s="1382" t="s">
        <v>4012</v>
      </c>
      <c r="I116" s="1383"/>
      <c r="J116" s="1383"/>
      <c r="K116" s="1383"/>
      <c r="L116" s="1383"/>
      <c r="M116" s="1383"/>
      <c r="N116" s="1384"/>
      <c r="O116" s="827" t="s">
        <v>2601</v>
      </c>
      <c r="Q116" s="1382" t="s">
        <v>4003</v>
      </c>
      <c r="R116" s="1383"/>
      <c r="S116" s="1384"/>
    </row>
    <row r="117" spans="1:19" s="449" customFormat="1" ht="13.15" customHeight="1">
      <c r="D117" s="498"/>
      <c r="E117" s="455" t="s">
        <v>876</v>
      </c>
      <c r="H117" s="1382" t="s">
        <v>4013</v>
      </c>
      <c r="I117" s="1383"/>
      <c r="J117" s="1384"/>
      <c r="K117" s="126"/>
      <c r="L117" s="126"/>
      <c r="M117" s="126"/>
      <c r="N117" s="126"/>
      <c r="O117" s="827" t="s">
        <v>2659</v>
      </c>
      <c r="Q117" s="1300"/>
      <c r="R117" s="1305"/>
      <c r="S117" s="1301"/>
    </row>
    <row r="118" spans="1:19" s="449" customFormat="1" ht="13.15" customHeight="1">
      <c r="D118" s="503"/>
      <c r="E118" s="455" t="s">
        <v>2655</v>
      </c>
      <c r="H118" s="1306" t="s">
        <v>1927</v>
      </c>
      <c r="I118" s="483" t="s">
        <v>3138</v>
      </c>
      <c r="J118" s="1303">
        <v>760215987</v>
      </c>
      <c r="K118" s="1342"/>
      <c r="O118" s="827" t="s">
        <v>2858</v>
      </c>
      <c r="Q118" s="1300"/>
      <c r="R118" s="1305"/>
      <c r="S118" s="1301"/>
    </row>
    <row r="119" spans="1:19" s="449" customFormat="1" ht="13.15" customHeight="1">
      <c r="D119" s="503"/>
      <c r="E119" s="455" t="s">
        <v>2864</v>
      </c>
      <c r="H119" s="1385">
        <v>8175140584</v>
      </c>
      <c r="I119" s="1387"/>
      <c r="J119" s="1374">
        <v>304</v>
      </c>
      <c r="K119" s="836" t="s">
        <v>2658</v>
      </c>
      <c r="L119" s="1396">
        <v>8175140694</v>
      </c>
      <c r="M119" s="1384"/>
      <c r="N119" s="457" t="s">
        <v>2863</v>
      </c>
      <c r="O119" s="1379" t="s">
        <v>4015</v>
      </c>
      <c r="P119" s="1380"/>
      <c r="Q119" s="1380"/>
      <c r="R119" s="1380"/>
      <c r="S119" s="1381"/>
    </row>
    <row r="120" spans="1:19" ht="13.15" customHeight="1"/>
    <row r="121" spans="1:19" s="449" customFormat="1" ht="13.15" customHeight="1">
      <c r="A121" s="452" t="s">
        <v>2648</v>
      </c>
      <c r="B121" s="452" t="s">
        <v>3643</v>
      </c>
      <c r="F121" s="452"/>
      <c r="G121" s="836"/>
      <c r="H121" s="836"/>
      <c r="I121" s="836"/>
      <c r="J121" s="836"/>
      <c r="K121" s="836"/>
      <c r="L121" s="836"/>
      <c r="M121" s="836"/>
      <c r="N121" s="836"/>
      <c r="O121" s="836"/>
      <c r="P121" s="836"/>
      <c r="Q121" s="828"/>
    </row>
    <row r="122" spans="1:19" s="449" customFormat="1" ht="6.4" customHeight="1">
      <c r="A122" s="452"/>
      <c r="B122" s="452"/>
      <c r="F122" s="452"/>
      <c r="G122" s="836"/>
      <c r="H122" s="836"/>
      <c r="I122" s="836"/>
      <c r="J122" s="836"/>
      <c r="K122" s="836"/>
      <c r="L122" s="836"/>
      <c r="M122" s="836"/>
      <c r="N122" s="836"/>
      <c r="O122" s="836"/>
      <c r="P122" s="836"/>
      <c r="Q122" s="828"/>
    </row>
    <row r="123" spans="1:19" s="449" customFormat="1" ht="21.4" customHeight="1">
      <c r="A123" s="918" t="s">
        <v>899</v>
      </c>
      <c r="B123" s="1397"/>
      <c r="C123" s="1397"/>
      <c r="D123" s="1398"/>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4" customHeight="1">
      <c r="A124" s="1399"/>
      <c r="B124" s="1400"/>
      <c r="C124" s="1400"/>
      <c r="D124" s="1401"/>
      <c r="E124" s="920"/>
      <c r="F124" s="923"/>
      <c r="G124" s="929"/>
      <c r="H124" s="930"/>
      <c r="I124" s="931"/>
      <c r="J124" s="936"/>
      <c r="K124" s="937"/>
      <c r="L124" s="929"/>
      <c r="M124" s="941"/>
      <c r="N124" s="929"/>
      <c r="O124" s="931"/>
      <c r="P124" s="929"/>
      <c r="Q124" s="931"/>
      <c r="R124" s="929"/>
      <c r="S124" s="946"/>
    </row>
    <row r="125" spans="1:19" s="449" customFormat="1" ht="21.4" customHeight="1">
      <c r="A125" s="1399"/>
      <c r="B125" s="1400"/>
      <c r="C125" s="1400"/>
      <c r="D125" s="1401"/>
      <c r="E125" s="920"/>
      <c r="F125" s="924"/>
      <c r="G125" s="929"/>
      <c r="H125" s="930"/>
      <c r="I125" s="931"/>
      <c r="J125" s="936"/>
      <c r="K125" s="937"/>
      <c r="L125" s="942"/>
      <c r="M125" s="941"/>
      <c r="N125" s="929"/>
      <c r="O125" s="931"/>
      <c r="P125" s="929"/>
      <c r="Q125" s="931"/>
      <c r="R125" s="947"/>
      <c r="S125" s="946"/>
    </row>
    <row r="126" spans="1:19" s="449" customFormat="1" ht="21.4" customHeight="1">
      <c r="A126" s="1399"/>
      <c r="B126" s="1400"/>
      <c r="C126" s="1400"/>
      <c r="D126" s="1401"/>
      <c r="E126" s="920"/>
      <c r="F126" s="924"/>
      <c r="G126" s="929"/>
      <c r="H126" s="930"/>
      <c r="I126" s="931"/>
      <c r="J126" s="936"/>
      <c r="K126" s="937"/>
      <c r="L126" s="942"/>
      <c r="M126" s="941"/>
      <c r="N126" s="929"/>
      <c r="O126" s="931"/>
      <c r="P126" s="929"/>
      <c r="Q126" s="931"/>
      <c r="R126" s="947"/>
      <c r="S126" s="946"/>
    </row>
    <row r="127" spans="1:19" s="449" customFormat="1" ht="21.4" customHeight="1">
      <c r="A127" s="1402"/>
      <c r="B127" s="1403"/>
      <c r="C127" s="1403"/>
      <c r="D127" s="1404"/>
      <c r="E127" s="921"/>
      <c r="F127" s="925"/>
      <c r="G127" s="932"/>
      <c r="H127" s="933"/>
      <c r="I127" s="934"/>
      <c r="J127" s="938"/>
      <c r="K127" s="939"/>
      <c r="L127" s="943"/>
      <c r="M127" s="944"/>
      <c r="N127" s="932"/>
      <c r="O127" s="934"/>
      <c r="P127" s="932"/>
      <c r="Q127" s="934"/>
      <c r="R127" s="948"/>
      <c r="S127" s="949"/>
    </row>
    <row r="128" spans="1:19" s="449" customFormat="1" ht="13.9" customHeight="1">
      <c r="A128" s="834" t="s">
        <v>3300</v>
      </c>
      <c r="B128" s="835"/>
      <c r="C128" s="835"/>
      <c r="D128" s="841"/>
      <c r="E128" s="1405" t="s">
        <v>3984</v>
      </c>
      <c r="F128" s="1405" t="s">
        <v>3984</v>
      </c>
      <c r="G128" s="1406" t="s">
        <v>3984</v>
      </c>
      <c r="H128" s="1407"/>
      <c r="I128" s="1408"/>
      <c r="J128" s="1406" t="s">
        <v>3976</v>
      </c>
      <c r="K128" s="1408"/>
      <c r="L128" s="1406" t="s">
        <v>3984</v>
      </c>
      <c r="M128" s="1408"/>
      <c r="N128" s="1406" t="s">
        <v>3984</v>
      </c>
      <c r="O128" s="1408"/>
      <c r="P128" s="1409" t="s">
        <v>4021</v>
      </c>
      <c r="Q128" s="1410"/>
      <c r="R128" s="1411">
        <v>1E-4</v>
      </c>
      <c r="S128" s="1412"/>
    </row>
    <row r="129" spans="1:19" s="449" customFormat="1" ht="13.9" customHeight="1">
      <c r="A129" s="832" t="s">
        <v>3290</v>
      </c>
      <c r="B129" s="833"/>
      <c r="C129" s="833"/>
      <c r="D129" s="839"/>
      <c r="E129" s="1413"/>
      <c r="F129" s="1413"/>
      <c r="G129" s="1414"/>
      <c r="H129" s="1415"/>
      <c r="I129" s="1416"/>
      <c r="J129" s="1414"/>
      <c r="K129" s="1416"/>
      <c r="L129" s="1414"/>
      <c r="M129" s="1416"/>
      <c r="N129" s="1414"/>
      <c r="O129" s="1416"/>
      <c r="P129" s="1417"/>
      <c r="Q129" s="1418"/>
      <c r="R129" s="1419"/>
      <c r="S129" s="1420"/>
    </row>
    <row r="130" spans="1:19" s="449" customFormat="1" ht="13.9" customHeight="1">
      <c r="A130" s="832" t="s">
        <v>3291</v>
      </c>
      <c r="B130" s="833"/>
      <c r="C130" s="833"/>
      <c r="D130" s="839"/>
      <c r="E130" s="1413"/>
      <c r="F130" s="1413"/>
      <c r="G130" s="1414"/>
      <c r="H130" s="1415"/>
      <c r="I130" s="1416"/>
      <c r="J130" s="1414"/>
      <c r="K130" s="1416"/>
      <c r="L130" s="1414"/>
      <c r="M130" s="1416"/>
      <c r="N130" s="1414"/>
      <c r="O130" s="1416"/>
      <c r="P130" s="1417"/>
      <c r="Q130" s="1418"/>
      <c r="R130" s="1419"/>
      <c r="S130" s="1420"/>
    </row>
    <row r="131" spans="1:19" s="449" customFormat="1" ht="13.9" customHeight="1">
      <c r="A131" s="832" t="s">
        <v>3292</v>
      </c>
      <c r="B131" s="833"/>
      <c r="C131" s="833"/>
      <c r="D131" s="839"/>
      <c r="E131" s="1413" t="s">
        <v>3984</v>
      </c>
      <c r="F131" s="1413" t="s">
        <v>3984</v>
      </c>
      <c r="G131" s="1414" t="s">
        <v>3984</v>
      </c>
      <c r="H131" s="1415"/>
      <c r="I131" s="1416"/>
      <c r="J131" s="1414" t="s">
        <v>3976</v>
      </c>
      <c r="K131" s="1416"/>
      <c r="L131" s="1414" t="s">
        <v>3984</v>
      </c>
      <c r="M131" s="1416"/>
      <c r="N131" s="1414" t="s">
        <v>3984</v>
      </c>
      <c r="O131" s="1416"/>
      <c r="P131" s="1417" t="s">
        <v>4021</v>
      </c>
      <c r="Q131" s="1418"/>
      <c r="R131" s="1419">
        <v>0.9899</v>
      </c>
      <c r="S131" s="1420"/>
    </row>
    <row r="132" spans="1:19" s="449" customFormat="1" ht="13.9" customHeight="1">
      <c r="A132" s="832" t="s">
        <v>3293</v>
      </c>
      <c r="B132" s="833"/>
      <c r="C132" s="833"/>
      <c r="D132" s="839"/>
      <c r="E132" s="1413" t="s">
        <v>3984</v>
      </c>
      <c r="F132" s="1413" t="s">
        <v>3984</v>
      </c>
      <c r="G132" s="1414" t="s">
        <v>3984</v>
      </c>
      <c r="H132" s="1415"/>
      <c r="I132" s="1416"/>
      <c r="J132" s="1414" t="s">
        <v>3976</v>
      </c>
      <c r="K132" s="1416"/>
      <c r="L132" s="1414" t="s">
        <v>3984</v>
      </c>
      <c r="M132" s="1416"/>
      <c r="N132" s="1414" t="s">
        <v>3984</v>
      </c>
      <c r="O132" s="1416"/>
      <c r="P132" s="1417" t="s">
        <v>4021</v>
      </c>
      <c r="Q132" s="1418"/>
      <c r="R132" s="1419">
        <v>0.01</v>
      </c>
      <c r="S132" s="1420"/>
    </row>
    <row r="133" spans="1:19" s="449" customFormat="1" ht="13.9" customHeight="1">
      <c r="A133" s="832" t="s">
        <v>3294</v>
      </c>
      <c r="B133" s="833"/>
      <c r="C133" s="833"/>
      <c r="D133" s="839"/>
      <c r="E133" s="1413"/>
      <c r="F133" s="1413"/>
      <c r="G133" s="1414"/>
      <c r="H133" s="1415"/>
      <c r="I133" s="1416"/>
      <c r="J133" s="1414"/>
      <c r="K133" s="1416"/>
      <c r="L133" s="1414"/>
      <c r="M133" s="1416"/>
      <c r="N133" s="1414"/>
      <c r="O133" s="1416"/>
      <c r="P133" s="1417"/>
      <c r="Q133" s="1418"/>
      <c r="R133" s="1419"/>
      <c r="S133" s="1420"/>
    </row>
    <row r="134" spans="1:19" s="449" customFormat="1" ht="13.9" customHeight="1">
      <c r="A134" s="832" t="s">
        <v>918</v>
      </c>
      <c r="B134" s="833"/>
      <c r="C134" s="833"/>
      <c r="D134" s="839"/>
      <c r="E134" s="1413"/>
      <c r="F134" s="1413"/>
      <c r="G134" s="1414"/>
      <c r="H134" s="1415"/>
      <c r="I134" s="1416"/>
      <c r="J134" s="1414"/>
      <c r="K134" s="1416"/>
      <c r="L134" s="1414"/>
      <c r="M134" s="1416"/>
      <c r="N134" s="1414"/>
      <c r="O134" s="1416"/>
      <c r="P134" s="1417"/>
      <c r="Q134" s="1418"/>
      <c r="R134" s="1419"/>
      <c r="S134" s="1420"/>
    </row>
    <row r="135" spans="1:19" s="449" customFormat="1" ht="13.9" customHeight="1">
      <c r="A135" s="832" t="s">
        <v>3295</v>
      </c>
      <c r="B135" s="833"/>
      <c r="C135" s="833"/>
      <c r="D135" s="839"/>
      <c r="E135" s="1413" t="s">
        <v>3984</v>
      </c>
      <c r="F135" s="1413" t="s">
        <v>3984</v>
      </c>
      <c r="G135" s="1414" t="s">
        <v>3984</v>
      </c>
      <c r="H135" s="1415"/>
      <c r="I135" s="1416"/>
      <c r="J135" s="1414" t="s">
        <v>3976</v>
      </c>
      <c r="K135" s="1416"/>
      <c r="L135" s="1414" t="s">
        <v>3984</v>
      </c>
      <c r="M135" s="1416"/>
      <c r="N135" s="1414" t="s">
        <v>3984</v>
      </c>
      <c r="O135" s="1416"/>
      <c r="P135" s="1417" t="s">
        <v>4021</v>
      </c>
      <c r="Q135" s="1418"/>
      <c r="R135" s="1419">
        <v>0</v>
      </c>
      <c r="S135" s="1420"/>
    </row>
    <row r="136" spans="1:19" s="449" customFormat="1" ht="13.9" customHeight="1">
      <c r="A136" s="832" t="s">
        <v>3296</v>
      </c>
      <c r="B136" s="833"/>
      <c r="C136" s="833"/>
      <c r="D136" s="839"/>
      <c r="E136" s="1413" t="s">
        <v>3984</v>
      </c>
      <c r="F136" s="1413" t="s">
        <v>3984</v>
      </c>
      <c r="G136" s="1414" t="s">
        <v>3984</v>
      </c>
      <c r="H136" s="1415"/>
      <c r="I136" s="1416"/>
      <c r="J136" s="1414" t="s">
        <v>3976</v>
      </c>
      <c r="K136" s="1416"/>
      <c r="L136" s="1414" t="s">
        <v>3984</v>
      </c>
      <c r="M136" s="1416"/>
      <c r="N136" s="1414" t="s">
        <v>3984</v>
      </c>
      <c r="O136" s="1416"/>
      <c r="P136" s="1417" t="s">
        <v>3639</v>
      </c>
      <c r="Q136" s="1418"/>
      <c r="R136" s="1419">
        <v>0</v>
      </c>
      <c r="S136" s="1420"/>
    </row>
    <row r="137" spans="1:19" s="449" customFormat="1" ht="13.9" customHeight="1">
      <c r="A137" s="832" t="s">
        <v>3297</v>
      </c>
      <c r="B137" s="833"/>
      <c r="C137" s="833"/>
      <c r="D137" s="839"/>
      <c r="E137" s="1413"/>
      <c r="F137" s="1413"/>
      <c r="G137" s="1414"/>
      <c r="H137" s="1415"/>
      <c r="I137" s="1416"/>
      <c r="J137" s="1414"/>
      <c r="K137" s="1416"/>
      <c r="L137" s="1414"/>
      <c r="M137" s="1416"/>
      <c r="N137" s="1414"/>
      <c r="O137" s="1416"/>
      <c r="P137" s="1417"/>
      <c r="Q137" s="1418"/>
      <c r="R137" s="1419"/>
      <c r="S137" s="1420"/>
    </row>
    <row r="138" spans="1:19" s="449" customFormat="1" ht="13.9" customHeight="1">
      <c r="A138" s="832" t="s">
        <v>3298</v>
      </c>
      <c r="B138" s="833"/>
      <c r="C138" s="833"/>
      <c r="D138" s="839"/>
      <c r="E138" s="1413"/>
      <c r="F138" s="1413"/>
      <c r="G138" s="1414"/>
      <c r="H138" s="1415"/>
      <c r="I138" s="1416"/>
      <c r="J138" s="1414"/>
      <c r="K138" s="1416"/>
      <c r="L138" s="1414"/>
      <c r="M138" s="1416"/>
      <c r="N138" s="1414"/>
      <c r="O138" s="1416"/>
      <c r="P138" s="1417"/>
      <c r="Q138" s="1418"/>
      <c r="R138" s="1419"/>
      <c r="S138" s="1420"/>
    </row>
    <row r="139" spans="1:19" s="449" customFormat="1" ht="13.9" customHeight="1">
      <c r="A139" s="832" t="s">
        <v>2130</v>
      </c>
      <c r="B139" s="833"/>
      <c r="C139" s="833"/>
      <c r="D139" s="839"/>
      <c r="E139" s="1413" t="s">
        <v>3984</v>
      </c>
      <c r="F139" s="1413" t="s">
        <v>3984</v>
      </c>
      <c r="G139" s="1414" t="s">
        <v>3984</v>
      </c>
      <c r="H139" s="1415"/>
      <c r="I139" s="1416"/>
      <c r="J139" s="1414" t="s">
        <v>3976</v>
      </c>
      <c r="K139" s="1416"/>
      <c r="L139" s="1414" t="s">
        <v>3984</v>
      </c>
      <c r="M139" s="1416"/>
      <c r="N139" s="1414" t="s">
        <v>3984</v>
      </c>
      <c r="O139" s="1416"/>
      <c r="P139" s="1417" t="s">
        <v>4021</v>
      </c>
      <c r="Q139" s="1418"/>
      <c r="R139" s="1419">
        <v>0</v>
      </c>
      <c r="S139" s="1420"/>
    </row>
    <row r="140" spans="1:19" s="449" customFormat="1" ht="13.9" customHeight="1">
      <c r="A140" s="837" t="s">
        <v>3299</v>
      </c>
      <c r="B140" s="838"/>
      <c r="C140" s="838"/>
      <c r="D140" s="504"/>
      <c r="E140" s="1421" t="s">
        <v>3984</v>
      </c>
      <c r="F140" s="1421" t="s">
        <v>3984</v>
      </c>
      <c r="G140" s="1422" t="s">
        <v>3984</v>
      </c>
      <c r="H140" s="1423"/>
      <c r="I140" s="1424"/>
      <c r="J140" s="1422" t="s">
        <v>3976</v>
      </c>
      <c r="K140" s="1424"/>
      <c r="L140" s="1422" t="s">
        <v>3984</v>
      </c>
      <c r="M140" s="1424"/>
      <c r="N140" s="1422" t="s">
        <v>3984</v>
      </c>
      <c r="O140" s="1424"/>
      <c r="P140" s="1425" t="s">
        <v>4021</v>
      </c>
      <c r="Q140" s="1426"/>
      <c r="R140" s="1427">
        <v>0</v>
      </c>
      <c r="S140" s="142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2650</v>
      </c>
      <c r="B143" s="496"/>
      <c r="C143" s="481" t="s">
        <v>815</v>
      </c>
      <c r="N143" s="481" t="s">
        <v>765</v>
      </c>
      <c r="O143" s="481" t="s">
        <v>85</v>
      </c>
    </row>
    <row r="144" spans="1:19" ht="3.4" customHeight="1">
      <c r="B144" s="496"/>
    </row>
    <row r="145" spans="1:24" ht="99" customHeight="1">
      <c r="A145" s="1363" t="s">
        <v>4058</v>
      </c>
      <c r="B145" s="1364"/>
      <c r="C145" s="1364"/>
      <c r="D145" s="1364"/>
      <c r="E145" s="1364"/>
      <c r="F145" s="1364"/>
      <c r="G145" s="1364"/>
      <c r="H145" s="1364"/>
      <c r="I145" s="1364"/>
      <c r="J145" s="1364"/>
      <c r="K145" s="1364"/>
      <c r="L145" s="1364"/>
      <c r="M145" s="1365"/>
      <c r="N145" s="1366"/>
      <c r="O145" s="1367"/>
      <c r="P145" s="1367"/>
      <c r="Q145" s="1367"/>
      <c r="R145" s="1367"/>
      <c r="S145" s="1368"/>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25" right="0.25" top="0.55000000000000004" bottom="0.38" header="0.25" footer="0.19"/>
  <pageSetup fitToHeight="0" orientation="landscape" r:id="rId3"/>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3" manualBreakCount="3">
    <brk id="47" max="16383" man="1"/>
    <brk id="81" max="16383" man="1"/>
    <brk id="120" max="16383"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8"/>
  <sheetViews>
    <sheetView showGridLines="0" zoomScale="70" zoomScaleNormal="70" zoomScaleSheetLayoutView="90" zoomScalePageLayoutView="15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42578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2012-018 Poplar Pointe, Hiram, Paulding County</v>
      </c>
      <c r="B1" s="916"/>
      <c r="C1" s="916"/>
      <c r="D1" s="916"/>
      <c r="E1" s="916"/>
      <c r="F1" s="916"/>
      <c r="G1" s="916"/>
      <c r="H1" s="916"/>
      <c r="I1" s="916"/>
      <c r="J1" s="916"/>
      <c r="K1" s="916"/>
      <c r="L1" s="916"/>
      <c r="M1" s="916"/>
      <c r="N1" s="916"/>
      <c r="O1" s="916"/>
      <c r="P1" s="916"/>
      <c r="Q1" s="917"/>
      <c r="S1" s="988" t="str">
        <f>$A$1</f>
        <v>PART THREE - SOURCES OF FUNDS  -  2012-018 Poplar Pointe, Hiram, Paulding County</v>
      </c>
      <c r="T1" s="988"/>
    </row>
    <row r="2" spans="1:20" ht="17.649999999999999"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3865</v>
      </c>
      <c r="T4" s="976"/>
    </row>
    <row r="5" spans="1:20" s="397" customFormat="1" ht="16.899999999999999" customHeight="1">
      <c r="A5" s="844"/>
      <c r="B5" s="1306" t="s">
        <v>3976</v>
      </c>
      <c r="C5" s="827" t="s">
        <v>3392</v>
      </c>
      <c r="D5" s="449"/>
      <c r="E5" s="1306"/>
      <c r="F5" s="829" t="s">
        <v>2494</v>
      </c>
      <c r="G5" s="449"/>
      <c r="J5" s="1430"/>
      <c r="K5" s="1431"/>
      <c r="M5" s="1306"/>
      <c r="N5" s="827" t="s">
        <v>786</v>
      </c>
      <c r="P5" s="1306"/>
      <c r="Q5" s="990" t="s">
        <v>3655</v>
      </c>
      <c r="S5" s="1432"/>
      <c r="T5" s="1433"/>
    </row>
    <row r="6" spans="1:20" s="397" customFormat="1" ht="16.899999999999999" customHeight="1">
      <c r="A6" s="844"/>
      <c r="B6" s="1306"/>
      <c r="C6" s="827" t="s">
        <v>2660</v>
      </c>
      <c r="D6" s="449"/>
      <c r="E6" s="1306"/>
      <c r="F6" s="829" t="s">
        <v>3099</v>
      </c>
      <c r="H6" s="1306"/>
      <c r="I6" s="833" t="s">
        <v>787</v>
      </c>
      <c r="J6" s="1306"/>
      <c r="K6" s="833" t="s">
        <v>2140</v>
      </c>
      <c r="M6" s="1306"/>
      <c r="N6" s="829" t="s">
        <v>785</v>
      </c>
      <c r="Q6" s="990"/>
      <c r="S6" s="1434"/>
      <c r="T6" s="1435"/>
    </row>
    <row r="7" spans="1:20" s="397" customFormat="1" ht="16.899999999999999" customHeight="1">
      <c r="A7" s="449"/>
      <c r="B7" s="1306"/>
      <c r="C7" s="827" t="s">
        <v>2661</v>
      </c>
      <c r="E7" s="1306"/>
      <c r="F7" s="829" t="s">
        <v>3098</v>
      </c>
      <c r="G7" s="449"/>
      <c r="H7" s="1306"/>
      <c r="I7" s="989" t="s">
        <v>3653</v>
      </c>
      <c r="J7" s="1306"/>
      <c r="K7" s="990" t="s">
        <v>3652</v>
      </c>
      <c r="L7" s="991"/>
      <c r="M7" s="1306"/>
      <c r="N7" s="455" t="s">
        <v>3654</v>
      </c>
      <c r="Q7" s="992"/>
      <c r="S7" s="1434"/>
      <c r="T7" s="1435"/>
    </row>
    <row r="8" spans="1:20" s="397" customFormat="1" ht="16.899999999999999" customHeight="1">
      <c r="A8" s="844"/>
      <c r="B8" s="1306"/>
      <c r="C8" s="833" t="s">
        <v>3640</v>
      </c>
      <c r="D8" s="449"/>
      <c r="E8" s="1306"/>
      <c r="F8" s="477" t="s">
        <v>3641</v>
      </c>
      <c r="I8" s="989"/>
      <c r="K8" s="990"/>
      <c r="L8" s="991"/>
      <c r="M8" s="1306"/>
      <c r="N8" s="1292" t="s">
        <v>3024</v>
      </c>
      <c r="O8" s="1293"/>
      <c r="P8" s="1293"/>
      <c r="Q8" s="1294"/>
      <c r="S8" s="1436"/>
      <c r="T8" s="143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649999999999999" customHeight="1">
      <c r="A10" s="844"/>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2743</v>
      </c>
      <c r="C13" s="449"/>
      <c r="D13" s="449"/>
      <c r="E13" s="449"/>
      <c r="F13" s="449"/>
      <c r="G13" s="449"/>
      <c r="H13" s="964" t="s">
        <v>1864</v>
      </c>
      <c r="I13" s="964"/>
      <c r="J13" s="964"/>
      <c r="K13" s="964"/>
      <c r="L13" s="896" t="s">
        <v>2870</v>
      </c>
      <c r="M13" s="896"/>
      <c r="N13" s="896" t="s">
        <v>2108</v>
      </c>
      <c r="O13" s="896"/>
      <c r="P13" s="896" t="s">
        <v>2381</v>
      </c>
      <c r="Q13" s="896"/>
      <c r="S13" s="976" t="s">
        <v>3865</v>
      </c>
      <c r="T13" s="976"/>
    </row>
    <row r="14" spans="1:20" s="397" customFormat="1" ht="16.899999999999999" customHeight="1">
      <c r="A14" s="449"/>
      <c r="B14" s="959" t="s">
        <v>2195</v>
      </c>
      <c r="C14" s="960"/>
      <c r="D14" s="960"/>
      <c r="E14" s="835"/>
      <c r="F14" s="835"/>
      <c r="G14" s="835"/>
      <c r="H14" s="1292" t="s">
        <v>4016</v>
      </c>
      <c r="I14" s="1293"/>
      <c r="J14" s="1293"/>
      <c r="K14" s="1294"/>
      <c r="L14" s="1438">
        <v>3100000</v>
      </c>
      <c r="M14" s="1439"/>
      <c r="N14" s="1440">
        <v>0.04</v>
      </c>
      <c r="O14" s="1441"/>
      <c r="P14" s="1442">
        <v>30</v>
      </c>
      <c r="Q14" s="1443"/>
      <c r="S14" s="1432"/>
      <c r="T14" s="1433"/>
    </row>
    <row r="15" spans="1:20" s="397" customFormat="1" ht="16.899999999999999" customHeight="1">
      <c r="A15" s="449"/>
      <c r="B15" s="957" t="s">
        <v>2196</v>
      </c>
      <c r="C15" s="958"/>
      <c r="D15" s="958"/>
      <c r="E15" s="833"/>
      <c r="F15" s="833"/>
      <c r="G15" s="833"/>
      <c r="H15" s="1292"/>
      <c r="I15" s="1293"/>
      <c r="J15" s="1293"/>
      <c r="K15" s="1294"/>
      <c r="L15" s="1438"/>
      <c r="M15" s="1439"/>
      <c r="N15" s="1440"/>
      <c r="O15" s="1441"/>
      <c r="P15" s="1444"/>
      <c r="Q15" s="1445"/>
      <c r="S15" s="1434"/>
      <c r="T15" s="1435"/>
    </row>
    <row r="16" spans="1:20" s="397" customFormat="1" ht="16.899999999999999" customHeight="1">
      <c r="A16" s="449"/>
      <c r="B16" s="985" t="s">
        <v>2197</v>
      </c>
      <c r="C16" s="986"/>
      <c r="D16" s="986"/>
      <c r="E16" s="838"/>
      <c r="F16" s="838"/>
      <c r="G16" s="838"/>
      <c r="H16" s="1292"/>
      <c r="I16" s="1293"/>
      <c r="J16" s="1293"/>
      <c r="K16" s="1294"/>
      <c r="L16" s="1438"/>
      <c r="M16" s="1439"/>
      <c r="N16" s="1440"/>
      <c r="O16" s="1441"/>
      <c r="P16" s="1444"/>
      <c r="Q16" s="1445"/>
      <c r="S16" s="1434"/>
      <c r="T16" s="1435"/>
    </row>
    <row r="17" spans="1:20" s="397" customFormat="1" ht="16.899999999999999" customHeight="1">
      <c r="A17" s="449"/>
      <c r="B17" s="959" t="s">
        <v>3118</v>
      </c>
      <c r="C17" s="960"/>
      <c r="D17" s="960"/>
      <c r="E17" s="833"/>
      <c r="F17" s="833"/>
      <c r="G17" s="833"/>
      <c r="H17" s="1292"/>
      <c r="I17" s="1293"/>
      <c r="J17" s="1293"/>
      <c r="K17" s="1294"/>
      <c r="L17" s="1438"/>
      <c r="M17" s="1439"/>
      <c r="N17" s="970"/>
      <c r="O17" s="971"/>
      <c r="P17" s="969"/>
      <c r="Q17" s="969"/>
      <c r="S17" s="1434"/>
      <c r="T17" s="1435"/>
    </row>
    <row r="18" spans="1:20" s="397" customFormat="1" ht="16.899999999999999" customHeight="1">
      <c r="A18" s="449"/>
      <c r="B18" s="957" t="s">
        <v>1287</v>
      </c>
      <c r="C18" s="958"/>
      <c r="D18" s="958"/>
      <c r="E18" s="833"/>
      <c r="H18" s="1292"/>
      <c r="I18" s="1293"/>
      <c r="J18" s="1293"/>
      <c r="K18" s="1294"/>
      <c r="L18" s="1438"/>
      <c r="M18" s="1439"/>
      <c r="N18" s="970"/>
      <c r="O18" s="971"/>
      <c r="P18" s="969"/>
      <c r="Q18" s="969"/>
      <c r="S18" s="1434"/>
      <c r="T18" s="1435"/>
    </row>
    <row r="19" spans="1:20" s="397" customFormat="1" ht="16.899999999999999" customHeight="1">
      <c r="A19" s="449"/>
      <c r="B19" s="957" t="s">
        <v>900</v>
      </c>
      <c r="C19" s="958"/>
      <c r="D19" s="958"/>
      <c r="E19" s="833"/>
      <c r="H19" s="1292"/>
      <c r="I19" s="1293"/>
      <c r="J19" s="1293"/>
      <c r="K19" s="1294"/>
      <c r="L19" s="1438"/>
      <c r="M19" s="1439"/>
      <c r="N19" s="970"/>
      <c r="O19" s="971"/>
      <c r="P19" s="969"/>
      <c r="Q19" s="969"/>
      <c r="S19" s="1434"/>
      <c r="T19" s="1435"/>
    </row>
    <row r="20" spans="1:20" s="397" customFormat="1" ht="16.899999999999999" customHeight="1">
      <c r="A20" s="449"/>
      <c r="B20" s="957" t="s">
        <v>1288</v>
      </c>
      <c r="C20" s="958"/>
      <c r="D20" s="958"/>
      <c r="E20" s="833"/>
      <c r="H20" s="1292" t="s">
        <v>4034</v>
      </c>
      <c r="I20" s="1293"/>
      <c r="J20" s="1293"/>
      <c r="K20" s="1294"/>
      <c r="L20" s="1438">
        <v>4796380</v>
      </c>
      <c r="M20" s="1439"/>
      <c r="N20" s="449"/>
      <c r="O20" s="449"/>
      <c r="P20" s="449"/>
      <c r="Q20" s="449"/>
      <c r="S20" s="1436"/>
      <c r="T20" s="1437"/>
    </row>
    <row r="21" spans="1:20" s="397" customFormat="1" ht="16.899999999999999" customHeight="1">
      <c r="A21" s="449"/>
      <c r="B21" s="957" t="s">
        <v>1289</v>
      </c>
      <c r="C21" s="958"/>
      <c r="D21" s="958"/>
      <c r="E21" s="833"/>
      <c r="H21" s="1292" t="s">
        <v>4033</v>
      </c>
      <c r="I21" s="1293"/>
      <c r="J21" s="1293"/>
      <c r="K21" s="1294"/>
      <c r="L21" s="1438">
        <f>0.24*10*800000</f>
        <v>1920000</v>
      </c>
      <c r="M21" s="1439"/>
      <c r="N21" s="449"/>
      <c r="O21" s="449"/>
      <c r="P21" s="449"/>
      <c r="Q21" s="449"/>
      <c r="S21" s="1432"/>
      <c r="T21" s="1433"/>
    </row>
    <row r="22" spans="1:20" s="397" customFormat="1" ht="16.899999999999999" customHeight="1">
      <c r="A22" s="449"/>
      <c r="B22" s="832" t="s">
        <v>289</v>
      </c>
      <c r="C22" s="833"/>
      <c r="D22" s="1446"/>
      <c r="E22" s="1446"/>
      <c r="F22" s="1446"/>
      <c r="G22" s="1446"/>
      <c r="H22" s="1292"/>
      <c r="I22" s="1293"/>
      <c r="J22" s="1293"/>
      <c r="K22" s="1294"/>
      <c r="L22" s="1438"/>
      <c r="M22" s="1439"/>
      <c r="N22" s="449"/>
      <c r="O22" s="449"/>
      <c r="P22" s="449"/>
      <c r="Q22" s="449"/>
      <c r="S22" s="1434"/>
      <c r="T22" s="1435"/>
    </row>
    <row r="23" spans="1:20" s="397" customFormat="1" ht="16.899999999999999" customHeight="1">
      <c r="A23" s="449"/>
      <c r="B23" s="832" t="s">
        <v>289</v>
      </c>
      <c r="C23" s="833"/>
      <c r="D23" s="1446"/>
      <c r="E23" s="1446"/>
      <c r="F23" s="1446"/>
      <c r="G23" s="1446"/>
      <c r="H23" s="1292"/>
      <c r="I23" s="1293"/>
      <c r="J23" s="1293"/>
      <c r="K23" s="1294"/>
      <c r="L23" s="1438"/>
      <c r="M23" s="1439"/>
      <c r="N23" s="449"/>
      <c r="O23" s="449"/>
      <c r="P23" s="449"/>
      <c r="Q23" s="449"/>
      <c r="S23" s="1434"/>
      <c r="T23" s="1435"/>
    </row>
    <row r="24" spans="1:20" s="397" customFormat="1" ht="16.899999999999999" customHeight="1">
      <c r="A24" s="449"/>
      <c r="B24" s="837" t="s">
        <v>289</v>
      </c>
      <c r="C24" s="838"/>
      <c r="D24" s="1446"/>
      <c r="E24" s="1446"/>
      <c r="F24" s="1446"/>
      <c r="G24" s="1446"/>
      <c r="H24" s="1292"/>
      <c r="I24" s="1293"/>
      <c r="J24" s="1293"/>
      <c r="K24" s="1294"/>
      <c r="L24" s="1438"/>
      <c r="M24" s="1439"/>
      <c r="N24" s="449"/>
      <c r="O24" s="449"/>
      <c r="P24" s="449"/>
      <c r="Q24" s="449"/>
      <c r="S24" s="1434"/>
      <c r="T24" s="1435"/>
    </row>
    <row r="25" spans="1:20" s="397" customFormat="1" ht="16.899999999999999" customHeight="1">
      <c r="A25" s="449"/>
      <c r="B25" s="394" t="s">
        <v>1865</v>
      </c>
      <c r="C25" s="449"/>
      <c r="D25" s="449"/>
      <c r="E25" s="449"/>
      <c r="F25" s="449"/>
      <c r="G25" s="449"/>
      <c r="H25" s="449"/>
      <c r="I25" s="449"/>
      <c r="L25" s="972">
        <f>SUM(L14:L24)</f>
        <v>9816380</v>
      </c>
      <c r="M25" s="973"/>
      <c r="N25" s="472"/>
      <c r="O25" s="472"/>
      <c r="P25" s="472"/>
      <c r="Q25" s="472"/>
      <c r="S25" s="1434"/>
      <c r="T25" s="1435"/>
    </row>
    <row r="26" spans="1:20" s="397" customFormat="1" ht="16.899999999999999" customHeight="1">
      <c r="A26" s="449"/>
      <c r="B26" s="827" t="s">
        <v>1866</v>
      </c>
      <c r="C26" s="449"/>
      <c r="D26" s="449"/>
      <c r="E26" s="449"/>
      <c r="F26" s="449"/>
      <c r="G26" s="449"/>
      <c r="H26" s="449"/>
      <c r="I26" s="449"/>
      <c r="L26" s="144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9816380</v>
      </c>
      <c r="M26" s="1448"/>
      <c r="N26" s="967"/>
      <c r="O26" s="968"/>
      <c r="P26" s="968"/>
      <c r="Q26" s="968"/>
      <c r="S26" s="1434"/>
      <c r="T26" s="1435"/>
    </row>
    <row r="27" spans="1:20" s="397" customFormat="1" ht="16.899999999999999" customHeight="1">
      <c r="A27" s="449"/>
      <c r="B27" s="455" t="s">
        <v>3049</v>
      </c>
      <c r="C27" s="449"/>
      <c r="D27" s="449"/>
      <c r="E27" s="449"/>
      <c r="F27" s="449"/>
      <c r="G27" s="449"/>
      <c r="H27" s="449"/>
      <c r="I27" s="449"/>
      <c r="L27" s="974">
        <f>L25-L26</f>
        <v>0</v>
      </c>
      <c r="M27" s="975"/>
      <c r="N27" s="967"/>
      <c r="O27" s="968"/>
      <c r="P27" s="968"/>
      <c r="Q27" s="968"/>
      <c r="S27" s="1436"/>
      <c r="T27" s="1437"/>
    </row>
    <row r="28" spans="1:20" ht="9.4" customHeight="1">
      <c r="A28" s="481"/>
      <c r="B28" s="394"/>
      <c r="C28" s="472"/>
      <c r="D28" s="472"/>
      <c r="E28" s="472"/>
      <c r="F28" s="472"/>
      <c r="G28" s="472"/>
      <c r="H28" s="472"/>
      <c r="I28" s="472"/>
      <c r="J28" s="472"/>
      <c r="K28" s="472"/>
      <c r="L28" s="472"/>
      <c r="M28" s="836"/>
      <c r="N28" s="836"/>
      <c r="O28" s="472"/>
      <c r="P28" s="452"/>
      <c r="Q28" s="452"/>
    </row>
    <row r="29" spans="1:20" ht="9.4"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2987</v>
      </c>
      <c r="K30" s="836" t="s">
        <v>1862</v>
      </c>
      <c r="L30" s="836" t="s">
        <v>1867</v>
      </c>
      <c r="M30" s="903" t="s">
        <v>39</v>
      </c>
      <c r="N30" s="903"/>
      <c r="O30" s="828"/>
      <c r="P30" s="836"/>
      <c r="Q30" s="977" t="s">
        <v>3267</v>
      </c>
      <c r="S30" s="507"/>
    </row>
    <row r="31" spans="1:20" s="397" customFormat="1" ht="13.15" customHeight="1">
      <c r="A31" s="449"/>
      <c r="B31" s="840" t="s">
        <v>2743</v>
      </c>
      <c r="C31" s="838"/>
      <c r="D31" s="838"/>
      <c r="E31" s="958" t="s">
        <v>1864</v>
      </c>
      <c r="F31" s="958"/>
      <c r="G31" s="958"/>
      <c r="H31" s="896" t="s">
        <v>676</v>
      </c>
      <c r="I31" s="896"/>
      <c r="J31" s="826" t="s">
        <v>2667</v>
      </c>
      <c r="K31" s="826" t="s">
        <v>3117</v>
      </c>
      <c r="L31" s="826" t="s">
        <v>3117</v>
      </c>
      <c r="M31" s="1449"/>
      <c r="N31" s="1449"/>
      <c r="O31" s="896" t="s">
        <v>80</v>
      </c>
      <c r="P31" s="896"/>
      <c r="Q31" s="978"/>
      <c r="S31" s="976" t="s">
        <v>3865</v>
      </c>
      <c r="T31" s="976"/>
    </row>
    <row r="32" spans="1:20" s="397" customFormat="1" ht="13.15" customHeight="1">
      <c r="A32" s="449"/>
      <c r="B32" s="959" t="s">
        <v>3663</v>
      </c>
      <c r="C32" s="960"/>
      <c r="D32" s="960"/>
      <c r="E32" s="1390" t="s">
        <v>4016</v>
      </c>
      <c r="F32" s="1450"/>
      <c r="G32" s="1451"/>
      <c r="H32" s="1452">
        <v>3100000</v>
      </c>
      <c r="I32" s="1453"/>
      <c r="J32" s="1454">
        <v>7.0000000000000007E-2</v>
      </c>
      <c r="K32" s="1306">
        <v>18</v>
      </c>
      <c r="L32" s="1306">
        <v>30</v>
      </c>
      <c r="M32" s="1455">
        <f>IF(OR(H32&lt;=0,H32=""),"",IF(O32="Amortizing",-PMT(J32/12,L32*12,H32,0,0)*12,""))</f>
        <v>247492.52820665613</v>
      </c>
      <c r="N32" s="1456"/>
      <c r="O32" s="1286" t="s">
        <v>4017</v>
      </c>
      <c r="P32" s="1287"/>
      <c r="Q32" s="1457" t="s">
        <v>4024</v>
      </c>
      <c r="S32" s="1432"/>
      <c r="T32" s="1433"/>
    </row>
    <row r="33" spans="1:20" s="397" customFormat="1" ht="13.15" customHeight="1">
      <c r="A33" s="449"/>
      <c r="B33" s="957" t="s">
        <v>3664</v>
      </c>
      <c r="C33" s="958"/>
      <c r="D33" s="958"/>
      <c r="E33" s="1297"/>
      <c r="F33" s="1458"/>
      <c r="G33" s="1459"/>
      <c r="H33" s="1460"/>
      <c r="I33" s="1461"/>
      <c r="J33" s="1454"/>
      <c r="K33" s="1306"/>
      <c r="L33" s="1306"/>
      <c r="M33" s="1455" t="str">
        <f>IF(OR(H33&lt;=0,H33=""),"",IF(O33="Amortizing",-PMT(J33/12,L33*12,H33,0,0)*12,""))</f>
        <v/>
      </c>
      <c r="N33" s="1456"/>
      <c r="O33" s="1286"/>
      <c r="P33" s="1287"/>
      <c r="Q33" s="1457"/>
      <c r="S33" s="1434"/>
      <c r="T33" s="1435"/>
    </row>
    <row r="34" spans="1:20" s="397" customFormat="1" ht="13.15" customHeight="1">
      <c r="A34" s="449"/>
      <c r="B34" s="957" t="s">
        <v>3665</v>
      </c>
      <c r="C34" s="958"/>
      <c r="D34" s="958"/>
      <c r="E34" s="1292"/>
      <c r="F34" s="1462"/>
      <c r="G34" s="1461"/>
      <c r="H34" s="1460"/>
      <c r="I34" s="1461"/>
      <c r="J34" s="1454"/>
      <c r="K34" s="1306"/>
      <c r="L34" s="1306"/>
      <c r="M34" s="1455" t="str">
        <f t="shared" ref="M34:M37" si="0">IF(OR(H34&lt;=0,H34=""),"",IF(O34="Amortizing",-PMT(J34/12,L34*12,H34,0,0)*12,""))</f>
        <v/>
      </c>
      <c r="N34" s="1456"/>
      <c r="O34" s="1286"/>
      <c r="P34" s="1287"/>
      <c r="Q34" s="1457"/>
      <c r="S34" s="1434"/>
      <c r="T34" s="1435"/>
    </row>
    <row r="35" spans="1:20" s="397" customFormat="1" ht="13.15" customHeight="1">
      <c r="A35" s="449"/>
      <c r="B35" s="832" t="s">
        <v>1137</v>
      </c>
      <c r="C35" s="1286"/>
      <c r="D35" s="1287"/>
      <c r="E35" s="1292"/>
      <c r="F35" s="1462"/>
      <c r="G35" s="1461"/>
      <c r="H35" s="1460"/>
      <c r="I35" s="1461"/>
      <c r="J35" s="1454"/>
      <c r="K35" s="1306"/>
      <c r="L35" s="1306"/>
      <c r="M35" s="1455" t="str">
        <f t="shared" si="0"/>
        <v/>
      </c>
      <c r="N35" s="1456"/>
      <c r="O35" s="1286"/>
      <c r="P35" s="1287"/>
      <c r="Q35" s="1457"/>
      <c r="S35" s="1434"/>
      <c r="T35" s="1435"/>
    </row>
    <row r="36" spans="1:20" s="397" customFormat="1" ht="13.15" customHeight="1">
      <c r="A36" s="449"/>
      <c r="B36" s="832" t="s">
        <v>1949</v>
      </c>
      <c r="C36" s="833"/>
      <c r="D36" s="839"/>
      <c r="E36" s="1292"/>
      <c r="F36" s="1462"/>
      <c r="G36" s="1461"/>
      <c r="H36" s="1460"/>
      <c r="I36" s="1461"/>
      <c r="J36" s="790"/>
      <c r="K36" s="842"/>
      <c r="L36" s="842"/>
      <c r="M36" s="961" t="str">
        <f t="shared" si="0"/>
        <v/>
      </c>
      <c r="N36" s="961"/>
      <c r="O36" s="956"/>
      <c r="P36" s="956"/>
      <c r="Q36" s="791"/>
      <c r="S36" s="1434"/>
      <c r="T36" s="1435"/>
    </row>
    <row r="37" spans="1:20" s="397" customFormat="1" ht="13.15" customHeight="1">
      <c r="A37" s="449"/>
      <c r="B37" s="837" t="s">
        <v>272</v>
      </c>
      <c r="C37" s="838"/>
      <c r="D37" s="543">
        <f>IF(OR(H37="",H37=0,'Part IV-Uses of Funds'!$G$109="",'Part IV-Uses of Funds'!$G$109=0),"",H37/'Part IV-Uses of Funds'!$G$109)</f>
        <v>0.23096103896103895</v>
      </c>
      <c r="E37" s="1292" t="s">
        <v>3990</v>
      </c>
      <c r="F37" s="1462"/>
      <c r="G37" s="1461"/>
      <c r="H37" s="1460">
        <v>355680</v>
      </c>
      <c r="I37" s="1461"/>
      <c r="J37" s="1454">
        <v>0</v>
      </c>
      <c r="K37" s="1306">
        <v>13</v>
      </c>
      <c r="L37" s="1306">
        <v>13</v>
      </c>
      <c r="M37" s="1455">
        <f t="shared" si="0"/>
        <v>27360</v>
      </c>
      <c r="N37" s="1456"/>
      <c r="O37" s="1286" t="s">
        <v>4017</v>
      </c>
      <c r="P37" s="1287"/>
      <c r="Q37" s="1457" t="s">
        <v>4024</v>
      </c>
      <c r="S37" s="1434"/>
      <c r="T37" s="1435"/>
    </row>
    <row r="38" spans="1:20" s="397" customFormat="1" ht="13.15" customHeight="1">
      <c r="A38" s="449"/>
      <c r="B38" s="959" t="s">
        <v>3118</v>
      </c>
      <c r="C38" s="960"/>
      <c r="D38" s="962"/>
      <c r="E38" s="1292"/>
      <c r="F38" s="1462"/>
      <c r="G38" s="1461"/>
      <c r="H38" s="1463"/>
      <c r="I38" s="1464"/>
      <c r="K38" s="544"/>
      <c r="L38" s="544"/>
      <c r="M38" s="544"/>
      <c r="N38" s="544"/>
      <c r="O38" s="544"/>
      <c r="P38" s="544"/>
      <c r="Q38" s="544"/>
      <c r="S38" s="1432"/>
      <c r="T38" s="1433"/>
    </row>
    <row r="39" spans="1:20" s="397" customFormat="1" ht="13.15" customHeight="1">
      <c r="A39" s="449"/>
      <c r="B39" s="957" t="s">
        <v>1287</v>
      </c>
      <c r="C39" s="958"/>
      <c r="D39" s="963"/>
      <c r="E39" s="1292"/>
      <c r="F39" s="1462"/>
      <c r="G39" s="1461"/>
      <c r="H39" s="1463"/>
      <c r="I39" s="1464"/>
      <c r="J39" s="981" t="s">
        <v>752</v>
      </c>
      <c r="K39" s="982"/>
      <c r="L39" s="980" t="s">
        <v>753</v>
      </c>
      <c r="M39" s="980"/>
      <c r="O39" s="625" t="s">
        <v>751</v>
      </c>
      <c r="P39" s="545"/>
      <c r="Q39" s="544"/>
      <c r="S39" s="1434"/>
      <c r="T39" s="1435"/>
    </row>
    <row r="40" spans="1:20" s="397" customFormat="1" ht="13.15" customHeight="1">
      <c r="A40" s="449"/>
      <c r="B40" s="957" t="s">
        <v>1288</v>
      </c>
      <c r="C40" s="958"/>
      <c r="D40" s="963"/>
      <c r="E40" s="1292" t="s">
        <v>4034</v>
      </c>
      <c r="F40" s="1293"/>
      <c r="G40" s="1294"/>
      <c r="H40" s="1452">
        <v>7040000</v>
      </c>
      <c r="I40" s="1453"/>
      <c r="J40" s="983">
        <f>'Part IV-Uses of Funds'!$J$165*10*'Part IV-Uses of Funds'!$N$158</f>
        <v>7040000</v>
      </c>
      <c r="K40" s="984"/>
      <c r="L40" s="979">
        <f>H40-J40</f>
        <v>0</v>
      </c>
      <c r="M40" s="979"/>
      <c r="O40" s="626" t="s">
        <v>3590</v>
      </c>
      <c r="P40" s="545"/>
      <c r="Q40" s="544"/>
      <c r="S40" s="1434"/>
      <c r="T40" s="1435"/>
    </row>
    <row r="41" spans="1:20" s="397" customFormat="1" ht="13.15" customHeight="1">
      <c r="A41" s="449"/>
      <c r="B41" s="957" t="s">
        <v>1289</v>
      </c>
      <c r="C41" s="958"/>
      <c r="D41" s="963"/>
      <c r="E41" s="1292" t="s">
        <v>4033</v>
      </c>
      <c r="F41" s="1293"/>
      <c r="G41" s="1294"/>
      <c r="H41" s="1452">
        <v>1920000</v>
      </c>
      <c r="I41" s="1453"/>
      <c r="J41" s="983">
        <f>'Part IV-Uses of Funds'!$J$165*10*'Part IV-Uses of Funds'!$Q$158</f>
        <v>1920000</v>
      </c>
      <c r="K41" s="984"/>
      <c r="L41" s="979">
        <f>H41-J41</f>
        <v>0</v>
      </c>
      <c r="M41" s="979"/>
      <c r="O41" s="627">
        <f>H40/H50</f>
        <v>0.56702492332276611</v>
      </c>
      <c r="P41" s="545"/>
      <c r="Q41" s="544"/>
      <c r="S41" s="1434"/>
      <c r="T41" s="1435"/>
    </row>
    <row r="42" spans="1:20" s="397" customFormat="1" ht="13.15" customHeight="1">
      <c r="A42" s="449"/>
      <c r="B42" s="957" t="s">
        <v>1984</v>
      </c>
      <c r="C42" s="958"/>
      <c r="D42" s="963"/>
      <c r="E42" s="1292"/>
      <c r="F42" s="1293"/>
      <c r="G42" s="1294"/>
      <c r="H42" s="1460"/>
      <c r="I42" s="1465"/>
      <c r="M42" s="545"/>
      <c r="O42" s="627">
        <f>H41/H50</f>
        <v>0.15464316090620892</v>
      </c>
      <c r="P42" s="545"/>
      <c r="Q42" s="544"/>
      <c r="S42" s="1436"/>
      <c r="T42" s="1437"/>
    </row>
    <row r="43" spans="1:20" s="397" customFormat="1" ht="13.15" customHeight="1">
      <c r="A43" s="449"/>
      <c r="B43" s="832" t="s">
        <v>767</v>
      </c>
      <c r="C43" s="833"/>
      <c r="D43" s="839"/>
      <c r="E43" s="1292"/>
      <c r="F43" s="1293"/>
      <c r="G43" s="1294"/>
      <c r="H43" s="1460"/>
      <c r="I43" s="1465"/>
      <c r="K43" s="449"/>
      <c r="L43" s="449"/>
      <c r="M43" s="545"/>
      <c r="O43" s="628">
        <f>SUM(O41:O42)</f>
        <v>0.72166808422897499</v>
      </c>
      <c r="P43" s="545"/>
      <c r="Q43" s="544"/>
      <c r="S43" s="1434"/>
      <c r="T43" s="1435"/>
    </row>
    <row r="44" spans="1:20" s="397" customFormat="1" ht="13.15" customHeight="1">
      <c r="A44" s="449"/>
      <c r="B44" s="832" t="s">
        <v>2741</v>
      </c>
      <c r="C44" s="833"/>
      <c r="D44" s="839"/>
      <c r="E44" s="1292"/>
      <c r="F44" s="1293"/>
      <c r="G44" s="1294"/>
      <c r="H44" s="1460"/>
      <c r="I44" s="1465"/>
      <c r="J44" s="449"/>
      <c r="M44" s="545"/>
      <c r="N44" s="545"/>
      <c r="O44" s="545"/>
      <c r="P44" s="545"/>
      <c r="Q44" s="544"/>
      <c r="S44" s="1434"/>
      <c r="T44" s="1435"/>
    </row>
    <row r="45" spans="1:20" s="397" customFormat="1" ht="13.15" customHeight="1">
      <c r="A45" s="449"/>
      <c r="B45" s="832" t="s">
        <v>2742</v>
      </c>
      <c r="C45" s="833"/>
      <c r="D45" s="839"/>
      <c r="E45" s="1292"/>
      <c r="F45" s="1293"/>
      <c r="G45" s="1294"/>
      <c r="H45" s="1460"/>
      <c r="I45" s="1465"/>
      <c r="J45" s="449"/>
      <c r="M45" s="545"/>
      <c r="N45" s="545"/>
      <c r="O45" s="545"/>
      <c r="P45" s="545"/>
      <c r="Q45" s="544"/>
      <c r="S45" s="1434"/>
      <c r="T45" s="1435"/>
    </row>
    <row r="46" spans="1:20" s="397" customFormat="1" ht="13.15" customHeight="1">
      <c r="A46" s="449"/>
      <c r="B46" s="832" t="s">
        <v>1137</v>
      </c>
      <c r="C46" s="1292"/>
      <c r="D46" s="1294"/>
      <c r="E46" s="1292"/>
      <c r="F46" s="1293"/>
      <c r="G46" s="1294"/>
      <c r="H46" s="1460"/>
      <c r="I46" s="1465"/>
      <c r="J46" s="449"/>
      <c r="M46" s="545"/>
      <c r="N46" s="545"/>
      <c r="O46" s="545"/>
      <c r="P46" s="545"/>
      <c r="Q46" s="544"/>
      <c r="S46" s="1434"/>
      <c r="T46" s="1435"/>
    </row>
    <row r="47" spans="1:20" s="397" customFormat="1" ht="13.15" customHeight="1">
      <c r="A47" s="449"/>
      <c r="B47" s="832" t="s">
        <v>1137</v>
      </c>
      <c r="C47" s="1292"/>
      <c r="D47" s="1294"/>
      <c r="E47" s="1292"/>
      <c r="F47" s="1293"/>
      <c r="G47" s="1294"/>
      <c r="H47" s="1460"/>
      <c r="I47" s="1465"/>
      <c r="J47" s="449"/>
      <c r="K47" s="449"/>
      <c r="L47" s="546"/>
      <c r="M47" s="545"/>
      <c r="N47" s="545"/>
      <c r="O47" s="545"/>
      <c r="P47" s="545"/>
      <c r="Q47" s="544"/>
      <c r="S47" s="1434"/>
      <c r="T47" s="1435"/>
    </row>
    <row r="48" spans="1:20" s="397" customFormat="1" ht="13.15" customHeight="1">
      <c r="A48" s="449"/>
      <c r="B48" s="837" t="s">
        <v>1137</v>
      </c>
      <c r="C48" s="1292"/>
      <c r="D48" s="1294"/>
      <c r="E48" s="1292"/>
      <c r="F48" s="1293"/>
      <c r="G48" s="1294"/>
      <c r="H48" s="1460"/>
      <c r="I48" s="1465"/>
      <c r="J48" s="449"/>
      <c r="K48" s="449"/>
      <c r="L48" s="546"/>
      <c r="M48" s="545"/>
      <c r="N48" s="545"/>
      <c r="O48" s="545"/>
      <c r="P48" s="545"/>
      <c r="Q48" s="544"/>
      <c r="S48" s="1434"/>
      <c r="T48" s="1435"/>
    </row>
    <row r="49" spans="1:23" s="397" customFormat="1" ht="13.15" customHeight="1">
      <c r="A49" s="449"/>
      <c r="B49" s="827" t="s">
        <v>3119</v>
      </c>
      <c r="C49" s="449"/>
      <c r="D49" s="449"/>
      <c r="E49" s="449"/>
      <c r="F49" s="449"/>
      <c r="G49" s="449"/>
      <c r="H49" s="954">
        <f>SUM(H32:I48)</f>
        <v>12415680</v>
      </c>
      <c r="I49" s="955"/>
      <c r="J49" s="472"/>
      <c r="K49" s="449"/>
      <c r="L49" s="546"/>
      <c r="M49" s="545"/>
      <c r="N49" s="545"/>
      <c r="O49" s="545"/>
      <c r="P49" s="545"/>
      <c r="Q49" s="544"/>
      <c r="S49" s="1434"/>
      <c r="T49" s="1435"/>
    </row>
    <row r="50" spans="1:23" s="397" customFormat="1" ht="13.15" customHeight="1" thickBot="1">
      <c r="A50" s="449"/>
      <c r="B50" s="827" t="s">
        <v>3120</v>
      </c>
      <c r="C50" s="449"/>
      <c r="D50" s="449"/>
      <c r="E50" s="449"/>
      <c r="F50" s="449"/>
      <c r="G50" s="449"/>
      <c r="H50" s="952">
        <f>'Part IV-Uses of Funds'!$G$123</f>
        <v>12415680</v>
      </c>
      <c r="I50" s="953"/>
      <c r="J50" s="472"/>
      <c r="K50" s="449"/>
      <c r="L50" s="546"/>
      <c r="M50" s="545"/>
      <c r="N50" s="545"/>
      <c r="O50" s="545"/>
      <c r="P50" s="545"/>
      <c r="Q50" s="544"/>
      <c r="S50" s="1434"/>
      <c r="T50" s="1435"/>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36"/>
      <c r="T51" s="143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65" customHeight="1">
      <c r="B54" s="509"/>
    </row>
    <row r="55" spans="1:23" ht="67.900000000000006" customHeight="1">
      <c r="A55" s="1363"/>
      <c r="B55" s="1466"/>
      <c r="C55" s="1466"/>
      <c r="D55" s="1466"/>
      <c r="E55" s="1466"/>
      <c r="F55" s="1466"/>
      <c r="G55" s="1466"/>
      <c r="H55" s="1466"/>
      <c r="I55" s="1466"/>
      <c r="J55" s="1467"/>
      <c r="K55" s="1366"/>
      <c r="L55" s="1466"/>
      <c r="M55" s="1466"/>
      <c r="N55" s="1466"/>
      <c r="O55" s="1466"/>
      <c r="P55" s="1466"/>
      <c r="Q55" s="1467"/>
      <c r="S55" s="987" t="s">
        <v>3966</v>
      </c>
      <c r="T55" s="987"/>
      <c r="U55" s="816"/>
      <c r="V55" s="816"/>
      <c r="W55" s="816"/>
    </row>
    <row r="56" spans="1:23" ht="11.25" customHeight="1">
      <c r="S56" s="816"/>
      <c r="T56" s="816"/>
      <c r="U56" s="816"/>
      <c r="V56" s="816"/>
      <c r="W56" s="816"/>
    </row>
    <row r="57" spans="1:23" ht="12" customHeight="1"/>
    <row r="58" spans="1:23" ht="12" customHeight="1">
      <c r="B58" s="509"/>
    </row>
    <row r="59" spans="1:23" ht="14.65" customHeight="1"/>
    <row r="60" spans="1:23" s="397" customFormat="1" ht="14.65" customHeight="1"/>
    <row r="61" spans="1:23" s="397" customFormat="1" ht="14.65" customHeight="1"/>
    <row r="62" spans="1:23" s="397" customFormat="1" ht="14.65" customHeight="1"/>
    <row r="63" spans="1:23" ht="14.65" customHeight="1"/>
    <row r="64" spans="1:23" s="397" customFormat="1" ht="14.65" customHeight="1">
      <c r="A64" s="510"/>
    </row>
    <row r="65" spans="1:1" s="397" customFormat="1" ht="14.65" customHeight="1">
      <c r="A65" s="510"/>
    </row>
    <row r="66" spans="1:1" s="397" customFormat="1" ht="14.65" customHeight="1"/>
    <row r="67" spans="1:1" s="397" customFormat="1" ht="14.65" customHeight="1">
      <c r="A67" s="510"/>
    </row>
    <row r="68" spans="1:1" s="397" customFormat="1" ht="14.65" customHeight="1">
      <c r="A68" s="508"/>
    </row>
    <row r="69" spans="1:1" s="397" customFormat="1" ht="14.65" customHeight="1">
      <c r="A69" s="508"/>
    </row>
    <row r="70" spans="1:1" s="397" customFormat="1" ht="14.65" customHeight="1">
      <c r="A70" s="511"/>
    </row>
    <row r="71" spans="1:1" s="397" customFormat="1" ht="14.65" customHeight="1">
      <c r="A71" s="510"/>
    </row>
    <row r="72" spans="1:1" s="397" customFormat="1" ht="14.65" customHeight="1">
      <c r="A72" s="508"/>
    </row>
    <row r="73" spans="1:1" s="397" customFormat="1" ht="14.65" customHeight="1">
      <c r="A73" s="508"/>
    </row>
    <row r="74" spans="1:1" s="397" customFormat="1" ht="14.65" customHeight="1">
      <c r="A74" s="511"/>
    </row>
    <row r="75" spans="1:1" s="397" customFormat="1" ht="14.65" customHeight="1">
      <c r="A75" s="510"/>
    </row>
    <row r="76" spans="1:1" s="397" customFormat="1" ht="14.65" customHeight="1">
      <c r="A76" s="508"/>
    </row>
    <row r="77" spans="1:1" s="397" customFormat="1" ht="14.65" customHeight="1">
      <c r="A77" s="508"/>
    </row>
    <row r="78" spans="1:1" s="397" customFormat="1" ht="14.65" customHeight="1">
      <c r="A78" s="511"/>
    </row>
    <row r="79" spans="1:1" s="397" customFormat="1" ht="14.65" customHeight="1">
      <c r="A79" s="511"/>
    </row>
    <row r="80" spans="1:1" s="397" customFormat="1" ht="14.65" customHeight="1">
      <c r="A80" s="511"/>
    </row>
    <row r="81" spans="1:1" s="397" customFormat="1" ht="14.65" customHeight="1">
      <c r="A81" s="511"/>
    </row>
    <row r="82" spans="1:1" s="397" customFormat="1" ht="14.65" customHeight="1"/>
    <row r="83" spans="1:1" s="397" customFormat="1" ht="14.65" customHeight="1"/>
    <row r="84" spans="1:1" ht="14.65" customHeight="1"/>
    <row r="85" spans="1:1" ht="14.65" customHeight="1"/>
    <row r="86" spans="1:1" ht="14.65" customHeight="1"/>
    <row r="87" spans="1:1" ht="14.65" customHeight="1"/>
    <row r="88" spans="1:1" ht="14.65" customHeight="1"/>
    <row r="89" spans="1:1" ht="14.65" customHeight="1"/>
    <row r="90" spans="1:1" ht="14.65" customHeight="1"/>
    <row r="91" spans="1:1" ht="14.65" customHeight="1"/>
    <row r="92" spans="1:1" ht="14.65" customHeight="1"/>
    <row r="93" spans="1:1" ht="14.65" customHeight="1"/>
    <row r="94" spans="1:1" ht="14.65" customHeight="1"/>
    <row r="95" spans="1:1" ht="14.65" customHeight="1"/>
    <row r="96" spans="1:1" ht="14.65" customHeight="1"/>
    <row r="97" ht="14.65" customHeight="1"/>
    <row r="98" ht="14.6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1" manualBreakCount="1">
    <brk id="28"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7109375" defaultRowHeight="12.75"/>
  <cols>
    <col min="1" max="1" width="17.7109375" style="31" customWidth="1"/>
    <col min="2" max="5" width="16.7109375" style="31" customWidth="1"/>
    <col min="6" max="6" width="4.71093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71093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2012-018 Poplar Pointe, Hiram, Paulding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65" customHeight="1">
      <c r="A3" s="1002" t="s">
        <v>259</v>
      </c>
      <c r="B3" s="1002"/>
      <c r="C3" s="1002"/>
      <c r="D3" s="1002"/>
      <c r="E3" s="1002"/>
      <c r="F3" s="1002"/>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4" customHeight="1">
      <c r="A14" s="1003" t="s">
        <v>137</v>
      </c>
      <c r="B14" s="1003"/>
      <c r="C14" s="1003"/>
      <c r="D14" s="1003"/>
      <c r="E14" s="1003"/>
      <c r="F14" s="1003"/>
      <c r="G14" s="272"/>
      <c r="H14" s="272"/>
    </row>
    <row r="15" spans="1:17" ht="5.65" customHeight="1">
      <c r="A15" s="32"/>
      <c r="E15" s="283"/>
      <c r="F15" s="272"/>
      <c r="G15" s="272"/>
      <c r="H15" s="272"/>
    </row>
    <row r="16" spans="1:17" ht="13.15" customHeight="1">
      <c r="A16" s="285" t="s">
        <v>3485</v>
      </c>
      <c r="B16" s="286" t="s">
        <v>3482</v>
      </c>
      <c r="C16" s="286" t="s">
        <v>3483</v>
      </c>
      <c r="D16" s="999" t="s">
        <v>3167</v>
      </c>
      <c r="E16" s="999"/>
      <c r="F16" s="272"/>
      <c r="G16" s="272"/>
      <c r="H16" s="272"/>
    </row>
    <row r="17" spans="1:8" ht="12.4" customHeight="1">
      <c r="A17" s="108">
        <v>1</v>
      </c>
      <c r="B17" s="261">
        <f>IF(A17&gt;$C$9,0,SUM(C64:C75)*($C$6/$C$7))</f>
        <v>0</v>
      </c>
      <c r="C17" s="284">
        <f>IF(A17&gt;C9,0,(E63+K63)*$C$8)</f>
        <v>0</v>
      </c>
      <c r="D17" s="1004">
        <f t="shared" ref="D17:D56" si="0">IF(A17&gt;$C$9,0,$C$11+C17)</f>
        <v>0</v>
      </c>
      <c r="E17" s="1004"/>
      <c r="F17" s="272"/>
      <c r="G17" s="272"/>
      <c r="H17" s="272"/>
    </row>
    <row r="18" spans="1:8" ht="12.4" customHeight="1">
      <c r="A18" s="108">
        <v>2</v>
      </c>
      <c r="B18" s="261">
        <f>IF(A18&gt;C9,0,SUM(C76:C87)*($C$6/$C$7))</f>
        <v>0</v>
      </c>
      <c r="C18" s="291">
        <f>IF(A18&gt;C9,0,(E75+K75)*$C$8)</f>
        <v>0</v>
      </c>
      <c r="D18" s="996">
        <f t="shared" si="0"/>
        <v>0</v>
      </c>
      <c r="E18" s="996"/>
      <c r="F18" s="272"/>
      <c r="G18" s="272"/>
      <c r="H18" s="272"/>
    </row>
    <row r="19" spans="1:8" ht="12.4" customHeight="1">
      <c r="A19" s="108">
        <v>3</v>
      </c>
      <c r="B19" s="261">
        <f>IF(A19&gt;C9,0,SUM(C88:C99)*($C$6/$C$7))</f>
        <v>0</v>
      </c>
      <c r="C19" s="284">
        <f>IF(A19&gt;C9,0,(E87+K87)*$C$8)</f>
        <v>0</v>
      </c>
      <c r="D19" s="996">
        <f t="shared" si="0"/>
        <v>0</v>
      </c>
      <c r="E19" s="996"/>
      <c r="F19" s="272"/>
      <c r="G19" s="272"/>
      <c r="H19" s="272"/>
    </row>
    <row r="20" spans="1:8" ht="12.4" customHeight="1">
      <c r="A20" s="108">
        <v>4</v>
      </c>
      <c r="B20" s="261">
        <f>IF(A20&gt;C9,0,SUM(C100:C111)*($C$6/$C$7))</f>
        <v>0</v>
      </c>
      <c r="C20" s="284">
        <f>IF(A20&gt;C9,0,(E99+K99)*$C$8)</f>
        <v>0</v>
      </c>
      <c r="D20" s="996">
        <f t="shared" si="0"/>
        <v>0</v>
      </c>
      <c r="E20" s="996"/>
      <c r="F20" s="272"/>
      <c r="G20" s="272"/>
      <c r="H20" s="272"/>
    </row>
    <row r="21" spans="1:8" ht="12.4" customHeight="1">
      <c r="A21" s="108">
        <v>5</v>
      </c>
      <c r="B21" s="261">
        <f>IF(A21&gt;C9,0,SUM(C112:C123)*($C$6/$C$7))</f>
        <v>0</v>
      </c>
      <c r="C21" s="284">
        <f>IF(A21&gt;C9,0,(E111+K111)*$C$8)</f>
        <v>0</v>
      </c>
      <c r="D21" s="997">
        <f t="shared" si="0"/>
        <v>0</v>
      </c>
      <c r="E21" s="997"/>
      <c r="F21" s="272"/>
      <c r="G21" s="272"/>
      <c r="H21" s="272"/>
    </row>
    <row r="22" spans="1:8" ht="12.4" customHeight="1">
      <c r="A22" s="262">
        <v>6</v>
      </c>
      <c r="B22" s="263">
        <f>IF(A22&gt;C9,0,SUM(C124:C135)*($C$6/$C$7))</f>
        <v>0</v>
      </c>
      <c r="C22" s="288">
        <f>IF(A22&gt;C9,0,(E123+K123)*$C$8)</f>
        <v>0</v>
      </c>
      <c r="D22" s="996">
        <f t="shared" si="0"/>
        <v>0</v>
      </c>
      <c r="E22" s="996"/>
      <c r="F22" s="272"/>
      <c r="G22" s="272"/>
      <c r="H22" s="272"/>
    </row>
    <row r="23" spans="1:8" ht="12.4" customHeight="1">
      <c r="A23" s="264">
        <v>7</v>
      </c>
      <c r="B23" s="265">
        <f>IF(A23&gt;C9,0,SUM(C136:C147)*($C$6/$C$7))</f>
        <v>0</v>
      </c>
      <c r="C23" s="266">
        <f>IF(A23&gt;C9,0,(E135+K135)*$C$8)</f>
        <v>0</v>
      </c>
      <c r="D23" s="996">
        <f t="shared" si="0"/>
        <v>0</v>
      </c>
      <c r="E23" s="996"/>
      <c r="F23" s="272"/>
      <c r="G23" s="272"/>
      <c r="H23" s="272"/>
    </row>
    <row r="24" spans="1:8" ht="12.4" customHeight="1">
      <c r="A24" s="264">
        <v>8</v>
      </c>
      <c r="B24" s="265">
        <f>IF(A24&gt;C9,0,SUM(C148:C159)*($C$6/$C$7))</f>
        <v>0</v>
      </c>
      <c r="C24" s="266">
        <f>IF(A24&gt;C9,0,(E147+K147)*$C$8)</f>
        <v>0</v>
      </c>
      <c r="D24" s="996">
        <f t="shared" si="0"/>
        <v>0</v>
      </c>
      <c r="E24" s="996"/>
      <c r="F24" s="272"/>
      <c r="G24" s="272"/>
      <c r="H24" s="272"/>
    </row>
    <row r="25" spans="1:8" ht="12.4" customHeight="1">
      <c r="A25" s="264">
        <v>9</v>
      </c>
      <c r="B25" s="265">
        <f>IF(A25&gt;C9,0,SUM(C160:C171)*($C$6/$C$7))</f>
        <v>0</v>
      </c>
      <c r="C25" s="266">
        <f>IF(A25&gt;C9,0,(E159+K159)*$C$8)</f>
        <v>0</v>
      </c>
      <c r="D25" s="996">
        <f t="shared" si="0"/>
        <v>0</v>
      </c>
      <c r="E25" s="996"/>
      <c r="F25" s="272"/>
      <c r="G25" s="272"/>
      <c r="H25" s="272"/>
    </row>
    <row r="26" spans="1:8" ht="12.4" customHeight="1">
      <c r="A26" s="267">
        <v>10</v>
      </c>
      <c r="B26" s="268">
        <f>IF(A26&gt;C9,0,SUM(C172:C183)*($C$6/$C$7))</f>
        <v>0</v>
      </c>
      <c r="C26" s="287">
        <f>IF(A26&gt;C9,0,(E171+K171)*$C$8)</f>
        <v>0</v>
      </c>
      <c r="D26" s="997">
        <f t="shared" si="0"/>
        <v>0</v>
      </c>
      <c r="E26" s="997"/>
      <c r="F26" s="272"/>
      <c r="G26" s="272"/>
      <c r="H26" s="272"/>
    </row>
    <row r="27" spans="1:8" ht="12.4" customHeight="1">
      <c r="A27" s="269">
        <v>11</v>
      </c>
      <c r="B27" s="261">
        <f>IF(A27&gt;C9,0,SUM(C184:C195)*($C$6/$C$7))</f>
        <v>0</v>
      </c>
      <c r="C27" s="284">
        <f>IF(A27&gt;C9,0,(E183+K183)*$C$8)</f>
        <v>0</v>
      </c>
      <c r="D27" s="996">
        <f t="shared" si="0"/>
        <v>0</v>
      </c>
      <c r="E27" s="996"/>
      <c r="F27" s="272"/>
      <c r="G27" s="272"/>
      <c r="H27" s="272"/>
    </row>
    <row r="28" spans="1:8" ht="12.4" customHeight="1">
      <c r="A28" s="269">
        <v>12</v>
      </c>
      <c r="B28" s="261">
        <f>IF(A28&gt;C9,0,SUM(C196:C207)*($C$6/$C$7))</f>
        <v>0</v>
      </c>
      <c r="C28" s="284">
        <f>IF(A28&gt;C9,0,(E195+K195)*$C$8)</f>
        <v>0</v>
      </c>
      <c r="D28" s="996">
        <f t="shared" si="0"/>
        <v>0</v>
      </c>
      <c r="E28" s="996"/>
      <c r="F28" s="272"/>
      <c r="G28" s="272"/>
      <c r="H28" s="272"/>
    </row>
    <row r="29" spans="1:8" ht="12.4" customHeight="1">
      <c r="A29" s="269">
        <v>13</v>
      </c>
      <c r="B29" s="261">
        <f>IF(A29&gt;C9,0,SUM(C208:C219)*($C$6/$C$7))</f>
        <v>0</v>
      </c>
      <c r="C29" s="284">
        <f>IF(A29&gt;C9,0,(E207+K207)*$C$8)</f>
        <v>0</v>
      </c>
      <c r="D29" s="996">
        <f t="shared" si="0"/>
        <v>0</v>
      </c>
      <c r="E29" s="996"/>
      <c r="F29" s="272"/>
      <c r="G29" s="272"/>
      <c r="H29" s="272"/>
    </row>
    <row r="30" spans="1:8" ht="12.4" customHeight="1">
      <c r="A30" s="269">
        <v>14</v>
      </c>
      <c r="B30" s="261">
        <f>IF(A30&gt;C9,0,SUM(C220:C231)*($C$6/$C$7))</f>
        <v>0</v>
      </c>
      <c r="C30" s="284">
        <f>IF(A30&gt;C9,0,(E219+K219)*$C$8)</f>
        <v>0</v>
      </c>
      <c r="D30" s="996">
        <f t="shared" si="0"/>
        <v>0</v>
      </c>
      <c r="E30" s="996"/>
      <c r="F30" s="272"/>
      <c r="G30" s="272"/>
      <c r="H30" s="272"/>
    </row>
    <row r="31" spans="1:8" ht="12.4" customHeight="1">
      <c r="A31" s="269">
        <v>15</v>
      </c>
      <c r="B31" s="261">
        <f>IF(A31&gt;C9,0,SUM(C232:C243)*($C$6/$C$7))</f>
        <v>0</v>
      </c>
      <c r="C31" s="284">
        <f>IF(A31&gt;C9,0,(E231+K231)*$C$8)</f>
        <v>0</v>
      </c>
      <c r="D31" s="997">
        <f t="shared" si="0"/>
        <v>0</v>
      </c>
      <c r="E31" s="997"/>
      <c r="F31" s="272"/>
      <c r="G31" s="272"/>
      <c r="H31" s="272"/>
    </row>
    <row r="32" spans="1:8" ht="12.4" customHeight="1">
      <c r="A32" s="271">
        <v>16</v>
      </c>
      <c r="B32" s="263">
        <f>IF(A32&gt;C9,0,SUM(C244:C255)*($C$6/$C$7))</f>
        <v>0</v>
      </c>
      <c r="C32" s="288">
        <f>IF(A32&gt;C9,0,(E243+K243)*$C$8)</f>
        <v>0</v>
      </c>
      <c r="D32" s="996">
        <f t="shared" si="0"/>
        <v>0</v>
      </c>
      <c r="E32" s="996"/>
      <c r="F32" s="272"/>
      <c r="G32" s="272"/>
      <c r="H32" s="272"/>
    </row>
    <row r="33" spans="1:8" ht="12.4" customHeight="1">
      <c r="A33" s="264">
        <v>17</v>
      </c>
      <c r="B33" s="265">
        <f>IF(A33&gt;C9,0,SUM(C256:C267)*($C$6/$C$7))</f>
        <v>0</v>
      </c>
      <c r="C33" s="266">
        <f>IF(A33&gt;C9,0,(E255+K255)*$C$8)</f>
        <v>0</v>
      </c>
      <c r="D33" s="996">
        <f t="shared" si="0"/>
        <v>0</v>
      </c>
      <c r="E33" s="996"/>
      <c r="F33" s="272"/>
      <c r="G33" s="272"/>
      <c r="H33" s="272"/>
    </row>
    <row r="34" spans="1:8" ht="12.4" customHeight="1">
      <c r="A34" s="264">
        <v>18</v>
      </c>
      <c r="B34" s="265">
        <f>IF(A34&gt;C9,0,SUM(C268:C279)*($C$6/$C$7))</f>
        <v>0</v>
      </c>
      <c r="C34" s="266">
        <f>IF(A34&gt;C9,0,(E267+K267)*$C$8)</f>
        <v>0</v>
      </c>
      <c r="D34" s="996">
        <f t="shared" si="0"/>
        <v>0</v>
      </c>
      <c r="E34" s="996"/>
      <c r="F34" s="272"/>
      <c r="G34" s="272"/>
      <c r="H34" s="272"/>
    </row>
    <row r="35" spans="1:8" ht="12.4" customHeight="1">
      <c r="A35" s="264">
        <v>19</v>
      </c>
      <c r="B35" s="265">
        <f>IF(A35&gt;C9,0,SUM(C280:C291)*($C$6/$C$7))</f>
        <v>0</v>
      </c>
      <c r="C35" s="266">
        <f>IF(A35&gt;C9,0,(E279+K279)*$C$8)</f>
        <v>0</v>
      </c>
      <c r="D35" s="996">
        <f t="shared" si="0"/>
        <v>0</v>
      </c>
      <c r="E35" s="996"/>
      <c r="F35" s="272"/>
      <c r="G35" s="272"/>
      <c r="H35" s="272"/>
    </row>
    <row r="36" spans="1:8" ht="12.4" customHeight="1">
      <c r="A36" s="267">
        <v>20</v>
      </c>
      <c r="B36" s="268">
        <f>IF(A36&gt;C9,0,SUM(C292:C303)*($C$6/$C$7))</f>
        <v>0</v>
      </c>
      <c r="C36" s="287">
        <f>IF(A36&gt;C9,0,(E291+K291)*$C$8)</f>
        <v>0</v>
      </c>
      <c r="D36" s="997">
        <f t="shared" si="0"/>
        <v>0</v>
      </c>
      <c r="E36" s="997"/>
      <c r="F36" s="272"/>
      <c r="G36" s="272"/>
      <c r="H36" s="272"/>
    </row>
    <row r="37" spans="1:8" ht="12.4" customHeight="1">
      <c r="A37" s="108">
        <v>21</v>
      </c>
      <c r="B37" s="263">
        <f>IF(A37&gt;C9,0,SUM(C293:C304)*($C$6/$C$7))</f>
        <v>0</v>
      </c>
      <c r="C37" s="288">
        <f>IF(A37&gt;C9,0,(E303+K303)*$C$8)</f>
        <v>0</v>
      </c>
      <c r="D37" s="998">
        <f t="shared" si="0"/>
        <v>0</v>
      </c>
      <c r="E37" s="998"/>
      <c r="F37" s="272"/>
      <c r="G37" s="272"/>
      <c r="H37" s="272"/>
    </row>
    <row r="38" spans="1:8" ht="12.4" customHeight="1">
      <c r="A38" s="108">
        <v>22</v>
      </c>
      <c r="B38" s="265">
        <f>IF(A38&gt;C9,0,SUM(C294:C305)*($C$6/$C$7))</f>
        <v>0</v>
      </c>
      <c r="C38" s="266">
        <f>IF(A38&gt;C9,0,(E315+K315)*$C$8)</f>
        <v>0</v>
      </c>
      <c r="D38" s="996">
        <f t="shared" si="0"/>
        <v>0</v>
      </c>
      <c r="E38" s="996"/>
      <c r="F38" s="272"/>
      <c r="G38" s="272"/>
      <c r="H38" s="272"/>
    </row>
    <row r="39" spans="1:8" ht="12.4" customHeight="1">
      <c r="A39" s="108">
        <v>23</v>
      </c>
      <c r="B39" s="265">
        <f>IF(A39&gt;C9,0,SUM(C295:C306)*($C$6/$C$7))</f>
        <v>0</v>
      </c>
      <c r="C39" s="266">
        <f>IF(A39&gt;C9,0,(E327+K327)*$C$8)</f>
        <v>0</v>
      </c>
      <c r="D39" s="996">
        <f t="shared" si="0"/>
        <v>0</v>
      </c>
      <c r="E39" s="996"/>
      <c r="F39" s="272"/>
      <c r="G39" s="272"/>
      <c r="H39" s="272"/>
    </row>
    <row r="40" spans="1:8" ht="12.4" customHeight="1">
      <c r="A40" s="108">
        <v>24</v>
      </c>
      <c r="B40" s="265">
        <f>IF(A40&gt;C9,0,SUM(C296:C307)*($C$6/$C$7))</f>
        <v>0</v>
      </c>
      <c r="C40" s="266">
        <f>IF(A40&gt;C9,0,(E339+K339)*$C$8)</f>
        <v>0</v>
      </c>
      <c r="D40" s="996">
        <f t="shared" si="0"/>
        <v>0</v>
      </c>
      <c r="E40" s="996"/>
      <c r="F40" s="272"/>
      <c r="G40" s="272"/>
      <c r="H40" s="272"/>
    </row>
    <row r="41" spans="1:8" ht="12.4" customHeight="1">
      <c r="A41" s="108">
        <v>25</v>
      </c>
      <c r="B41" s="268">
        <f>IF(A41&gt;C9,0,SUM(C297:C308)*($C$6/$C$7))</f>
        <v>0</v>
      </c>
      <c r="C41" s="287">
        <f>IF(A41&gt;C9,0,(E351+K351)*$C$8)</f>
        <v>0</v>
      </c>
      <c r="D41" s="997">
        <f t="shared" si="0"/>
        <v>0</v>
      </c>
      <c r="E41" s="997"/>
      <c r="F41" s="272"/>
      <c r="G41" s="272"/>
      <c r="H41" s="272"/>
    </row>
    <row r="42" spans="1:8" ht="12.4" customHeight="1">
      <c r="A42" s="262">
        <v>26</v>
      </c>
      <c r="B42" s="263">
        <f>IF(A42&gt;C9,0,SUM(C298:C309)*($C$6/$C$7))</f>
        <v>0</v>
      </c>
      <c r="C42" s="288">
        <f>IF(A42&gt;C9,0,(E363+K363)*$C$8)</f>
        <v>0</v>
      </c>
      <c r="D42" s="998">
        <f t="shared" si="0"/>
        <v>0</v>
      </c>
      <c r="E42" s="998"/>
      <c r="F42" s="272"/>
      <c r="G42" s="272"/>
      <c r="H42" s="272"/>
    </row>
    <row r="43" spans="1:8" ht="12.4" customHeight="1">
      <c r="A43" s="264">
        <v>27</v>
      </c>
      <c r="B43" s="265">
        <f>IF(A43&gt;C9,0,SUM(C299:C310)*($C$6/$C$7))</f>
        <v>0</v>
      </c>
      <c r="C43" s="266">
        <f>IF(A43&gt;C9,0,(E375+K375)*$C$8)</f>
        <v>0</v>
      </c>
      <c r="D43" s="996">
        <f t="shared" si="0"/>
        <v>0</v>
      </c>
      <c r="E43" s="996"/>
      <c r="F43" s="272"/>
      <c r="G43" s="272"/>
      <c r="H43" s="272"/>
    </row>
    <row r="44" spans="1:8" ht="12.4" customHeight="1">
      <c r="A44" s="264">
        <v>28</v>
      </c>
      <c r="B44" s="265">
        <f>IF(A44&gt;C9,0,SUM(C300:C311)*($C$6/$C$7))</f>
        <v>0</v>
      </c>
      <c r="C44" s="266">
        <f>IF(A44&gt;C9,0,(E387+K387)*$C$8)</f>
        <v>0</v>
      </c>
      <c r="D44" s="996">
        <f t="shared" si="0"/>
        <v>0</v>
      </c>
      <c r="E44" s="996"/>
      <c r="F44" s="272"/>
      <c r="G44" s="272"/>
      <c r="H44" s="272"/>
    </row>
    <row r="45" spans="1:8" ht="12.4" customHeight="1">
      <c r="A45" s="264">
        <v>29</v>
      </c>
      <c r="B45" s="265">
        <f>IF(A45&gt;C9,0,SUM(C301:C312)*($C$6/$C$7))</f>
        <v>0</v>
      </c>
      <c r="C45" s="266">
        <f>IF(A45&gt;C9,0,(E411+K411)*$C$8)</f>
        <v>0</v>
      </c>
      <c r="D45" s="996">
        <f t="shared" si="0"/>
        <v>0</v>
      </c>
      <c r="E45" s="996"/>
      <c r="F45" s="272"/>
      <c r="G45" s="272"/>
      <c r="H45" s="272"/>
    </row>
    <row r="46" spans="1:8" ht="12.4" customHeight="1">
      <c r="A46" s="267">
        <v>30</v>
      </c>
      <c r="B46" s="268">
        <f>IF(A46&gt;C9,0,SUM(C302:C313)*($C$6/$C$7))</f>
        <v>0</v>
      </c>
      <c r="C46" s="287">
        <f>IF(A46&gt;C9,0,(E423+K423)*$C$8)</f>
        <v>0</v>
      </c>
      <c r="D46" s="997">
        <f t="shared" si="0"/>
        <v>0</v>
      </c>
      <c r="E46" s="997"/>
      <c r="F46" s="272"/>
      <c r="G46" s="272"/>
      <c r="H46" s="272"/>
    </row>
    <row r="47" spans="1:8" ht="12.4" customHeight="1">
      <c r="A47" s="271">
        <v>31</v>
      </c>
      <c r="B47" s="263">
        <f>IF(A47&gt;C9,0,SUM(C303:C314)*($C$6/$C$7))</f>
        <v>0</v>
      </c>
      <c r="C47" s="288">
        <f>IF(A47&gt;C9,0,(E435+K435)*$C$8)</f>
        <v>0</v>
      </c>
      <c r="D47" s="998">
        <f t="shared" si="0"/>
        <v>0</v>
      </c>
      <c r="E47" s="998"/>
      <c r="F47" s="272"/>
      <c r="G47" s="272"/>
      <c r="H47" s="272"/>
    </row>
    <row r="48" spans="1:8" ht="12.4" customHeight="1">
      <c r="A48" s="264">
        <v>32</v>
      </c>
      <c r="B48" s="265">
        <f>IF(A48&gt;C9,0,SUM(C304:C315)*($C$6/$C$7))</f>
        <v>0</v>
      </c>
      <c r="C48" s="266">
        <f>IF(A48&gt;C9,0,(E447+K447)*$C$8)</f>
        <v>0</v>
      </c>
      <c r="D48" s="996">
        <f t="shared" si="0"/>
        <v>0</v>
      </c>
      <c r="E48" s="996"/>
      <c r="F48" s="272"/>
      <c r="G48" s="272"/>
      <c r="H48" s="272"/>
    </row>
    <row r="49" spans="1:12" ht="12.4" customHeight="1">
      <c r="A49" s="264">
        <v>33</v>
      </c>
      <c r="B49" s="265">
        <f>IF(A49&gt;C9,0,SUM(C305:C316)*($C$6/$C$7))</f>
        <v>0</v>
      </c>
      <c r="C49" s="266">
        <f>IF(A49&gt;C9,0,(E459+K459)*$C$8)</f>
        <v>0</v>
      </c>
      <c r="D49" s="996">
        <f t="shared" si="0"/>
        <v>0</v>
      </c>
      <c r="E49" s="996"/>
      <c r="F49" s="272"/>
      <c r="G49" s="272"/>
      <c r="H49" s="272"/>
    </row>
    <row r="50" spans="1:12" ht="12.4" customHeight="1">
      <c r="A50" s="264">
        <v>34</v>
      </c>
      <c r="B50" s="265">
        <f>IF(A50&gt;C9,0,SUM(C306:C317)*($C$6/$C$7))</f>
        <v>0</v>
      </c>
      <c r="C50" s="266">
        <f>IF(A50&gt;C9,0,(E471+K471)*$C$8)</f>
        <v>0</v>
      </c>
      <c r="D50" s="996">
        <f t="shared" si="0"/>
        <v>0</v>
      </c>
      <c r="E50" s="996"/>
      <c r="F50" s="272"/>
      <c r="G50" s="272"/>
      <c r="H50" s="272"/>
    </row>
    <row r="51" spans="1:12" ht="12.4" customHeight="1">
      <c r="A51" s="267">
        <v>35</v>
      </c>
      <c r="B51" s="268">
        <f>IF(A51&gt;C9,0,SUM(C307:C318)*($C$6/$C$7))</f>
        <v>0</v>
      </c>
      <c r="C51" s="287">
        <f>IF(A51&gt;C9,0,(E483+K483)*$C$8)</f>
        <v>0</v>
      </c>
      <c r="D51" s="997">
        <f t="shared" si="0"/>
        <v>0</v>
      </c>
      <c r="E51" s="997"/>
      <c r="F51" s="272"/>
      <c r="G51" s="272"/>
      <c r="H51" s="272"/>
    </row>
    <row r="52" spans="1:12" ht="12.4" customHeight="1">
      <c r="A52" s="271">
        <v>36</v>
      </c>
      <c r="B52" s="263">
        <f>IF(A52&gt;C9,0,SUM(C308:C319)*($C$6/$C$7))</f>
        <v>0</v>
      </c>
      <c r="C52" s="288">
        <f>IF(A52&gt;C9,0,(E495+K495)*$C$8)</f>
        <v>0</v>
      </c>
      <c r="D52" s="998">
        <f t="shared" si="0"/>
        <v>0</v>
      </c>
      <c r="E52" s="998"/>
      <c r="F52" s="272"/>
      <c r="G52" s="272"/>
      <c r="H52" s="272"/>
    </row>
    <row r="53" spans="1:12" ht="12.4" customHeight="1">
      <c r="A53" s="264">
        <v>37</v>
      </c>
      <c r="B53" s="265">
        <f>IF(A53&gt;C9,0,SUM(C309:C320)*($C$6/$C$7))</f>
        <v>0</v>
      </c>
      <c r="C53" s="266">
        <f>IF(A53&gt;C9,0,(E507+K507)*$C$8)</f>
        <v>0</v>
      </c>
      <c r="D53" s="996">
        <f t="shared" si="0"/>
        <v>0</v>
      </c>
      <c r="E53" s="996"/>
      <c r="F53" s="272"/>
      <c r="G53" s="272"/>
      <c r="H53" s="272"/>
    </row>
    <row r="54" spans="1:12" ht="12.4" customHeight="1">
      <c r="A54" s="264">
        <v>38</v>
      </c>
      <c r="B54" s="265">
        <f>IF(A54&gt;C9,0,SUM(C310:C321)*($C$6/$C$7))</f>
        <v>0</v>
      </c>
      <c r="C54" s="266">
        <f>IF(A54&gt;C9,0,(E519+K519)*$C$8)</f>
        <v>0</v>
      </c>
      <c r="D54" s="996">
        <f t="shared" si="0"/>
        <v>0</v>
      </c>
      <c r="E54" s="996"/>
      <c r="F54" s="272"/>
      <c r="G54" s="272"/>
      <c r="H54" s="272"/>
    </row>
    <row r="55" spans="1:12" ht="12.4" customHeight="1">
      <c r="A55" s="264">
        <v>39</v>
      </c>
      <c r="B55" s="265">
        <f>IF(A55&gt;C9,0,SUM(C311:C322)*($C$6/$C$7))</f>
        <v>0</v>
      </c>
      <c r="C55" s="266">
        <f>IF(A55&gt;C9,0,(E531+K531)*$C$8)</f>
        <v>0</v>
      </c>
      <c r="D55" s="996">
        <f t="shared" si="0"/>
        <v>0</v>
      </c>
      <c r="E55" s="996"/>
      <c r="F55" s="272"/>
      <c r="G55" s="272"/>
      <c r="H55" s="272"/>
    </row>
    <row r="56" spans="1:12" ht="12.4"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2012-018 Poplar Pointe, Hiram, Paulding County</v>
      </c>
      <c r="B58" s="1000"/>
      <c r="C58" s="1000"/>
      <c r="D58" s="1000"/>
      <c r="E58" s="1000"/>
      <c r="F58" s="1000"/>
      <c r="G58" s="1000" t="str">
        <f>CONCATENATE('Part I-Project Information'!$O$4," ",'Part I-Project Information'!$F$22,", ",'Part I-Project Information'!$F$24,", ",'Part I-Project Information'!$J$25," County")</f>
        <v>2012-018 Poplar Pointe, Hiram, Paulding County</v>
      </c>
      <c r="H58" s="1000"/>
      <c r="I58" s="1000"/>
      <c r="J58" s="1000"/>
      <c r="K58" s="1000"/>
      <c r="L58" s="1000"/>
    </row>
    <row r="59" spans="1:12" ht="15">
      <c r="A59" s="1001" t="s">
        <v>3476</v>
      </c>
      <c r="B59" s="1001"/>
      <c r="C59" s="1001"/>
      <c r="D59" s="1001"/>
      <c r="E59" s="1001"/>
      <c r="F59" s="1001"/>
      <c r="G59" s="1001" t="s">
        <v>3476</v>
      </c>
      <c r="H59" s="1001"/>
      <c r="I59" s="1001"/>
      <c r="J59" s="1001"/>
      <c r="K59" s="1001"/>
      <c r="L59" s="1001"/>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4"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7109375" defaultRowHeight="12.75"/>
  <cols>
    <col min="1" max="1" width="7.140625" style="31" customWidth="1"/>
    <col min="2" max="6" width="16.7109375" style="31" customWidth="1"/>
    <col min="7" max="7" width="11.42578125" style="31" customWidth="1"/>
    <col min="8" max="8" width="2.28515625" style="108" customWidth="1"/>
    <col min="9" max="9" width="10.42578125" style="31" bestFit="1" customWidth="1"/>
    <col min="10" max="10" width="12.28515625" style="31" customWidth="1"/>
    <col min="11" max="11" width="10.7109375" style="31" customWidth="1"/>
    <col min="12" max="16384" width="8.71093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2012-018 Poplar Pointe, Hiram, Paulding County</v>
      </c>
      <c r="B1" s="994"/>
      <c r="C1" s="994"/>
      <c r="D1" s="994"/>
      <c r="E1" s="994"/>
      <c r="F1" s="995"/>
      <c r="G1" s="229"/>
      <c r="H1" s="229"/>
      <c r="I1" s="229"/>
      <c r="J1" s="229"/>
      <c r="K1" s="229"/>
      <c r="L1" s="229"/>
      <c r="M1" s="229"/>
      <c r="N1" s="229"/>
      <c r="O1" s="229"/>
      <c r="P1" s="229"/>
      <c r="Q1" s="229"/>
    </row>
    <row r="2" spans="1:17">
      <c r="A2" s="16"/>
      <c r="B2" s="260"/>
      <c r="C2" s="260"/>
      <c r="D2" s="260"/>
    </row>
    <row r="3" spans="1:17" ht="15.4" customHeight="1">
      <c r="A3" s="1002" t="s">
        <v>259</v>
      </c>
      <c r="B3" s="1002"/>
      <c r="C3" s="1002"/>
      <c r="D3" s="1002"/>
      <c r="E3" s="1002"/>
      <c r="F3" s="1002"/>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2012-018 Poplar Pointe, Hiram, Paulding County</v>
      </c>
      <c r="B50" s="1000"/>
      <c r="C50" s="1000"/>
      <c r="D50" s="1000"/>
      <c r="E50" s="1000"/>
      <c r="F50" s="1000"/>
      <c r="G50" s="297"/>
      <c r="H50" s="297"/>
    </row>
    <row r="51" spans="1:10" ht="15">
      <c r="A51" s="1001" t="s">
        <v>3476</v>
      </c>
      <c r="B51" s="1001"/>
      <c r="C51" s="1001"/>
      <c r="D51" s="1001"/>
      <c r="E51" s="1001"/>
      <c r="F51" s="1001"/>
      <c r="G51" s="333"/>
      <c r="H51" s="333"/>
      <c r="I51" s="333"/>
      <c r="J51" s="333"/>
    </row>
    <row r="52" spans="1:10" ht="5.6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4"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W212"/>
  <sheetViews>
    <sheetView showGridLines="0" zoomScale="80" zoomScaleNormal="80" zoomScaleSheetLayoutView="90" zoomScalePageLayoutView="15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42578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7109375" style="472" customWidth="1"/>
    <col min="22" max="22" width="24.71093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2012-018 Poplar Pointe, Hiram, Paulding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2012-018 Poplar Pointe, Hiram, Paulding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3865</v>
      </c>
      <c r="W6" s="1009"/>
    </row>
    <row r="7" spans="1:23" s="449" customFormat="1" ht="13.15" customHeight="1">
      <c r="B7" s="452" t="s">
        <v>111</v>
      </c>
      <c r="O7" s="844" t="str">
        <f>B7</f>
        <v>PRE-DEVELOPMENT COSTS</v>
      </c>
      <c r="V7" s="449" t="str">
        <f>B7</f>
        <v>PRE-DEVELOPMENT COSTS</v>
      </c>
    </row>
    <row r="8" spans="1:23" s="449" customFormat="1" ht="12.4" customHeight="1">
      <c r="B8" s="449" t="s">
        <v>2880</v>
      </c>
      <c r="G8" s="1438">
        <v>5500</v>
      </c>
      <c r="H8" s="1439"/>
      <c r="J8" s="1438">
        <v>5500</v>
      </c>
      <c r="K8" s="1439"/>
      <c r="L8" s="843"/>
      <c r="M8" s="1438"/>
      <c r="N8" s="1439"/>
      <c r="P8" s="1438"/>
      <c r="Q8" s="1439"/>
      <c r="S8" s="1438"/>
      <c r="T8" s="1439"/>
      <c r="V8" s="1468"/>
      <c r="W8" s="1469"/>
    </row>
    <row r="9" spans="1:23" s="449" customFormat="1" ht="12.4" customHeight="1">
      <c r="B9" s="449" t="s">
        <v>631</v>
      </c>
      <c r="G9" s="1438">
        <v>10000</v>
      </c>
      <c r="H9" s="1439"/>
      <c r="J9" s="1438">
        <v>10000</v>
      </c>
      <c r="K9" s="1439"/>
      <c r="L9" s="843"/>
      <c r="M9" s="1438"/>
      <c r="N9" s="1439"/>
      <c r="P9" s="1438"/>
      <c r="Q9" s="1439"/>
      <c r="S9" s="1438"/>
      <c r="T9" s="1439"/>
      <c r="V9" s="1470"/>
      <c r="W9" s="1471"/>
    </row>
    <row r="10" spans="1:23" s="449" customFormat="1" ht="12.4" customHeight="1">
      <c r="B10" s="449" t="s">
        <v>674</v>
      </c>
      <c r="G10" s="1438">
        <v>9000</v>
      </c>
      <c r="H10" s="1439"/>
      <c r="J10" s="1438">
        <v>9000</v>
      </c>
      <c r="K10" s="1439"/>
      <c r="L10" s="843"/>
      <c r="M10" s="1438"/>
      <c r="N10" s="1439"/>
      <c r="P10" s="1438"/>
      <c r="Q10" s="1439"/>
      <c r="S10" s="1438"/>
      <c r="T10" s="1439"/>
      <c r="V10" s="1470"/>
      <c r="W10" s="1471"/>
    </row>
    <row r="11" spans="1:23" s="449" customFormat="1" ht="12.4" customHeight="1">
      <c r="B11" s="449" t="s">
        <v>675</v>
      </c>
      <c r="G11" s="1438">
        <v>3500</v>
      </c>
      <c r="H11" s="1439"/>
      <c r="J11" s="1438">
        <v>3500</v>
      </c>
      <c r="K11" s="1439"/>
      <c r="L11" s="843"/>
      <c r="M11" s="1438"/>
      <c r="N11" s="1439"/>
      <c r="P11" s="1438"/>
      <c r="Q11" s="1439"/>
      <c r="S11" s="1438"/>
      <c r="T11" s="1439"/>
      <c r="V11" s="1470"/>
      <c r="W11" s="1471"/>
    </row>
    <row r="12" spans="1:23" s="449" customFormat="1" ht="12.4" customHeight="1">
      <c r="B12" s="449" t="s">
        <v>3507</v>
      </c>
      <c r="G12" s="1438">
        <v>15000</v>
      </c>
      <c r="H12" s="1439"/>
      <c r="J12" s="1438">
        <v>15000</v>
      </c>
      <c r="K12" s="1439"/>
      <c r="L12" s="843"/>
      <c r="M12" s="1438"/>
      <c r="N12" s="1439"/>
      <c r="P12" s="1438"/>
      <c r="Q12" s="1439"/>
      <c r="S12" s="1438"/>
      <c r="T12" s="1439"/>
      <c r="V12" s="1470"/>
      <c r="W12" s="1471"/>
    </row>
    <row r="13" spans="1:23" s="449" customFormat="1" ht="12.4" customHeight="1">
      <c r="B13" s="449" t="s">
        <v>229</v>
      </c>
      <c r="G13" s="1438">
        <v>10000</v>
      </c>
      <c r="H13" s="1439"/>
      <c r="J13" s="1438">
        <v>10000</v>
      </c>
      <c r="K13" s="1439"/>
      <c r="L13" s="843"/>
      <c r="M13" s="1438"/>
      <c r="N13" s="1439"/>
      <c r="P13" s="1438"/>
      <c r="Q13" s="1439"/>
      <c r="S13" s="1438"/>
      <c r="T13" s="1439"/>
      <c r="V13" s="1470"/>
      <c r="W13" s="1471"/>
    </row>
    <row r="14" spans="1:23" s="449" customFormat="1" ht="12.4" customHeight="1">
      <c r="A14" s="548" t="str">
        <f>IF(AND(G14&gt;0,OR(C14="",C14="&lt;Enter detailed description here; use Comments section if needed&gt;")),"X","")</f>
        <v/>
      </c>
      <c r="B14" s="449" t="s">
        <v>1137</v>
      </c>
      <c r="C14" s="1298" t="s">
        <v>4035</v>
      </c>
      <c r="D14" s="1298"/>
      <c r="E14" s="1298"/>
      <c r="F14" s="1299"/>
      <c r="G14" s="1438">
        <v>8500</v>
      </c>
      <c r="H14" s="1439"/>
      <c r="J14" s="1438"/>
      <c r="K14" s="1439"/>
      <c r="L14" s="843"/>
      <c r="M14" s="1438"/>
      <c r="N14" s="1439"/>
      <c r="P14" s="1438"/>
      <c r="Q14" s="1439"/>
      <c r="S14" s="1438">
        <v>8500</v>
      </c>
      <c r="T14" s="1439"/>
      <c r="U14" s="547" t="str">
        <f>IF(AND(G14&gt;0,OR(C14="",C14="&lt;Enter detailed description here; use Comments section if needed&gt;")),"NO DESCRIPTION PROVIDED - please enter detailed description in Other box at left; use Comments section below if needed.","")</f>
        <v/>
      </c>
      <c r="V14" s="1470"/>
      <c r="W14" s="1471"/>
    </row>
    <row r="15" spans="1:23" s="449" customFormat="1" ht="12.4" customHeight="1">
      <c r="A15" s="548" t="str">
        <f>IF(AND(G15&gt;0,OR(C15="",C15="&lt;Enter detailed description here; use Comments section if needed&gt;")),"X","")</f>
        <v/>
      </c>
      <c r="B15" s="449" t="s">
        <v>1137</v>
      </c>
      <c r="C15" s="1298" t="s">
        <v>3398</v>
      </c>
      <c r="D15" s="1298"/>
      <c r="E15" s="1298"/>
      <c r="F15" s="1299"/>
      <c r="G15" s="1438"/>
      <c r="H15" s="1439"/>
      <c r="J15" s="1438"/>
      <c r="K15" s="1439"/>
      <c r="L15" s="843"/>
      <c r="M15" s="1438"/>
      <c r="N15" s="1439"/>
      <c r="P15" s="1438"/>
      <c r="Q15" s="1439"/>
      <c r="S15" s="1438"/>
      <c r="T15" s="1439"/>
      <c r="U15" s="547" t="str">
        <f>IF(AND(G15&gt;0,OR(C15="",C15="&lt;Enter detailed description here; use Comments section if needed&gt;")),"NO DESCRIPTION PROVIDED - please enter detailed description in Other box at left; use Comments section below if needed.","")</f>
        <v/>
      </c>
      <c r="V15" s="1470"/>
      <c r="W15" s="1471"/>
    </row>
    <row r="16" spans="1:23" s="449" customFormat="1" ht="12.4" customHeight="1" thickBot="1">
      <c r="A16" s="548" t="str">
        <f>IF(AND(G16&gt;0,OR(C16="",C16="&lt;Enter detailed description here; use Comments section if needed&gt;")),"X","")</f>
        <v/>
      </c>
      <c r="B16" s="449" t="s">
        <v>1137</v>
      </c>
      <c r="C16" s="1298" t="s">
        <v>3398</v>
      </c>
      <c r="D16" s="1298"/>
      <c r="E16" s="1298"/>
      <c r="F16" s="1299"/>
      <c r="G16" s="1438"/>
      <c r="H16" s="1439"/>
      <c r="J16" s="1472"/>
      <c r="K16" s="1473"/>
      <c r="L16" s="843"/>
      <c r="M16" s="1438"/>
      <c r="N16" s="1439"/>
      <c r="P16" s="1438"/>
      <c r="Q16" s="1439"/>
      <c r="S16" s="1472"/>
      <c r="T16" s="1473"/>
      <c r="U16" s="547" t="str">
        <f>IF(AND(G16&gt;0,OR(C16="",C16="&lt;Enter detailed description here; use Comments section if needed&gt;")),"NO DESCRIPTION PROVIDED - please enter detailed description in Other box at left; use Comments section below if needed.","")</f>
        <v/>
      </c>
      <c r="V16" s="1470"/>
      <c r="W16" s="1471"/>
    </row>
    <row r="17" spans="2:23" s="449" customFormat="1" ht="12.4" customHeight="1" thickTop="1">
      <c r="F17" s="513" t="s">
        <v>230</v>
      </c>
      <c r="G17" s="1018">
        <f>SUM(G8:H16)</f>
        <v>61500</v>
      </c>
      <c r="H17" s="1019"/>
      <c r="J17" s="1018">
        <f>SUM(J8:K16)</f>
        <v>53000</v>
      </c>
      <c r="K17" s="1066"/>
      <c r="L17" s="843"/>
      <c r="M17" s="1018">
        <f>SUM(M8:N16)</f>
        <v>0</v>
      </c>
      <c r="N17" s="1019"/>
      <c r="P17" s="1018">
        <f>SUM(P8:Q16)</f>
        <v>0</v>
      </c>
      <c r="Q17" s="1019"/>
      <c r="S17" s="1018">
        <f>SUM(S8:T16)</f>
        <v>8500</v>
      </c>
      <c r="T17" s="1019"/>
      <c r="V17" s="1474"/>
      <c r="W17" s="1475"/>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4" customHeight="1">
      <c r="B19" s="449" t="s">
        <v>3094</v>
      </c>
      <c r="G19" s="1438"/>
      <c r="H19" s="1439"/>
      <c r="J19" s="515"/>
      <c r="K19" s="512"/>
      <c r="L19" s="515"/>
      <c r="M19" s="515"/>
      <c r="N19" s="512"/>
      <c r="P19" s="515"/>
      <c r="Q19" s="512"/>
      <c r="S19" s="1438"/>
      <c r="T19" s="1439"/>
      <c r="V19" s="1468"/>
      <c r="W19" s="1469"/>
    </row>
    <row r="20" spans="2:23" s="449" customFormat="1" ht="12.4" customHeight="1">
      <c r="B20" s="449" t="s">
        <v>1632</v>
      </c>
      <c r="G20" s="1438"/>
      <c r="H20" s="1439"/>
      <c r="J20" s="515"/>
      <c r="K20" s="512"/>
      <c r="L20" s="515"/>
      <c r="M20" s="515"/>
      <c r="N20" s="512"/>
      <c r="P20" s="515"/>
      <c r="Q20" s="512"/>
      <c r="S20" s="1438"/>
      <c r="T20" s="1439"/>
      <c r="V20" s="1470"/>
      <c r="W20" s="1471"/>
    </row>
    <row r="21" spans="2:23" s="449" customFormat="1" ht="12.4" customHeight="1">
      <c r="B21" s="449" t="s">
        <v>632</v>
      </c>
      <c r="G21" s="1438"/>
      <c r="H21" s="1439"/>
      <c r="J21" s="515"/>
      <c r="K21" s="512"/>
      <c r="L21" s="515"/>
      <c r="M21" s="1438"/>
      <c r="N21" s="1439"/>
      <c r="P21" s="515"/>
      <c r="Q21" s="512"/>
      <c r="S21" s="1438"/>
      <c r="T21" s="1439"/>
      <c r="V21" s="1470"/>
      <c r="W21" s="1471"/>
    </row>
    <row r="22" spans="2:23" s="449" customFormat="1" ht="12.4" customHeight="1" thickBot="1">
      <c r="B22" s="449" t="s">
        <v>598</v>
      </c>
      <c r="G22" s="1476"/>
      <c r="H22" s="1477"/>
      <c r="J22" s="515"/>
      <c r="K22" s="512"/>
      <c r="L22" s="515"/>
      <c r="M22" s="1476"/>
      <c r="N22" s="1477"/>
      <c r="P22" s="515"/>
      <c r="Q22" s="512"/>
      <c r="S22" s="1438"/>
      <c r="T22" s="1439"/>
      <c r="V22" s="1470"/>
      <c r="W22" s="1471"/>
    </row>
    <row r="23" spans="2:23" s="449" customFormat="1" ht="12.4" customHeight="1" thickTop="1">
      <c r="F23" s="513" t="s">
        <v>230</v>
      </c>
      <c r="G23" s="1018">
        <f>SUM(G19:H22)</f>
        <v>0</v>
      </c>
      <c r="H23" s="1019"/>
      <c r="J23" s="515"/>
      <c r="K23" s="512"/>
      <c r="L23" s="515"/>
      <c r="M23" s="1018">
        <f>SUM(M21:N22)</f>
        <v>0</v>
      </c>
      <c r="N23" s="1019"/>
      <c r="P23" s="515"/>
      <c r="Q23" s="512"/>
      <c r="S23" s="1018">
        <f>SUM(S19:T22)</f>
        <v>0</v>
      </c>
      <c r="T23" s="1019"/>
      <c r="V23" s="1474"/>
      <c r="W23" s="147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4" customHeight="1">
      <c r="B25" s="449" t="s">
        <v>1634</v>
      </c>
      <c r="G25" s="1438">
        <v>410000</v>
      </c>
      <c r="H25" s="1439"/>
      <c r="J25" s="1472">
        <v>310000</v>
      </c>
      <c r="K25" s="1473"/>
      <c r="L25" s="843"/>
      <c r="M25" s="1472"/>
      <c r="N25" s="1473"/>
      <c r="P25" s="1472"/>
      <c r="Q25" s="1473"/>
      <c r="S25" s="1438">
        <v>100000</v>
      </c>
      <c r="T25" s="1439"/>
      <c r="V25" s="1468"/>
      <c r="W25" s="1469"/>
    </row>
    <row r="26" spans="2:23" s="449" customFormat="1" ht="12.4" customHeight="1" thickBot="1">
      <c r="B26" s="449" t="s">
        <v>1635</v>
      </c>
      <c r="G26" s="1438"/>
      <c r="H26" s="1439"/>
      <c r="J26" s="1472"/>
      <c r="K26" s="1473"/>
      <c r="L26" s="516"/>
      <c r="M26" s="1067"/>
      <c r="N26" s="1067"/>
      <c r="P26" s="1067"/>
      <c r="Q26" s="1067"/>
      <c r="S26" s="1438"/>
      <c r="T26" s="1439"/>
      <c r="V26" s="1470"/>
      <c r="W26" s="1471"/>
    </row>
    <row r="27" spans="2:23" s="449" customFormat="1" ht="12.4" customHeight="1" thickTop="1">
      <c r="F27" s="513" t="s">
        <v>230</v>
      </c>
      <c r="G27" s="1018">
        <f>SUM(G25:H26)</f>
        <v>410000</v>
      </c>
      <c r="H27" s="1019"/>
      <c r="J27" s="1018">
        <f>SUM(J25:K26)</f>
        <v>310000</v>
      </c>
      <c r="K27" s="1019"/>
      <c r="L27" s="515"/>
      <c r="M27" s="1018">
        <f>M25</f>
        <v>0</v>
      </c>
      <c r="N27" s="1019"/>
      <c r="P27" s="1018">
        <f>P25</f>
        <v>0</v>
      </c>
      <c r="Q27" s="1019"/>
      <c r="S27" s="1018">
        <f>SUM(S25:T26)</f>
        <v>100000</v>
      </c>
      <c r="T27" s="1019"/>
      <c r="V27" s="1474"/>
      <c r="W27" s="147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4" customHeight="1">
      <c r="B29" s="449" t="s">
        <v>1637</v>
      </c>
      <c r="G29" s="1438">
        <v>6900000</v>
      </c>
      <c r="H29" s="1439"/>
      <c r="J29" s="1438">
        <v>6750000</v>
      </c>
      <c r="K29" s="1439"/>
      <c r="L29" s="843"/>
      <c r="M29" s="1438"/>
      <c r="N29" s="1439"/>
      <c r="P29" s="1438"/>
      <c r="Q29" s="1439"/>
      <c r="S29" s="1438">
        <v>150000</v>
      </c>
      <c r="T29" s="1439"/>
      <c r="V29" s="1468"/>
      <c r="W29" s="1469"/>
    </row>
    <row r="30" spans="2:23" s="449" customFormat="1" ht="12.4" customHeight="1">
      <c r="B30" s="449" t="s">
        <v>1638</v>
      </c>
      <c r="G30" s="1438"/>
      <c r="H30" s="1439"/>
      <c r="J30" s="1438"/>
      <c r="K30" s="1439"/>
      <c r="L30" s="843"/>
      <c r="M30" s="1438"/>
      <c r="N30" s="1439"/>
      <c r="P30" s="1438"/>
      <c r="Q30" s="1439"/>
      <c r="S30" s="1438"/>
      <c r="T30" s="1439"/>
      <c r="V30" s="1470"/>
      <c r="W30" s="1471"/>
    </row>
    <row r="31" spans="2:23" ht="12.4" customHeight="1" thickBot="1">
      <c r="B31" s="449" t="s">
        <v>1639</v>
      </c>
      <c r="G31" s="1438"/>
      <c r="H31" s="1439"/>
      <c r="I31" s="449"/>
      <c r="J31" s="1438"/>
      <c r="K31" s="1439"/>
      <c r="L31" s="843"/>
      <c r="M31" s="1438"/>
      <c r="N31" s="1439"/>
      <c r="O31" s="449"/>
      <c r="P31" s="1438"/>
      <c r="Q31" s="1439"/>
      <c r="R31" s="449"/>
      <c r="S31" s="1438"/>
      <c r="T31" s="1439"/>
      <c r="V31" s="1470"/>
      <c r="W31" s="1471"/>
    </row>
    <row r="32" spans="2:23" s="449" customFormat="1" ht="12.4" customHeight="1" thickTop="1">
      <c r="C32" s="1072"/>
      <c r="D32" s="1072"/>
      <c r="E32" s="845"/>
      <c r="F32" s="513" t="s">
        <v>230</v>
      </c>
      <c r="G32" s="1018">
        <f>SUM(G29:H31)</f>
        <v>6900000</v>
      </c>
      <c r="H32" s="1019"/>
      <c r="J32" s="1018">
        <f>SUM(J29:K31)</f>
        <v>6750000</v>
      </c>
      <c r="K32" s="1019"/>
      <c r="L32" s="843"/>
      <c r="M32" s="1018">
        <f>SUM(M29:N31)</f>
        <v>0</v>
      </c>
      <c r="N32" s="1019"/>
      <c r="P32" s="1018">
        <f>SUM(P29:Q31)</f>
        <v>0</v>
      </c>
      <c r="Q32" s="1019"/>
      <c r="S32" s="1018">
        <f>SUM(S29:T31)</f>
        <v>150000</v>
      </c>
      <c r="T32" s="1019"/>
      <c r="V32" s="1474"/>
      <c r="W32" s="1475"/>
    </row>
    <row r="33" spans="1:23" s="449" customFormat="1" ht="13.15" customHeight="1">
      <c r="B33" s="452" t="s">
        <v>3268</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4" customHeight="1">
      <c r="B34" s="449" t="s">
        <v>3269</v>
      </c>
      <c r="E34" s="517">
        <f>'DCA Underwriting Assumptions'!$R$38</f>
        <v>0.06</v>
      </c>
      <c r="F34" s="605">
        <f>E34*($G$27+$G$32)</f>
        <v>438600</v>
      </c>
      <c r="G34" s="1438">
        <v>438000</v>
      </c>
      <c r="H34" s="1439"/>
      <c r="I34" s="472"/>
      <c r="J34" s="1438">
        <v>438000</v>
      </c>
      <c r="K34" s="1439"/>
      <c r="L34" s="843"/>
      <c r="M34" s="1438"/>
      <c r="N34" s="1439"/>
      <c r="P34" s="1438"/>
      <c r="Q34" s="1439"/>
      <c r="S34" s="1438"/>
      <c r="T34" s="1439"/>
      <c r="V34" s="1468"/>
      <c r="W34" s="1469"/>
    </row>
    <row r="35" spans="1:23" s="449" customFormat="1" ht="12.4" customHeight="1" thickBot="1">
      <c r="B35" s="449" t="s">
        <v>2923</v>
      </c>
      <c r="E35" s="604">
        <f>'DCA Underwriting Assumptions'!$R$39+'DCA Underwriting Assumptions'!$R$40</f>
        <v>0.08</v>
      </c>
      <c r="F35" s="605">
        <f>E35*($G$27+$G$32)</f>
        <v>584800</v>
      </c>
      <c r="G35" s="1438">
        <v>584000</v>
      </c>
      <c r="H35" s="1439"/>
      <c r="I35" s="472"/>
      <c r="J35" s="1438">
        <v>584000</v>
      </c>
      <c r="K35" s="1439"/>
      <c r="L35" s="843"/>
      <c r="M35" s="1438"/>
      <c r="N35" s="1439"/>
      <c r="P35" s="1438"/>
      <c r="Q35" s="1439"/>
      <c r="S35" s="1438"/>
      <c r="T35" s="1439"/>
      <c r="V35" s="1470"/>
      <c r="W35" s="1471"/>
    </row>
    <row r="36" spans="1:23" s="449" customFormat="1" ht="12.4" customHeight="1" thickTop="1">
      <c r="B36" s="449" t="s">
        <v>2924</v>
      </c>
      <c r="D36" s="520"/>
      <c r="E36" s="833"/>
      <c r="F36" s="606" t="s">
        <v>230</v>
      </c>
      <c r="G36" s="1018">
        <f>SUM(G34:H35)</f>
        <v>1022000</v>
      </c>
      <c r="H36" s="1019"/>
      <c r="J36" s="1018">
        <f>SUM(J34:K35)</f>
        <v>1022000</v>
      </c>
      <c r="K36" s="1019"/>
      <c r="L36" s="515"/>
      <c r="M36" s="1018">
        <f>SUM(M34:N35)</f>
        <v>0</v>
      </c>
      <c r="N36" s="1019"/>
      <c r="P36" s="1018">
        <f>SUM(P34:Q35)</f>
        <v>0</v>
      </c>
      <c r="Q36" s="1019"/>
      <c r="S36" s="1018">
        <f>SUM(S34:T35)</f>
        <v>0</v>
      </c>
      <c r="T36" s="1019"/>
      <c r="V36" s="1474"/>
      <c r="W36" s="147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4" customHeight="1">
      <c r="B38" s="521" t="s">
        <v>1642</v>
      </c>
      <c r="C38" s="522"/>
      <c r="D38" s="523">
        <f>B39/'Part VI-Revenues &amp; Expenses'!$M$62</f>
        <v>79352.380952380947</v>
      </c>
      <c r="E38" s="523"/>
      <c r="F38" s="524" t="s">
        <v>1974</v>
      </c>
      <c r="V38" s="1468"/>
      <c r="W38" s="1469"/>
    </row>
    <row r="39" spans="1:23" s="449" customFormat="1" ht="12.4" customHeight="1">
      <c r="B39" s="1062">
        <f>G27+G32+G36</f>
        <v>8332000</v>
      </c>
      <c r="C39" s="1063"/>
      <c r="D39" s="525">
        <f>B39/'Part VI-Revenues &amp; Expenses'!$M$100</f>
        <v>75.188377024771015</v>
      </c>
      <c r="E39" s="525"/>
      <c r="F39" s="526" t="s">
        <v>1242</v>
      </c>
      <c r="J39" s="512"/>
      <c r="K39" s="512"/>
      <c r="L39" s="527"/>
      <c r="M39" s="512"/>
      <c r="N39" s="843"/>
      <c r="P39" s="512"/>
      <c r="Q39" s="843"/>
      <c r="S39" s="512"/>
      <c r="T39" s="843"/>
      <c r="V39" s="1474"/>
      <c r="W39" s="147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4" customHeight="1">
      <c r="B42" s="449" t="s">
        <v>2840</v>
      </c>
      <c r="F42" s="623">
        <f>G42/$B$39</f>
        <v>4.9807969275084012E-2</v>
      </c>
      <c r="G42" s="1438">
        <v>415000</v>
      </c>
      <c r="H42" s="1439"/>
      <c r="I42" s="449"/>
      <c r="J42" s="1438">
        <v>415000</v>
      </c>
      <c r="K42" s="1439"/>
      <c r="L42" s="843"/>
      <c r="M42" s="1438"/>
      <c r="N42" s="1439"/>
      <c r="O42" s="449"/>
      <c r="P42" s="1438"/>
      <c r="Q42" s="1439"/>
      <c r="R42" s="449"/>
      <c r="S42" s="1438"/>
      <c r="T42" s="1439"/>
      <c r="V42" s="1478"/>
      <c r="W42" s="147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3865</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38">
        <v>31000</v>
      </c>
      <c r="H48" s="1439"/>
      <c r="J48" s="1438">
        <v>20460</v>
      </c>
      <c r="K48" s="1439"/>
      <c r="L48" s="843"/>
      <c r="M48" s="1438"/>
      <c r="N48" s="1439"/>
      <c r="P48" s="1438"/>
      <c r="Q48" s="1439"/>
      <c r="S48" s="1438">
        <v>10540</v>
      </c>
      <c r="T48" s="1439"/>
      <c r="V48" s="1468"/>
      <c r="W48" s="1469"/>
    </row>
    <row r="49" spans="1:23" s="449" customFormat="1" ht="12" customHeight="1">
      <c r="B49" s="449" t="s">
        <v>3272</v>
      </c>
      <c r="G49" s="1438">
        <v>67900</v>
      </c>
      <c r="H49" s="1439"/>
      <c r="J49" s="1438">
        <v>43890</v>
      </c>
      <c r="K49" s="1439"/>
      <c r="L49" s="843"/>
      <c r="M49" s="1438"/>
      <c r="N49" s="1439"/>
      <c r="P49" s="1438"/>
      <c r="Q49" s="1439"/>
      <c r="S49" s="1438">
        <v>24010</v>
      </c>
      <c r="T49" s="1439"/>
      <c r="V49" s="1470"/>
      <c r="W49" s="1471"/>
    </row>
    <row r="50" spans="1:23" s="449" customFormat="1" ht="12" customHeight="1">
      <c r="B50" s="449" t="s">
        <v>3273</v>
      </c>
      <c r="G50" s="1438">
        <v>20000</v>
      </c>
      <c r="H50" s="1439"/>
      <c r="J50" s="1438"/>
      <c r="K50" s="1439"/>
      <c r="L50" s="843"/>
      <c r="M50" s="1438"/>
      <c r="N50" s="1439"/>
      <c r="P50" s="1438"/>
      <c r="Q50" s="1439"/>
      <c r="S50" s="1438">
        <v>20000</v>
      </c>
      <c r="T50" s="1439"/>
      <c r="V50" s="1470"/>
      <c r="W50" s="1471"/>
    </row>
    <row r="51" spans="1:23" s="449" customFormat="1" ht="12" customHeight="1">
      <c r="B51" s="449" t="s">
        <v>3934</v>
      </c>
      <c r="G51" s="1438"/>
      <c r="H51" s="1439"/>
      <c r="J51" s="1438"/>
      <c r="K51" s="1439"/>
      <c r="L51" s="843"/>
      <c r="M51" s="1438"/>
      <c r="N51" s="1439"/>
      <c r="P51" s="1438"/>
      <c r="Q51" s="1439"/>
      <c r="S51" s="1438"/>
      <c r="T51" s="1439"/>
      <c r="V51" s="1470"/>
      <c r="W51" s="1471"/>
    </row>
    <row r="52" spans="1:23" s="449" customFormat="1" ht="12" customHeight="1">
      <c r="B52" s="449" t="s">
        <v>1004</v>
      </c>
      <c r="G52" s="1438">
        <v>20000</v>
      </c>
      <c r="H52" s="1439"/>
      <c r="J52" s="1438">
        <v>12000</v>
      </c>
      <c r="K52" s="1439"/>
      <c r="L52" s="843"/>
      <c r="M52" s="1438"/>
      <c r="N52" s="1439"/>
      <c r="P52" s="1438"/>
      <c r="Q52" s="1439"/>
      <c r="S52" s="1438">
        <v>8000</v>
      </c>
      <c r="T52" s="1439"/>
      <c r="V52" s="1470"/>
      <c r="W52" s="1471"/>
    </row>
    <row r="53" spans="1:23" s="449" customFormat="1" ht="12" customHeight="1">
      <c r="B53" s="449" t="s">
        <v>3274</v>
      </c>
      <c r="G53" s="1438">
        <v>20000</v>
      </c>
      <c r="H53" s="1439"/>
      <c r="J53" s="1438">
        <v>18000</v>
      </c>
      <c r="K53" s="1439"/>
      <c r="L53" s="843"/>
      <c r="M53" s="1438"/>
      <c r="N53" s="1439"/>
      <c r="P53" s="1438"/>
      <c r="Q53" s="1439"/>
      <c r="S53" s="1438">
        <v>2000</v>
      </c>
      <c r="T53" s="1439"/>
      <c r="V53" s="1470"/>
      <c r="W53" s="1471"/>
    </row>
    <row r="54" spans="1:23" s="449" customFormat="1" ht="12" customHeight="1">
      <c r="B54" s="449" t="s">
        <v>345</v>
      </c>
      <c r="G54" s="1438"/>
      <c r="H54" s="1439"/>
      <c r="J54" s="1438"/>
      <c r="K54" s="1439"/>
      <c r="L54" s="843"/>
      <c r="M54" s="1438"/>
      <c r="N54" s="1439"/>
      <c r="P54" s="1438"/>
      <c r="Q54" s="1439"/>
      <c r="S54" s="1438"/>
      <c r="T54" s="1439"/>
      <c r="V54" s="1470"/>
      <c r="W54" s="1471"/>
    </row>
    <row r="55" spans="1:23" s="449" customFormat="1" ht="12" customHeight="1">
      <c r="B55" s="519" t="s">
        <v>1674</v>
      </c>
      <c r="D55" s="517"/>
      <c r="E55" s="517"/>
      <c r="F55" s="518"/>
      <c r="G55" s="1438"/>
      <c r="H55" s="1439"/>
      <c r="I55" s="472"/>
      <c r="J55" s="1438"/>
      <c r="K55" s="1439"/>
      <c r="L55" s="843"/>
      <c r="M55" s="1438"/>
      <c r="N55" s="1439"/>
      <c r="P55" s="1438"/>
      <c r="Q55" s="1439"/>
      <c r="S55" s="1438"/>
      <c r="T55" s="1439"/>
      <c r="V55" s="1470"/>
      <c r="W55" s="1471"/>
    </row>
    <row r="56" spans="1:23" s="449" customFormat="1" ht="12" customHeight="1" thickBot="1">
      <c r="A56" s="548" t="str">
        <f>IF(AND(G56&gt;0,OR(C56="",C56="&lt;Enter detailed description here; use Comments section if needed&gt;")),"X","")</f>
        <v/>
      </c>
      <c r="B56" s="449" t="s">
        <v>1137</v>
      </c>
      <c r="C56" s="1298" t="s">
        <v>3398</v>
      </c>
      <c r="D56" s="1298"/>
      <c r="E56" s="1298"/>
      <c r="F56" s="1299"/>
      <c r="G56" s="1476"/>
      <c r="H56" s="1477"/>
      <c r="J56" s="1476"/>
      <c r="K56" s="1477"/>
      <c r="L56" s="843"/>
      <c r="M56" s="1476"/>
      <c r="N56" s="1477"/>
      <c r="P56" s="1476"/>
      <c r="Q56" s="1477"/>
      <c r="S56" s="1438"/>
      <c r="T56" s="1439"/>
      <c r="U56" s="547" t="str">
        <f>IF(AND(G56&gt;0,OR(C56="",C56="&lt;Enter detailed description here; use Comments section if needed&gt;")),"NO DESCRIPTION PROVIDED - please enter detailed description in Other box at left; use Comments section below if needed.","")</f>
        <v/>
      </c>
      <c r="V56" s="1470"/>
      <c r="W56" s="1471"/>
    </row>
    <row r="57" spans="1:23" s="449" customFormat="1" ht="12" customHeight="1" thickTop="1">
      <c r="F57" s="513" t="s">
        <v>230</v>
      </c>
      <c r="G57" s="1018">
        <f>SUM(G48:H56)</f>
        <v>158900</v>
      </c>
      <c r="H57" s="1019"/>
      <c r="J57" s="1018">
        <f>SUM(J48:K56)</f>
        <v>94350</v>
      </c>
      <c r="K57" s="1019"/>
      <c r="L57" s="515"/>
      <c r="M57" s="1018">
        <f>SUM(M48:N56)</f>
        <v>0</v>
      </c>
      <c r="N57" s="1019"/>
      <c r="P57" s="1018">
        <f>SUM(P48:Q56)</f>
        <v>0</v>
      </c>
      <c r="Q57" s="1019"/>
      <c r="S57" s="1018">
        <f>SUM(S48:T56)</f>
        <v>64550</v>
      </c>
      <c r="T57" s="1019"/>
      <c r="V57" s="1474"/>
      <c r="W57" s="147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38">
        <v>165000</v>
      </c>
      <c r="H59" s="1439"/>
      <c r="J59" s="1438">
        <v>165000</v>
      </c>
      <c r="K59" s="1439"/>
      <c r="L59" s="843"/>
      <c r="M59" s="1438"/>
      <c r="N59" s="1439"/>
      <c r="P59" s="1438"/>
      <c r="Q59" s="1439"/>
      <c r="S59" s="1438"/>
      <c r="T59" s="1439"/>
      <c r="V59" s="1468"/>
      <c r="W59" s="1469"/>
    </row>
    <row r="60" spans="1:23" s="449" customFormat="1" ht="12" customHeight="1">
      <c r="B60" s="449" t="s">
        <v>663</v>
      </c>
      <c r="G60" s="1438">
        <v>15000</v>
      </c>
      <c r="H60" s="1439"/>
      <c r="J60" s="1438">
        <v>15000</v>
      </c>
      <c r="K60" s="1439"/>
      <c r="L60" s="843"/>
      <c r="M60" s="1438"/>
      <c r="N60" s="1439"/>
      <c r="P60" s="1438"/>
      <c r="Q60" s="1439"/>
      <c r="S60" s="1438"/>
      <c r="T60" s="1439"/>
      <c r="V60" s="1470"/>
      <c r="W60" s="1471"/>
    </row>
    <row r="61" spans="1:23" s="449" customFormat="1" ht="12" customHeight="1">
      <c r="B61" s="449" t="s">
        <v>1643</v>
      </c>
      <c r="G61" s="1438"/>
      <c r="H61" s="1439"/>
      <c r="J61" s="1438"/>
      <c r="K61" s="1439"/>
      <c r="L61" s="843"/>
      <c r="M61" s="1438"/>
      <c r="N61" s="1439"/>
      <c r="P61" s="1438"/>
      <c r="Q61" s="1439"/>
      <c r="S61" s="1438"/>
      <c r="T61" s="1439"/>
      <c r="V61" s="1470"/>
      <c r="W61" s="1471"/>
    </row>
    <row r="62" spans="1:23" s="449" customFormat="1" ht="12" customHeight="1">
      <c r="B62" s="449" t="s">
        <v>1644</v>
      </c>
      <c r="G62" s="1438">
        <v>10000</v>
      </c>
      <c r="H62" s="1439"/>
      <c r="J62" s="1438">
        <v>10000</v>
      </c>
      <c r="K62" s="1439"/>
      <c r="L62" s="843"/>
      <c r="M62" s="1438"/>
      <c r="N62" s="1439"/>
      <c r="P62" s="1438"/>
      <c r="Q62" s="1439"/>
      <c r="S62" s="1438"/>
      <c r="T62" s="1439"/>
      <c r="V62" s="1470"/>
      <c r="W62" s="1471"/>
    </row>
    <row r="63" spans="1:23" s="449" customFormat="1" ht="12" customHeight="1">
      <c r="B63" s="449" t="s">
        <v>1645</v>
      </c>
      <c r="G63" s="1438">
        <v>5000</v>
      </c>
      <c r="H63" s="1439"/>
      <c r="J63" s="1438">
        <v>5000</v>
      </c>
      <c r="K63" s="1439"/>
      <c r="L63" s="843"/>
      <c r="M63" s="1438"/>
      <c r="N63" s="1439"/>
      <c r="P63" s="1438"/>
      <c r="Q63" s="1439"/>
      <c r="S63" s="1438"/>
      <c r="T63" s="1439"/>
      <c r="V63" s="1470"/>
      <c r="W63" s="1471"/>
    </row>
    <row r="64" spans="1:23" s="449" customFormat="1" ht="12" customHeight="1">
      <c r="B64" s="449" t="s">
        <v>1646</v>
      </c>
      <c r="G64" s="1438">
        <v>12150</v>
      </c>
      <c r="H64" s="1439"/>
      <c r="J64" s="1438"/>
      <c r="K64" s="1439"/>
      <c r="L64" s="843"/>
      <c r="M64" s="1438"/>
      <c r="N64" s="1439"/>
      <c r="P64" s="1438"/>
      <c r="Q64" s="1439"/>
      <c r="S64" s="1438">
        <v>12150</v>
      </c>
      <c r="T64" s="1439"/>
      <c r="V64" s="1470"/>
      <c r="W64" s="1471"/>
    </row>
    <row r="65" spans="1:23" s="449" customFormat="1" ht="12" customHeight="1">
      <c r="B65" s="449" t="s">
        <v>664</v>
      </c>
      <c r="G65" s="1438">
        <v>45000</v>
      </c>
      <c r="H65" s="1439"/>
      <c r="J65" s="1438">
        <v>45000</v>
      </c>
      <c r="K65" s="1439"/>
      <c r="L65" s="843"/>
      <c r="M65" s="1438"/>
      <c r="N65" s="1439"/>
      <c r="P65" s="1438"/>
      <c r="Q65" s="1439"/>
      <c r="S65" s="1438"/>
      <c r="T65" s="1439"/>
      <c r="V65" s="1470"/>
      <c r="W65" s="1471"/>
    </row>
    <row r="66" spans="1:23" s="449" customFormat="1" ht="12" customHeight="1">
      <c r="B66" s="449" t="s">
        <v>665</v>
      </c>
      <c r="G66" s="1438">
        <v>20000</v>
      </c>
      <c r="H66" s="1439"/>
      <c r="J66" s="1438">
        <v>6000</v>
      </c>
      <c r="K66" s="1439"/>
      <c r="L66" s="843"/>
      <c r="M66" s="1438"/>
      <c r="N66" s="1439"/>
      <c r="P66" s="1438"/>
      <c r="Q66" s="1439"/>
      <c r="S66" s="1438">
        <v>14000</v>
      </c>
      <c r="T66" s="1439"/>
      <c r="V66" s="1470"/>
      <c r="W66" s="1471"/>
    </row>
    <row r="67" spans="1:23" s="449" customFormat="1" ht="12" customHeight="1">
      <c r="B67" s="449" t="s">
        <v>2934</v>
      </c>
      <c r="G67" s="1438">
        <v>30000</v>
      </c>
      <c r="H67" s="1439"/>
      <c r="J67" s="1438">
        <v>30000</v>
      </c>
      <c r="K67" s="1439"/>
      <c r="L67" s="843"/>
      <c r="M67" s="1438"/>
      <c r="N67" s="1439"/>
      <c r="P67" s="1438"/>
      <c r="Q67" s="1439"/>
      <c r="S67" s="1438"/>
      <c r="T67" s="1439"/>
      <c r="V67" s="1470"/>
      <c r="W67" s="1471"/>
    </row>
    <row r="68" spans="1:23" s="449" customFormat="1" ht="12" customHeight="1" thickBot="1">
      <c r="A68" s="548" t="str">
        <f>IF(AND(G68&gt;0,OR(C68="",C68="&lt;Enter detailed description here; use Comments section if needed&gt;")),"X","")</f>
        <v/>
      </c>
      <c r="B68" s="449" t="s">
        <v>1137</v>
      </c>
      <c r="C68" s="1298" t="s">
        <v>4036</v>
      </c>
      <c r="D68" s="1298"/>
      <c r="E68" s="1298"/>
      <c r="F68" s="1299"/>
      <c r="G68" s="1438">
        <v>10000</v>
      </c>
      <c r="H68" s="1439"/>
      <c r="J68" s="1438">
        <v>10000</v>
      </c>
      <c r="K68" s="1439"/>
      <c r="L68" s="843"/>
      <c r="M68" s="1438"/>
      <c r="N68" s="1439"/>
      <c r="P68" s="1438"/>
      <c r="Q68" s="1439"/>
      <c r="S68" s="1438"/>
      <c r="T68" s="1439"/>
      <c r="U68" s="547" t="str">
        <f>IF(AND(G68&gt;0,OR(C68="",C68="&lt;Enter detailed description here; use Comments section if needed&gt;")),"NO DESCRIPTION PROVIDED - please enter detailed description in Other box at left; use Comments section below if needed.","")</f>
        <v/>
      </c>
      <c r="V68" s="1470"/>
      <c r="W68" s="1471"/>
    </row>
    <row r="69" spans="1:23" s="449" customFormat="1" ht="12" customHeight="1" thickTop="1">
      <c r="F69" s="513" t="s">
        <v>230</v>
      </c>
      <c r="G69" s="1018">
        <f>SUM(G59:H68)</f>
        <v>312150</v>
      </c>
      <c r="H69" s="1019"/>
      <c r="J69" s="1018">
        <f>SUM(J59:K68)</f>
        <v>286000</v>
      </c>
      <c r="K69" s="1019"/>
      <c r="L69" s="515"/>
      <c r="M69" s="1018">
        <f>SUM(M59:N68)</f>
        <v>0</v>
      </c>
      <c r="N69" s="1019"/>
      <c r="P69" s="1018">
        <f>SUM(P59:Q68)</f>
        <v>0</v>
      </c>
      <c r="Q69" s="1019"/>
      <c r="S69" s="1018">
        <f>SUM(S59:T68)</f>
        <v>26150</v>
      </c>
      <c r="T69" s="1019"/>
      <c r="V69" s="1474"/>
      <c r="W69" s="147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38">
        <v>11030</v>
      </c>
      <c r="H71" s="1439"/>
      <c r="J71" s="1438">
        <v>11030</v>
      </c>
      <c r="K71" s="1439"/>
      <c r="L71" s="843"/>
      <c r="M71" s="1438"/>
      <c r="N71" s="1439"/>
      <c r="P71" s="1438"/>
      <c r="Q71" s="1439"/>
      <c r="S71" s="1438"/>
      <c r="T71" s="1439"/>
      <c r="V71" s="1480"/>
      <c r="W71" s="1481"/>
    </row>
    <row r="72" spans="1:23" s="449" customFormat="1" ht="12" customHeight="1">
      <c r="B72" s="449" t="s">
        <v>1826</v>
      </c>
      <c r="G72" s="1438"/>
      <c r="H72" s="1439"/>
      <c r="J72" s="1438"/>
      <c r="K72" s="1439"/>
      <c r="L72" s="843"/>
      <c r="M72" s="1438"/>
      <c r="N72" s="1439"/>
      <c r="P72" s="1438"/>
      <c r="Q72" s="1439"/>
      <c r="S72" s="1438"/>
      <c r="T72" s="1439"/>
      <c r="V72" s="1482"/>
      <c r="W72" s="1483"/>
    </row>
    <row r="73" spans="1:23" s="449" customFormat="1" ht="12" customHeight="1">
      <c r="B73" s="449" t="s">
        <v>1827</v>
      </c>
      <c r="D73" s="529" t="s">
        <v>1975</v>
      </c>
      <c r="E73" s="1484"/>
      <c r="G73" s="1438"/>
      <c r="H73" s="1439"/>
      <c r="I73" s="472"/>
      <c r="J73" s="1438"/>
      <c r="K73" s="1439"/>
      <c r="L73" s="843"/>
      <c r="M73" s="1438"/>
      <c r="N73" s="1439"/>
      <c r="P73" s="1438"/>
      <c r="Q73" s="1439"/>
      <c r="S73" s="1438"/>
      <c r="T73" s="1439"/>
      <c r="V73" s="1482"/>
      <c r="W73" s="1483"/>
    </row>
    <row r="74" spans="1:23" s="449" customFormat="1" ht="12" customHeight="1" thickBot="1">
      <c r="B74" s="449" t="s">
        <v>1828</v>
      </c>
      <c r="D74" s="529" t="s">
        <v>1975</v>
      </c>
      <c r="E74" s="1484"/>
      <c r="G74" s="1438">
        <v>522300</v>
      </c>
      <c r="H74" s="1439"/>
      <c r="I74" s="472"/>
      <c r="J74" s="1438">
        <v>522300</v>
      </c>
      <c r="K74" s="1439"/>
      <c r="L74" s="843"/>
      <c r="M74" s="1438"/>
      <c r="N74" s="1439"/>
      <c r="P74" s="1438"/>
      <c r="Q74" s="1439"/>
      <c r="S74" s="1438"/>
      <c r="T74" s="1439"/>
      <c r="V74" s="1482"/>
      <c r="W74" s="1483"/>
    </row>
    <row r="75" spans="1:23" s="449" customFormat="1" ht="12" customHeight="1" thickTop="1">
      <c r="F75" s="513" t="s">
        <v>230</v>
      </c>
      <c r="G75" s="1018">
        <f>SUM(G71:H74)</f>
        <v>533330</v>
      </c>
      <c r="H75" s="1019"/>
      <c r="J75" s="1018">
        <f>SUM(J71:K74)</f>
        <v>533330</v>
      </c>
      <c r="K75" s="1019"/>
      <c r="L75" s="515"/>
      <c r="M75" s="1018">
        <f>SUM(M71:N74)</f>
        <v>0</v>
      </c>
      <c r="N75" s="1019"/>
      <c r="P75" s="1018">
        <f>SUM(P71:Q74)</f>
        <v>0</v>
      </c>
      <c r="Q75" s="1019"/>
      <c r="S75" s="1018">
        <f>SUM(S71:T74)</f>
        <v>0</v>
      </c>
      <c r="T75" s="1019"/>
      <c r="V75" s="1485"/>
      <c r="W75" s="148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38">
        <v>31000</v>
      </c>
      <c r="H77" s="1439"/>
      <c r="J77" s="1026"/>
      <c r="K77" s="1026"/>
      <c r="L77" s="843"/>
      <c r="M77" s="1026"/>
      <c r="N77" s="1026"/>
      <c r="P77" s="1026"/>
      <c r="Q77" s="1026"/>
      <c r="S77" s="1438">
        <v>31000</v>
      </c>
      <c r="T77" s="1439"/>
      <c r="V77" s="1480"/>
      <c r="W77" s="1481"/>
    </row>
    <row r="78" spans="1:23" s="449" customFormat="1" ht="12" customHeight="1">
      <c r="B78" s="449" t="s">
        <v>1830</v>
      </c>
      <c r="G78" s="1438">
        <v>25000</v>
      </c>
      <c r="H78" s="1439"/>
      <c r="J78" s="1010"/>
      <c r="K78" s="1010"/>
      <c r="L78" s="843"/>
      <c r="M78" s="1010"/>
      <c r="N78" s="1010"/>
      <c r="P78" s="1010"/>
      <c r="Q78" s="1010"/>
      <c r="S78" s="1438">
        <v>25000</v>
      </c>
      <c r="T78" s="1439"/>
      <c r="V78" s="1482"/>
      <c r="W78" s="1483"/>
    </row>
    <row r="79" spans="1:23" s="449" customFormat="1" ht="12" customHeight="1">
      <c r="B79" s="449" t="s">
        <v>1831</v>
      </c>
      <c r="G79" s="1438">
        <v>24000</v>
      </c>
      <c r="H79" s="1439"/>
      <c r="J79" s="1438"/>
      <c r="K79" s="1439"/>
      <c r="L79" s="843"/>
      <c r="M79" s="1438"/>
      <c r="N79" s="1439"/>
      <c r="P79" s="1438"/>
      <c r="Q79" s="1439"/>
      <c r="S79" s="1438">
        <v>24000</v>
      </c>
      <c r="T79" s="1439"/>
      <c r="V79" s="1482"/>
      <c r="W79" s="1483"/>
    </row>
    <row r="80" spans="1:23" s="449" customFormat="1" ht="12" customHeight="1">
      <c r="B80" s="449" t="s">
        <v>1832</v>
      </c>
      <c r="G80" s="1438">
        <v>5000</v>
      </c>
      <c r="H80" s="1439"/>
      <c r="J80" s="1438"/>
      <c r="K80" s="1439"/>
      <c r="L80" s="843"/>
      <c r="M80" s="1438"/>
      <c r="N80" s="1439"/>
      <c r="P80" s="1438"/>
      <c r="Q80" s="1439"/>
      <c r="S80" s="1438">
        <v>5000</v>
      </c>
      <c r="T80" s="1439"/>
      <c r="V80" s="1482"/>
      <c r="W80" s="1483"/>
    </row>
    <row r="81" spans="1:23" s="449" customFormat="1" ht="12" customHeight="1">
      <c r="B81" s="449" t="s">
        <v>1833</v>
      </c>
      <c r="G81" s="1438"/>
      <c r="H81" s="1439"/>
      <c r="J81" s="1438"/>
      <c r="K81" s="1439"/>
      <c r="L81" s="843"/>
      <c r="M81" s="1438"/>
      <c r="N81" s="1439"/>
      <c r="P81" s="1438"/>
      <c r="Q81" s="1439"/>
      <c r="S81" s="1438"/>
      <c r="T81" s="1439"/>
      <c r="V81" s="1482"/>
      <c r="W81" s="1483"/>
    </row>
    <row r="82" spans="1:23" s="449" customFormat="1" ht="12" customHeight="1">
      <c r="B82" s="449" t="s">
        <v>3216</v>
      </c>
      <c r="G82" s="1438"/>
      <c r="H82" s="1439"/>
      <c r="J82" s="1438"/>
      <c r="K82" s="1439"/>
      <c r="L82" s="843"/>
      <c r="M82" s="1438"/>
      <c r="N82" s="1439"/>
      <c r="P82" s="1438"/>
      <c r="Q82" s="1439"/>
      <c r="S82" s="1438"/>
      <c r="T82" s="1439"/>
      <c r="V82" s="1482"/>
      <c r="W82" s="1483"/>
    </row>
    <row r="83" spans="1:23" s="449" customFormat="1" ht="12" customHeight="1" thickBot="1">
      <c r="A83" s="548" t="str">
        <f>IF(AND(G83&gt;0,OR(C83="",C83="&lt;Enter detailed description here; use Comments section if needed&gt;")),"X","")</f>
        <v/>
      </c>
      <c r="B83" s="449" t="s">
        <v>1137</v>
      </c>
      <c r="C83" s="1298" t="s">
        <v>3398</v>
      </c>
      <c r="D83" s="1298"/>
      <c r="E83" s="1298"/>
      <c r="F83" s="1299"/>
      <c r="G83" s="1438"/>
      <c r="H83" s="1439"/>
      <c r="J83" s="1438"/>
      <c r="K83" s="1439"/>
      <c r="L83" s="843"/>
      <c r="M83" s="1438"/>
      <c r="N83" s="1439"/>
      <c r="P83" s="1438"/>
      <c r="Q83" s="1439"/>
      <c r="S83" s="1438"/>
      <c r="T83" s="1439"/>
      <c r="U83" s="547" t="str">
        <f>IF(AND(G83&gt;0,OR(C83="",C83="&lt;Enter detailed description here; use Comments section if needed&gt;")),"NO DESCRIPTION PROVIDED - please enter detailed description in Other box at left; use Comments section below if needed.","")</f>
        <v/>
      </c>
      <c r="V83" s="1482"/>
      <c r="W83" s="1483"/>
    </row>
    <row r="84" spans="1:23" s="449" customFormat="1" ht="12" customHeight="1" thickTop="1">
      <c r="F84" s="513" t="s">
        <v>230</v>
      </c>
      <c r="G84" s="1018">
        <f>SUM(G77:H83)</f>
        <v>85000</v>
      </c>
      <c r="H84" s="1019"/>
      <c r="J84" s="1018">
        <f>SUM(J79:K83)</f>
        <v>0</v>
      </c>
      <c r="K84" s="1019"/>
      <c r="L84" s="515"/>
      <c r="M84" s="1018">
        <f>SUM(M79:N83)</f>
        <v>0</v>
      </c>
      <c r="N84" s="1019"/>
      <c r="P84" s="1018">
        <f>SUM(P79:Q83)</f>
        <v>0</v>
      </c>
      <c r="Q84" s="1019"/>
      <c r="S84" s="1018">
        <f>SUM(S77:T83)</f>
        <v>85000</v>
      </c>
      <c r="T84" s="1019"/>
      <c r="V84" s="1485"/>
      <c r="W84" s="148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3865</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4" customHeight="1">
      <c r="B89" s="449" t="s">
        <v>2138</v>
      </c>
      <c r="G89" s="1438"/>
      <c r="H89" s="1439"/>
      <c r="J89" s="515"/>
      <c r="K89" s="515"/>
      <c r="L89" s="843"/>
      <c r="M89" s="515"/>
      <c r="N89" s="515"/>
      <c r="P89" s="515"/>
      <c r="Q89" s="515"/>
      <c r="S89" s="1438"/>
      <c r="T89" s="1439"/>
      <c r="V89" s="1480"/>
      <c r="W89" s="1481"/>
    </row>
    <row r="90" spans="1:23" s="449" customFormat="1" ht="12.4" customHeight="1">
      <c r="B90" s="449" t="s">
        <v>1735</v>
      </c>
      <c r="G90" s="1438">
        <v>6500</v>
      </c>
      <c r="H90" s="1439"/>
      <c r="J90" s="515"/>
      <c r="K90" s="515"/>
      <c r="L90" s="530"/>
      <c r="M90" s="515"/>
      <c r="N90" s="515"/>
      <c r="P90" s="515"/>
      <c r="Q90" s="515"/>
      <c r="S90" s="1438">
        <v>6500</v>
      </c>
      <c r="T90" s="1439"/>
      <c r="V90" s="1482"/>
      <c r="W90" s="1483"/>
    </row>
    <row r="91" spans="1:23" s="449" customFormat="1" ht="12.4" customHeight="1">
      <c r="B91" s="449" t="s">
        <v>3953</v>
      </c>
      <c r="G91" s="1438"/>
      <c r="H91" s="1439"/>
      <c r="J91" s="515"/>
      <c r="K91" s="515"/>
      <c r="L91" s="530"/>
      <c r="M91" s="515"/>
      <c r="N91" s="515"/>
      <c r="O91" s="833"/>
      <c r="P91" s="515"/>
      <c r="Q91" s="515"/>
      <c r="S91" s="1438"/>
      <c r="T91" s="1439"/>
      <c r="V91" s="1482"/>
      <c r="W91" s="1483"/>
    </row>
    <row r="92" spans="1:23" s="449" customFormat="1" ht="12.4" customHeight="1">
      <c r="B92" s="449" t="s">
        <v>754</v>
      </c>
      <c r="E92" s="1064">
        <f>'DCA Underwriting Assumptions'!$Q$41*$J$165</f>
        <v>64000</v>
      </c>
      <c r="F92" s="1065"/>
      <c r="G92" s="1438">
        <v>64000</v>
      </c>
      <c r="H92" s="1439"/>
      <c r="J92" s="515"/>
      <c r="K92" s="515"/>
      <c r="L92" s="843"/>
      <c r="M92" s="515"/>
      <c r="N92" s="515"/>
      <c r="O92" s="833"/>
      <c r="P92" s="515"/>
      <c r="Q92" s="515"/>
      <c r="S92" s="1438">
        <v>64000</v>
      </c>
      <c r="T92" s="1439"/>
      <c r="V92" s="1482"/>
      <c r="W92" s="1483"/>
    </row>
    <row r="93" spans="1:23" s="449" customFormat="1" ht="12.4"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84000</v>
      </c>
      <c r="F93" s="1065"/>
      <c r="G93" s="1438">
        <v>84000</v>
      </c>
      <c r="H93" s="1439"/>
      <c r="J93" s="416"/>
      <c r="K93" s="416"/>
      <c r="L93" s="416"/>
      <c r="M93" s="416"/>
      <c r="N93" s="416"/>
      <c r="O93" s="416"/>
      <c r="P93" s="416"/>
      <c r="Q93" s="416"/>
      <c r="S93" s="1438">
        <v>84000</v>
      </c>
      <c r="T93" s="1439"/>
      <c r="V93" s="1482"/>
      <c r="W93" s="1483"/>
    </row>
    <row r="94" spans="1:23" s="449" customFormat="1" ht="12.4" customHeight="1">
      <c r="B94" s="449" t="s">
        <v>672</v>
      </c>
      <c r="G94" s="1438"/>
      <c r="H94" s="1439"/>
      <c r="J94" s="416"/>
      <c r="K94" s="416"/>
      <c r="L94" s="416"/>
      <c r="M94" s="416"/>
      <c r="N94" s="416"/>
      <c r="O94" s="416"/>
      <c r="P94" s="416"/>
      <c r="Q94" s="416"/>
      <c r="S94" s="1438"/>
      <c r="T94" s="1439"/>
      <c r="V94" s="1482"/>
      <c r="W94" s="1483"/>
    </row>
    <row r="95" spans="1:23" s="449" customFormat="1" ht="12.4" customHeight="1">
      <c r="B95" s="449" t="s">
        <v>3315</v>
      </c>
      <c r="G95" s="1438"/>
      <c r="H95" s="1439"/>
      <c r="J95" s="416"/>
      <c r="K95" s="416"/>
      <c r="L95" s="416"/>
      <c r="M95" s="416"/>
      <c r="N95" s="416"/>
      <c r="O95" s="416"/>
      <c r="P95" s="416"/>
      <c r="Q95" s="416"/>
      <c r="S95" s="1438"/>
      <c r="T95" s="1439"/>
      <c r="V95" s="1482"/>
      <c r="W95" s="1483"/>
    </row>
    <row r="96" spans="1:23" s="449" customFormat="1" ht="12.4" customHeight="1">
      <c r="A96" s="548" t="str">
        <f>IF(AND(G96&gt;0,OR(C96="",C96="&lt;Enter detailed description here; use Comments section if needed&gt;")),"X","")</f>
        <v/>
      </c>
      <c r="B96" s="449" t="s">
        <v>1137</v>
      </c>
      <c r="C96" s="1298" t="s">
        <v>3398</v>
      </c>
      <c r="D96" s="1298"/>
      <c r="E96" s="1298"/>
      <c r="F96" s="1299"/>
      <c r="G96" s="1438"/>
      <c r="H96" s="1439"/>
      <c r="J96" s="416"/>
      <c r="K96" s="416"/>
      <c r="L96" s="416"/>
      <c r="M96" s="416"/>
      <c r="N96" s="416"/>
      <c r="O96" s="416"/>
      <c r="P96" s="416"/>
      <c r="Q96" s="416"/>
      <c r="S96" s="1438"/>
      <c r="T96" s="1439"/>
      <c r="U96" s="547" t="str">
        <f>IF(AND(G96&gt;0,OR(C96="",C96="&lt;Enter detailed description here; use Comments section if needed&gt;")),"NO DESCRIPTION PROVIDED - please enter detailed description in Other box at left; use Comments section below if needed.","")</f>
        <v/>
      </c>
      <c r="V96" s="1482"/>
      <c r="W96" s="1483"/>
    </row>
    <row r="97" spans="1:23" s="449" customFormat="1" ht="12.4" customHeight="1" thickBot="1">
      <c r="A97" s="548" t="str">
        <f>IF(AND(G97&gt;0,OR(C97="",C97="&lt;Enter detailed description here; use Comments section if needed&gt;")),"X","")</f>
        <v/>
      </c>
      <c r="B97" s="449" t="s">
        <v>1137</v>
      </c>
      <c r="C97" s="1298" t="s">
        <v>3398</v>
      </c>
      <c r="D97" s="1298"/>
      <c r="E97" s="1298"/>
      <c r="F97" s="1299"/>
      <c r="G97" s="1438"/>
      <c r="H97" s="1439"/>
      <c r="J97" s="416"/>
      <c r="K97" s="416"/>
      <c r="L97" s="416"/>
      <c r="M97" s="416"/>
      <c r="N97" s="416"/>
      <c r="O97" s="416"/>
      <c r="P97" s="416"/>
      <c r="Q97" s="416"/>
      <c r="S97" s="1438"/>
      <c r="T97" s="1439"/>
      <c r="U97" s="547" t="str">
        <f>IF(AND(G97&gt;0,OR(C97="",C97="&lt;Enter detailed description here; use Comments section if needed&gt;")),"NO DESCRIPTION PROVIDED - please enter detailed description in Other box at left; use Comments section below if needed.","")</f>
        <v/>
      </c>
      <c r="V97" s="1482"/>
      <c r="W97" s="1483"/>
    </row>
    <row r="98" spans="1:23" s="449" customFormat="1" ht="12.4" customHeight="1" thickTop="1">
      <c r="F98" s="513" t="s">
        <v>230</v>
      </c>
      <c r="G98" s="1018">
        <f>SUM(G89:H97)</f>
        <v>154500</v>
      </c>
      <c r="H98" s="1019"/>
      <c r="J98" s="515"/>
      <c r="K98" s="515"/>
      <c r="L98" s="843"/>
      <c r="M98" s="515"/>
      <c r="N98" s="515"/>
      <c r="P98" s="515"/>
      <c r="Q98" s="515"/>
      <c r="S98" s="1018">
        <f>SUM(S89:T97)</f>
        <v>154500</v>
      </c>
      <c r="T98" s="1019"/>
      <c r="V98" s="1485"/>
      <c r="W98" s="1486"/>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4" customHeight="1">
      <c r="B100" s="449" t="s">
        <v>344</v>
      </c>
      <c r="G100" s="1438">
        <v>6000</v>
      </c>
      <c r="H100" s="1439"/>
      <c r="J100" s="1026"/>
      <c r="K100" s="1026"/>
      <c r="L100" s="843"/>
      <c r="M100" s="1026"/>
      <c r="N100" s="1026"/>
      <c r="O100" s="833"/>
      <c r="P100" s="1026"/>
      <c r="Q100" s="1026"/>
      <c r="S100" s="1438">
        <v>6000</v>
      </c>
      <c r="T100" s="1439"/>
      <c r="V100" s="1480"/>
      <c r="W100" s="1481"/>
    </row>
    <row r="101" spans="1:23" s="449" customFormat="1" ht="12.4" customHeight="1">
      <c r="B101" s="449" t="s">
        <v>346</v>
      </c>
      <c r="G101" s="1438">
        <v>5000</v>
      </c>
      <c r="H101" s="1439"/>
      <c r="J101" s="1026"/>
      <c r="K101" s="1026"/>
      <c r="L101" s="843"/>
      <c r="M101" s="1026"/>
      <c r="N101" s="1026"/>
      <c r="O101" s="833"/>
      <c r="P101" s="1026"/>
      <c r="Q101" s="1026"/>
      <c r="S101" s="1438">
        <v>5000</v>
      </c>
      <c r="T101" s="1439"/>
      <c r="V101" s="1482"/>
      <c r="W101" s="1483"/>
    </row>
    <row r="102" spans="1:23" s="449" customFormat="1" ht="12.4" customHeight="1">
      <c r="B102" s="449" t="s">
        <v>3359</v>
      </c>
      <c r="G102" s="1438">
        <v>50000</v>
      </c>
      <c r="H102" s="1439"/>
      <c r="J102" s="1026"/>
      <c r="K102" s="1026"/>
      <c r="L102" s="843"/>
      <c r="M102" s="1026"/>
      <c r="N102" s="1026"/>
      <c r="O102" s="833"/>
      <c r="P102" s="1026"/>
      <c r="Q102" s="1026"/>
      <c r="S102" s="1438">
        <v>50000</v>
      </c>
      <c r="T102" s="1439"/>
      <c r="V102" s="1482"/>
      <c r="W102" s="1483"/>
    </row>
    <row r="103" spans="1:23" s="449" customFormat="1" ht="12.4" customHeight="1" thickBot="1">
      <c r="A103" s="548" t="str">
        <f>IF(AND(G103&gt;0,OR(C103="",C103="&lt;Enter detailed description here; use Comments section if needed&gt;")),"X","")</f>
        <v/>
      </c>
      <c r="B103" s="449" t="s">
        <v>1137</v>
      </c>
      <c r="C103" s="1298" t="s">
        <v>4037</v>
      </c>
      <c r="D103" s="1298"/>
      <c r="E103" s="1298"/>
      <c r="F103" s="1299"/>
      <c r="G103" s="1438">
        <v>75000</v>
      </c>
      <c r="H103" s="1439"/>
      <c r="J103" s="1026"/>
      <c r="K103" s="1026"/>
      <c r="L103" s="843"/>
      <c r="M103" s="1026"/>
      <c r="N103" s="1026"/>
      <c r="O103" s="833"/>
      <c r="P103" s="1026"/>
      <c r="Q103" s="1026"/>
      <c r="S103" s="1438">
        <v>75000</v>
      </c>
      <c r="T103" s="1439"/>
      <c r="U103" s="547" t="str">
        <f>IF(AND(G103&gt;0,OR(C103="",C103="&lt;Enter detailed description here; use Comments section if needed&gt;")),"NO DESCRIPTION PROVIDED - please enter detailed description in Other box at left; use Comments section below if needed.","")</f>
        <v/>
      </c>
      <c r="V103" s="1482"/>
      <c r="W103" s="1483"/>
    </row>
    <row r="104" spans="1:23" s="449" customFormat="1" ht="12.4" customHeight="1" thickTop="1">
      <c r="F104" s="513" t="s">
        <v>230</v>
      </c>
      <c r="G104" s="1018">
        <f>SUM(G100:H103)</f>
        <v>136000</v>
      </c>
      <c r="H104" s="1019"/>
      <c r="J104" s="1026"/>
      <c r="K104" s="1026"/>
      <c r="L104" s="843"/>
      <c r="M104" s="1026"/>
      <c r="N104" s="1026"/>
      <c r="O104" s="833"/>
      <c r="P104" s="1026"/>
      <c r="Q104" s="1026"/>
      <c r="S104" s="1018">
        <f>SUM(S100:T103)</f>
        <v>136000</v>
      </c>
      <c r="T104" s="1019"/>
      <c r="V104" s="1485"/>
      <c r="W104" s="148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4" customHeight="1">
      <c r="B106" s="449" t="s">
        <v>2731</v>
      </c>
      <c r="F106" s="624">
        <f>G106/$G$109</f>
        <v>0.2</v>
      </c>
      <c r="G106" s="1438">
        <v>308000</v>
      </c>
      <c r="H106" s="1439"/>
      <c r="J106" s="1438">
        <v>308000</v>
      </c>
      <c r="K106" s="1439"/>
      <c r="L106" s="514"/>
      <c r="M106" s="1438"/>
      <c r="N106" s="1439"/>
      <c r="P106" s="1438"/>
      <c r="Q106" s="1439"/>
      <c r="S106" s="1438"/>
      <c r="T106" s="1439"/>
      <c r="V106" s="1480"/>
      <c r="W106" s="1481"/>
    </row>
    <row r="107" spans="1:23" s="449" customFormat="1" ht="12.4" customHeight="1">
      <c r="B107" s="449" t="s">
        <v>2732</v>
      </c>
      <c r="F107" s="624">
        <f>G107/$G$109</f>
        <v>0</v>
      </c>
      <c r="G107" s="1438"/>
      <c r="H107" s="1439"/>
      <c r="J107" s="1438"/>
      <c r="K107" s="1439"/>
      <c r="L107" s="843"/>
      <c r="M107" s="1438"/>
      <c r="N107" s="1439"/>
      <c r="P107" s="1438"/>
      <c r="Q107" s="1439"/>
      <c r="S107" s="1438"/>
      <c r="T107" s="1439"/>
      <c r="V107" s="1482"/>
      <c r="W107" s="1483"/>
    </row>
    <row r="108" spans="1:23" s="449" customFormat="1" ht="12.4" customHeight="1" thickBot="1">
      <c r="B108" s="449" t="s">
        <v>2724</v>
      </c>
      <c r="F108" s="624">
        <f>G108/$G$109</f>
        <v>0.8</v>
      </c>
      <c r="G108" s="1438">
        <v>1232000</v>
      </c>
      <c r="H108" s="1439"/>
      <c r="J108" s="1438">
        <v>1232000</v>
      </c>
      <c r="K108" s="1439"/>
      <c r="L108" s="843"/>
      <c r="M108" s="1438"/>
      <c r="N108" s="1439"/>
      <c r="P108" s="1438"/>
      <c r="Q108" s="1439"/>
      <c r="S108" s="1438"/>
      <c r="T108" s="1439"/>
      <c r="V108" s="1482"/>
      <c r="W108" s="1483"/>
    </row>
    <row r="109" spans="1:23" s="449" customFormat="1" ht="12.4" customHeight="1" thickTop="1">
      <c r="C109" s="547" t="str">
        <f>IF(G109&lt;='DCA Underwriting Assumptions'!$Q$47,"","Developer Fee exceeds DCA Program Maximum !!!")</f>
        <v/>
      </c>
      <c r="F109" s="513" t="s">
        <v>230</v>
      </c>
      <c r="G109" s="1018">
        <f>SUM(G106:H108)</f>
        <v>1540000</v>
      </c>
      <c r="H109" s="1019"/>
      <c r="J109" s="1018">
        <f>SUM(J106:K108)</f>
        <v>1540000</v>
      </c>
      <c r="K109" s="1019"/>
      <c r="L109" s="843"/>
      <c r="M109" s="1018">
        <f>SUM(M106:N108)</f>
        <v>0</v>
      </c>
      <c r="N109" s="1019"/>
      <c r="P109" s="1018">
        <f>SUM(P106:Q108)</f>
        <v>0</v>
      </c>
      <c r="Q109" s="1019"/>
      <c r="S109" s="1018">
        <f>SUM(S106:T108)</f>
        <v>0</v>
      </c>
      <c r="T109" s="1019"/>
      <c r="V109" s="1485"/>
      <c r="W109" s="148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4" customHeight="1">
      <c r="B111" s="449" t="s">
        <v>304</v>
      </c>
      <c r="G111" s="1438">
        <v>40000</v>
      </c>
      <c r="H111" s="1439"/>
      <c r="J111" s="531"/>
      <c r="K111" s="531"/>
      <c r="L111" s="531"/>
      <c r="M111" s="531"/>
      <c r="N111" s="531"/>
      <c r="P111" s="531"/>
      <c r="Q111" s="531"/>
      <c r="S111" s="1438">
        <v>40000</v>
      </c>
      <c r="T111" s="1439"/>
      <c r="V111" s="1480"/>
      <c r="W111" s="1481"/>
    </row>
    <row r="112" spans="1:23" s="449" customFormat="1" ht="12.4" customHeight="1">
      <c r="B112" s="449" t="s">
        <v>2137</v>
      </c>
      <c r="G112" s="1438">
        <v>120400</v>
      </c>
      <c r="H112" s="1439"/>
      <c r="J112" s="1026"/>
      <c r="K112" s="1026"/>
      <c r="L112" s="843"/>
      <c r="M112" s="1026"/>
      <c r="N112" s="1026"/>
      <c r="O112" s="833"/>
      <c r="P112" s="1026"/>
      <c r="Q112" s="1026"/>
      <c r="R112" s="833"/>
      <c r="S112" s="1438">
        <v>120400</v>
      </c>
      <c r="T112" s="1439"/>
      <c r="V112" s="1482"/>
      <c r="W112" s="1483"/>
    </row>
    <row r="113" spans="1:23" s="449" customFormat="1" ht="12.4" customHeight="1">
      <c r="B113" s="449" t="s">
        <v>948</v>
      </c>
      <c r="F113" s="472"/>
      <c r="G113" s="1438">
        <v>364400</v>
      </c>
      <c r="H113" s="1439"/>
      <c r="J113" s="530"/>
      <c r="K113" s="530"/>
      <c r="L113" s="530"/>
      <c r="M113" s="530"/>
      <c r="N113" s="530"/>
      <c r="O113" s="833"/>
      <c r="P113" s="530"/>
      <c r="Q113" s="530"/>
      <c r="R113" s="833"/>
      <c r="S113" s="1438">
        <v>364400</v>
      </c>
      <c r="T113" s="1439"/>
      <c r="V113" s="1482"/>
      <c r="W113" s="1483"/>
    </row>
    <row r="114" spans="1:23" s="449" customFormat="1" ht="12.4" customHeight="1">
      <c r="B114" s="449" t="s">
        <v>1796</v>
      </c>
      <c r="G114" s="1438">
        <v>52500</v>
      </c>
      <c r="H114" s="1439"/>
      <c r="J114" s="531"/>
      <c r="K114" s="531"/>
      <c r="L114" s="531"/>
      <c r="M114" s="531"/>
      <c r="N114" s="531"/>
      <c r="P114" s="531"/>
      <c r="Q114" s="531"/>
      <c r="S114" s="1438">
        <v>52500</v>
      </c>
      <c r="T114" s="1439"/>
      <c r="V114" s="1482"/>
      <c r="W114" s="1483"/>
    </row>
    <row r="115" spans="1:23" s="449" customFormat="1" ht="12.4" customHeight="1">
      <c r="B115" s="449" t="s">
        <v>1797</v>
      </c>
      <c r="E115" s="449" t="s">
        <v>1370</v>
      </c>
      <c r="F115" s="792">
        <f>G115/'Part VI-Revenues &amp; Expenses'!$M$62</f>
        <v>952.38095238095241</v>
      </c>
      <c r="G115" s="1438">
        <v>100000</v>
      </c>
      <c r="H115" s="1439"/>
      <c r="J115" s="1438">
        <v>100000</v>
      </c>
      <c r="K115" s="1439"/>
      <c r="L115" s="843"/>
      <c r="M115" s="1438"/>
      <c r="N115" s="1439"/>
      <c r="P115" s="1438"/>
      <c r="Q115" s="1439"/>
      <c r="S115" s="1438"/>
      <c r="T115" s="1439"/>
      <c r="V115" s="1482"/>
      <c r="W115" s="1483"/>
    </row>
    <row r="116" spans="1:23" s="449" customFormat="1" ht="12.4" customHeight="1" thickBot="1">
      <c r="A116" s="548" t="str">
        <f>IF(AND(G116&gt;0,OR(C116="",C116="&lt;Enter detailed description here; use Comments section if needed&gt;")),"X","")</f>
        <v/>
      </c>
      <c r="B116" s="449" t="s">
        <v>1137</v>
      </c>
      <c r="C116" s="1298" t="s">
        <v>3398</v>
      </c>
      <c r="D116" s="1298"/>
      <c r="E116" s="1298"/>
      <c r="F116" s="1299"/>
      <c r="G116" s="1438"/>
      <c r="H116" s="1439"/>
      <c r="J116" s="1438"/>
      <c r="K116" s="1439"/>
      <c r="L116" s="843"/>
      <c r="M116" s="1438"/>
      <c r="N116" s="1439"/>
      <c r="P116" s="1438"/>
      <c r="Q116" s="1439"/>
      <c r="S116" s="1438"/>
      <c r="T116" s="1439"/>
      <c r="U116" s="547" t="str">
        <f>IF(AND(G116&gt;0,OR(C116="",C116="&lt;Enter detailed description here; use Comments section if needed&gt;")),"NO DESCRIPTION PROVIDED - please enter detailed description in Other box at left; use Comments section below if needed.","")</f>
        <v/>
      </c>
      <c r="V116" s="1482"/>
      <c r="W116" s="1483"/>
    </row>
    <row r="117" spans="1:23" s="449" customFormat="1" ht="12.4" customHeight="1" thickTop="1">
      <c r="B117" s="532"/>
      <c r="F117" s="513" t="s">
        <v>230</v>
      </c>
      <c r="G117" s="1018">
        <f>SUM(G111:H116)</f>
        <v>677300</v>
      </c>
      <c r="H117" s="1019"/>
      <c r="J117" s="1018">
        <f>SUM(J115:K116)</f>
        <v>100000</v>
      </c>
      <c r="K117" s="1019"/>
      <c r="L117" s="843"/>
      <c r="M117" s="1018">
        <f>SUM(M115:N116)</f>
        <v>0</v>
      </c>
      <c r="N117" s="1019"/>
      <c r="P117" s="1018">
        <f>SUM(P115:Q116)</f>
        <v>0</v>
      </c>
      <c r="Q117" s="1019"/>
      <c r="S117" s="1018">
        <f>SUM(S111:T116)</f>
        <v>577300</v>
      </c>
      <c r="T117" s="1019"/>
      <c r="V117" s="1485"/>
      <c r="W117" s="1486"/>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4" customHeight="1">
      <c r="B119" s="449" t="s">
        <v>867</v>
      </c>
      <c r="C119" s="827"/>
      <c r="G119" s="1438"/>
      <c r="H119" s="1439"/>
      <c r="J119" s="1438"/>
      <c r="K119" s="1439"/>
      <c r="L119" s="514"/>
      <c r="M119" s="1438"/>
      <c r="N119" s="1439"/>
      <c r="P119" s="1438"/>
      <c r="Q119" s="1439"/>
      <c r="S119" s="1438"/>
      <c r="T119" s="1439"/>
      <c r="V119" s="1480"/>
      <c r="W119" s="1481"/>
    </row>
    <row r="120" spans="1:23" s="449" customFormat="1" ht="12.4" customHeight="1" thickBot="1">
      <c r="A120" s="548" t="str">
        <f>IF(AND(G120&gt;0,OR(C120="",C120="&lt;Enter detailed description here; use Comments section if needed&gt;")),"X","")</f>
        <v/>
      </c>
      <c r="B120" s="449" t="s">
        <v>1137</v>
      </c>
      <c r="C120" s="1298" t="s">
        <v>4018</v>
      </c>
      <c r="D120" s="1298"/>
      <c r="E120" s="1298"/>
      <c r="F120" s="1299"/>
      <c r="G120" s="1438">
        <v>10000</v>
      </c>
      <c r="H120" s="1439"/>
      <c r="J120" s="1438">
        <v>10000</v>
      </c>
      <c r="K120" s="1439"/>
      <c r="L120" s="843"/>
      <c r="M120" s="1438"/>
      <c r="N120" s="1439"/>
      <c r="P120" s="1438"/>
      <c r="Q120" s="1439"/>
      <c r="S120" s="1438"/>
      <c r="T120" s="1439"/>
      <c r="U120" s="547" t="str">
        <f>IF(AND(G120&gt;0,OR(C120="",C120="&lt;Enter detailed description here; use Comments section if needed&gt;")),"NO DESCRIPTION PROVIDED - please enter detailed description in Other box at left; use Comments section below if needed.","")</f>
        <v/>
      </c>
      <c r="V120" s="1482"/>
      <c r="W120" s="1483"/>
    </row>
    <row r="121" spans="1:23" s="449" customFormat="1" ht="12.4" customHeight="1" thickTop="1">
      <c r="C121" s="827"/>
      <c r="F121" s="513" t="s">
        <v>230</v>
      </c>
      <c r="G121" s="1018">
        <f>SUM(G119:H120)</f>
        <v>10000</v>
      </c>
      <c r="H121" s="1019"/>
      <c r="J121" s="1018">
        <f>SUM(J119:K120)</f>
        <v>10000</v>
      </c>
      <c r="K121" s="1019"/>
      <c r="L121" s="843"/>
      <c r="M121" s="1018">
        <f>SUM(M119:N120)</f>
        <v>0</v>
      </c>
      <c r="N121" s="1019"/>
      <c r="P121" s="1018">
        <f>SUM(P119:Q120)</f>
        <v>0</v>
      </c>
      <c r="Q121" s="1019"/>
      <c r="S121" s="1018">
        <f>SUM(S119:T120)</f>
        <v>0</v>
      </c>
      <c r="T121" s="1019"/>
      <c r="V121" s="1482"/>
      <c r="W121" s="1483"/>
    </row>
    <row r="122" spans="1:23" s="449" customFormat="1" ht="3" customHeight="1" thickBot="1">
      <c r="C122" s="827"/>
      <c r="H122" s="528"/>
      <c r="I122" s="528"/>
      <c r="L122" s="833"/>
      <c r="V122" s="1482"/>
      <c r="W122" s="1483"/>
    </row>
    <row r="123" spans="1:23" s="449" customFormat="1" ht="13.9" customHeight="1" thickBot="1">
      <c r="B123" s="456" t="s">
        <v>348</v>
      </c>
      <c r="G123" s="1022">
        <f>G17+G23+G27+G32+G36+G42+G57+G69+G75+G84+G98+G104+G109+G117+G121</f>
        <v>12415680</v>
      </c>
      <c r="H123" s="1023"/>
      <c r="J123" s="1022">
        <f>J17+J23+J27+J32+J36+J42+J57+J69+J75+J84+J98+J104+J109+J117+J121</f>
        <v>11113680</v>
      </c>
      <c r="K123" s="1023"/>
      <c r="M123" s="1022">
        <f>M17+M23+M27+M32+M36+M42+M57+M69+M75+M84+M98+M104+M109+M117+M121</f>
        <v>0</v>
      </c>
      <c r="N123" s="1023"/>
      <c r="P123" s="1022">
        <f>P17+P23+P27+P32+P36+P42+P57+P69+P75+P84+P98+P104+P109+P117+P121</f>
        <v>0</v>
      </c>
      <c r="Q123" s="1023"/>
      <c r="S123" s="1022">
        <f>S17+S23+S27+S32+S36+S42+S57+S69+S75+S84+S98+S104+S109+S117+S121</f>
        <v>1302000</v>
      </c>
      <c r="T123" s="1023"/>
      <c r="V123" s="1485"/>
      <c r="W123" s="1486"/>
    </row>
    <row r="124" spans="1:23" s="449" customFormat="1" ht="3" customHeight="1" thickBot="1">
      <c r="C124" s="827"/>
      <c r="H124" s="528"/>
      <c r="I124" s="528"/>
      <c r="L124" s="833"/>
    </row>
    <row r="125" spans="1:23" s="449" customFormat="1" ht="13.9" customHeight="1" thickBot="1">
      <c r="B125" s="456" t="s">
        <v>3621</v>
      </c>
      <c r="D125" s="1020">
        <f>IF(AND($T$155 = "Yes", 'Part IX A-Scoring Criteria'!$O$246 &gt; 0),'DCA Underwriting Assumptions'!$R$13, IF(AND('Part IV-Uses of Funds'!$T$156="Yes", 'Part IX A-Scoring Criteria'!$O$67&gt;0),'DCA Underwriting Assumptions'!$R$12, 'DCA Underwriting Assumptions'!$R$11))</f>
        <v>15076075</v>
      </c>
      <c r="E125" s="1021"/>
      <c r="F125" s="452" t="s">
        <v>957</v>
      </c>
      <c r="G125" s="1024">
        <f>G123/'Part VI-Revenues &amp; Expenses'!$M$62</f>
        <v>118244.57142857143</v>
      </c>
      <c r="H125" s="1025"/>
      <c r="I125" s="533"/>
      <c r="J125" s="456" t="s">
        <v>958</v>
      </c>
      <c r="M125" s="1024">
        <f>G123/'Part VI-Revenues &amp; Expenses'!$M$100</f>
        <v>112.03970581599964</v>
      </c>
      <c r="N125" s="1025"/>
    </row>
    <row r="126" spans="1:23" s="449" customFormat="1" ht="3" customHeight="1">
      <c r="I126" s="533"/>
      <c r="L126" s="533"/>
    </row>
    <row r="127" spans="1:23" s="449" customFormat="1" ht="3.4"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2929</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87"/>
      <c r="K131" s="1488"/>
      <c r="P131" s="1487"/>
      <c r="Q131" s="1488"/>
      <c r="V131" s="1480"/>
      <c r="W131" s="1481"/>
    </row>
    <row r="132" spans="2:23" s="449" customFormat="1" ht="13.9" customHeight="1">
      <c r="B132" s="833" t="s">
        <v>3044</v>
      </c>
      <c r="D132" s="833"/>
      <c r="E132" s="833"/>
      <c r="F132" s="833"/>
      <c r="G132" s="833"/>
      <c r="H132" s="833"/>
      <c r="I132" s="535"/>
      <c r="J132" s="1487"/>
      <c r="K132" s="1488"/>
      <c r="P132" s="1487"/>
      <c r="Q132" s="1488"/>
      <c r="V132" s="1482"/>
      <c r="W132" s="1483"/>
    </row>
    <row r="133" spans="2:23" s="449" customFormat="1" ht="13.9" customHeight="1">
      <c r="B133" s="833" t="s">
        <v>2734</v>
      </c>
      <c r="D133" s="833"/>
      <c r="E133" s="833"/>
      <c r="I133" s="535"/>
      <c r="J133" s="1487"/>
      <c r="K133" s="1488"/>
      <c r="P133" s="1487"/>
      <c r="Q133" s="1488"/>
      <c r="V133" s="1482"/>
      <c r="W133" s="1483"/>
    </row>
    <row r="134" spans="2:23" s="449" customFormat="1" ht="13.9" customHeight="1">
      <c r="B134" s="833" t="s">
        <v>2735</v>
      </c>
      <c r="D134" s="833"/>
      <c r="E134" s="833"/>
      <c r="I134" s="535"/>
      <c r="J134" s="1487"/>
      <c r="K134" s="1488"/>
      <c r="P134" s="1487"/>
      <c r="Q134" s="1488"/>
      <c r="V134" s="1482"/>
      <c r="W134" s="1483"/>
    </row>
    <row r="135" spans="2:23" s="449" customFormat="1" ht="13.9" customHeight="1">
      <c r="B135" s="833" t="s">
        <v>308</v>
      </c>
      <c r="D135" s="833"/>
      <c r="E135" s="833"/>
      <c r="I135" s="535"/>
      <c r="J135" s="1487"/>
      <c r="K135" s="1488"/>
      <c r="P135" s="1487"/>
      <c r="Q135" s="1488"/>
      <c r="V135" s="1482"/>
      <c r="W135" s="1483"/>
    </row>
    <row r="136" spans="2:23" s="449" customFormat="1" ht="13.9" customHeight="1" thickBot="1">
      <c r="B136" s="833" t="s">
        <v>2210</v>
      </c>
      <c r="C136" s="1298" t="s">
        <v>3398</v>
      </c>
      <c r="D136" s="1298"/>
      <c r="E136" s="1298"/>
      <c r="F136" s="1298"/>
      <c r="G136" s="1298"/>
      <c r="H136" s="1298"/>
      <c r="I136" s="1299"/>
      <c r="J136" s="1487"/>
      <c r="K136" s="1488"/>
      <c r="P136" s="1487"/>
      <c r="Q136" s="1488"/>
      <c r="V136" s="1482"/>
      <c r="W136" s="1483"/>
    </row>
    <row r="137" spans="2:23" s="449" customFormat="1" ht="13.9" customHeight="1" thickBot="1">
      <c r="B137" s="461" t="s">
        <v>2736</v>
      </c>
      <c r="C137" s="464"/>
      <c r="J137" s="965">
        <f>SUM(J131:K136)</f>
        <v>0</v>
      </c>
      <c r="K137" s="966"/>
      <c r="P137" s="965">
        <f>SUM(P131:Q136)</f>
        <v>0</v>
      </c>
      <c r="Q137" s="966"/>
      <c r="V137" s="1485"/>
      <c r="W137" s="1486"/>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55">
        <f>J123</f>
        <v>11113680</v>
      </c>
      <c r="K140" s="1056"/>
      <c r="M140" s="1058">
        <f>M123</f>
        <v>0</v>
      </c>
      <c r="N140" s="1059"/>
      <c r="P140" s="1055">
        <f>P123</f>
        <v>0</v>
      </c>
      <c r="Q140" s="1056"/>
      <c r="V140" s="1480"/>
      <c r="W140" s="1481"/>
    </row>
    <row r="141" spans="2:23" s="449" customFormat="1" ht="13.9" customHeight="1">
      <c r="B141" s="449" t="s">
        <v>3128</v>
      </c>
      <c r="J141" s="1042">
        <f>J137</f>
        <v>0</v>
      </c>
      <c r="K141" s="1049"/>
      <c r="M141" s="1043"/>
      <c r="N141" s="1043"/>
      <c r="P141" s="1042">
        <f>P137</f>
        <v>0</v>
      </c>
      <c r="Q141" s="1049"/>
      <c r="V141" s="1482"/>
      <c r="W141" s="1483"/>
    </row>
    <row r="142" spans="2:23" s="449" customFormat="1" ht="13.9" customHeight="1">
      <c r="B142" s="449" t="s">
        <v>3129</v>
      </c>
      <c r="J142" s="1042">
        <f>J140-J141</f>
        <v>11113680</v>
      </c>
      <c r="K142" s="1049"/>
      <c r="M142" s="1042">
        <f>M140</f>
        <v>0</v>
      </c>
      <c r="N142" s="1049"/>
      <c r="P142" s="1042">
        <f>P140-P141</f>
        <v>0</v>
      </c>
      <c r="Q142" s="1049"/>
      <c r="V142" s="1482"/>
      <c r="W142" s="1483"/>
    </row>
    <row r="143" spans="2:23" s="449" customFormat="1" ht="13.9" customHeight="1">
      <c r="B143" s="449" t="s">
        <v>2080</v>
      </c>
      <c r="G143" s="828" t="s">
        <v>2563</v>
      </c>
      <c r="H143" s="1286" t="s">
        <v>2626</v>
      </c>
      <c r="I143" s="1287"/>
      <c r="J143" s="1489">
        <v>1</v>
      </c>
      <c r="K143" s="1490"/>
      <c r="M143" s="1054"/>
      <c r="N143" s="1054"/>
      <c r="P143" s="1489"/>
      <c r="Q143" s="1490"/>
      <c r="V143" s="1482"/>
      <c r="W143" s="1483"/>
    </row>
    <row r="144" spans="2:23" s="449" customFormat="1" ht="13.9" customHeight="1">
      <c r="B144" s="449" t="s">
        <v>2942</v>
      </c>
      <c r="J144" s="1042">
        <f>J142*J143</f>
        <v>11113680</v>
      </c>
      <c r="K144" s="1049"/>
      <c r="M144" s="1042">
        <f>+M142</f>
        <v>0</v>
      </c>
      <c r="N144" s="1049"/>
      <c r="P144" s="1042">
        <f>P142*P143</f>
        <v>0</v>
      </c>
      <c r="Q144" s="1049"/>
      <c r="V144" s="1482"/>
      <c r="W144" s="1483"/>
    </row>
    <row r="145" spans="1:23" s="449" customFormat="1" ht="13.9" customHeight="1">
      <c r="B145" s="449" t="s">
        <v>3566</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82"/>
      <c r="W145" s="1483"/>
    </row>
    <row r="146" spans="1:23" s="449" customFormat="1" ht="13.9" customHeight="1">
      <c r="B146" s="449" t="s">
        <v>2930</v>
      </c>
      <c r="J146" s="1042">
        <f>J144*J145</f>
        <v>11113680</v>
      </c>
      <c r="K146" s="1049"/>
      <c r="M146" s="1042">
        <f>M144*M145</f>
        <v>0</v>
      </c>
      <c r="N146" s="1049"/>
      <c r="P146" s="1042">
        <f>P144*P145</f>
        <v>0</v>
      </c>
      <c r="Q146" s="1049"/>
      <c r="V146" s="1482"/>
      <c r="W146" s="1483"/>
    </row>
    <row r="147" spans="1:23" s="449" customFormat="1" ht="13.9" customHeight="1">
      <c r="B147" s="449" t="s">
        <v>2931</v>
      </c>
      <c r="J147" s="1489">
        <v>7.4800000000000005E-2</v>
      </c>
      <c r="K147" s="1490"/>
      <c r="M147" s="1489"/>
      <c r="N147" s="1490"/>
      <c r="P147" s="1489"/>
      <c r="Q147" s="1490"/>
      <c r="V147" s="1482"/>
      <c r="W147" s="1483"/>
    </row>
    <row r="148" spans="1:23" s="449" customFormat="1" ht="13.9" customHeight="1" thickBot="1">
      <c r="B148" s="449" t="s">
        <v>3567</v>
      </c>
      <c r="J148" s="1052">
        <f>J146*J147</f>
        <v>831303.26400000008</v>
      </c>
      <c r="K148" s="1053"/>
      <c r="M148" s="1052">
        <f>M146*M147</f>
        <v>0</v>
      </c>
      <c r="N148" s="1053"/>
      <c r="P148" s="1052">
        <f>P146*P147</f>
        <v>0</v>
      </c>
      <c r="Q148" s="1053"/>
      <c r="V148" s="1482"/>
      <c r="W148" s="1483"/>
    </row>
    <row r="149" spans="1:23" s="449" customFormat="1" ht="13.9" customHeight="1" thickBot="1">
      <c r="B149" s="452" t="s">
        <v>2004</v>
      </c>
      <c r="J149" s="965">
        <f>J148+M148+P148</f>
        <v>831303.26400000008</v>
      </c>
      <c r="K149" s="1048"/>
      <c r="L149" s="1048"/>
      <c r="M149" s="1048"/>
      <c r="N149" s="1048"/>
      <c r="O149" s="1048"/>
      <c r="P149" s="1048"/>
      <c r="Q149" s="966"/>
      <c r="V149" s="1485"/>
      <c r="W149" s="148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12415680</v>
      </c>
      <c r="K152" s="1034"/>
      <c r="L152" s="1034"/>
      <c r="M152" s="1039" t="s">
        <v>3957</v>
      </c>
      <c r="N152" s="1040"/>
      <c r="O152" s="1040"/>
      <c r="P152" s="1040"/>
      <c r="Q152" s="1040"/>
      <c r="R152" s="1041"/>
      <c r="S152" s="1029"/>
      <c r="T152" s="1030"/>
      <c r="V152" s="1480"/>
      <c r="W152" s="1481"/>
    </row>
    <row r="153" spans="1:23" s="449" customFormat="1" ht="13.9" customHeight="1">
      <c r="B153" s="449" t="s">
        <v>2491</v>
      </c>
      <c r="J153" s="1491">
        <v>12415680</v>
      </c>
      <c r="K153" s="1492"/>
      <c r="L153" s="1492"/>
      <c r="M153" s="1039"/>
      <c r="N153" s="1040"/>
      <c r="O153" s="1040"/>
      <c r="P153" s="1040"/>
      <c r="Q153" s="1040"/>
      <c r="R153" s="1041"/>
      <c r="S153" s="1029"/>
      <c r="T153" s="1030"/>
      <c r="V153" s="1482"/>
      <c r="W153" s="1483"/>
    </row>
    <row r="154" spans="1:23" s="449" customFormat="1" ht="13.9" customHeight="1">
      <c r="B154" s="449" t="s">
        <v>320</v>
      </c>
      <c r="J154" s="1042">
        <f>'Part III A-Sources of Funds'!$H$49-'Part III A-Sources of Funds'!$H$37-'Part III A-Sources of Funds'!$H$40-'Part III A-Sources of Funds'!$H$41</f>
        <v>3100000</v>
      </c>
      <c r="K154" s="1043"/>
      <c r="L154" s="1043"/>
      <c r="M154" s="1039"/>
      <c r="N154" s="1040"/>
      <c r="O154" s="1040"/>
      <c r="P154" s="1040"/>
      <c r="Q154" s="1040"/>
      <c r="R154" s="1041"/>
      <c r="S154" s="648"/>
      <c r="T154" s="651" t="s">
        <v>322</v>
      </c>
      <c r="V154" s="1482"/>
      <c r="W154" s="1483"/>
    </row>
    <row r="155" spans="1:23" s="449" customFormat="1" ht="13.9" customHeight="1">
      <c r="B155" s="449" t="s">
        <v>3141</v>
      </c>
      <c r="J155" s="1042">
        <f>+J153-J154</f>
        <v>9315680</v>
      </c>
      <c r="K155" s="1043"/>
      <c r="L155" s="1043"/>
      <c r="M155" s="1047" t="s">
        <v>3887</v>
      </c>
      <c r="N155" s="1493"/>
      <c r="O155" s="1493"/>
      <c r="P155" s="1493"/>
      <c r="Q155" s="1493"/>
      <c r="R155" s="1494"/>
      <c r="S155" s="649" t="s">
        <v>2493</v>
      </c>
      <c r="T155" s="1495"/>
      <c r="V155" s="1482"/>
      <c r="W155" s="1483"/>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96"/>
      <c r="V156" s="1482"/>
      <c r="W156" s="1483"/>
    </row>
    <row r="157" spans="1:23" s="449" customFormat="1" ht="13.9" customHeight="1">
      <c r="B157" s="449" t="s">
        <v>1854</v>
      </c>
      <c r="J157" s="1042">
        <f>J155/10</f>
        <v>931568</v>
      </c>
      <c r="K157" s="1043"/>
      <c r="L157" s="1049"/>
      <c r="M157" s="472"/>
      <c r="N157" s="896" t="s">
        <v>1855</v>
      </c>
      <c r="O157" s="896"/>
      <c r="Q157" s="896" t="s">
        <v>2655</v>
      </c>
      <c r="R157" s="896"/>
      <c r="V157" s="1482"/>
      <c r="W157" s="1483"/>
    </row>
    <row r="158" spans="1:23" s="449" customFormat="1" ht="13.9" customHeight="1" thickBot="1">
      <c r="B158" s="449" t="s">
        <v>2079</v>
      </c>
      <c r="J158" s="1031">
        <f>N158+Q158</f>
        <v>1.1200000000000001</v>
      </c>
      <c r="K158" s="1032"/>
      <c r="L158" s="1033"/>
      <c r="M158" s="828" t="s">
        <v>1856</v>
      </c>
      <c r="N158" s="1497">
        <v>0.88</v>
      </c>
      <c r="O158" s="1498"/>
      <c r="P158" s="828" t="s">
        <v>868</v>
      </c>
      <c r="Q158" s="1497">
        <v>0.24</v>
      </c>
      <c r="R158" s="1498"/>
      <c r="V158" s="1482"/>
      <c r="W158" s="1483"/>
    </row>
    <row r="159" spans="1:23" s="449" customFormat="1" ht="13.9" customHeight="1" thickBot="1">
      <c r="B159" s="452" t="s">
        <v>2005</v>
      </c>
      <c r="J159" s="965">
        <f>IF(J158=0,"",J157/J158)</f>
        <v>831757.14285714272</v>
      </c>
      <c r="K159" s="1048"/>
      <c r="L159" s="966"/>
      <c r="M159" s="472"/>
      <c r="N159" s="833"/>
      <c r="O159" s="833"/>
      <c r="V159" s="1482"/>
      <c r="W159" s="1483"/>
    </row>
    <row r="160" spans="1:23" s="449" customFormat="1" ht="9" customHeight="1">
      <c r="J160" s="538"/>
      <c r="K160" s="538"/>
      <c r="L160" s="538"/>
      <c r="M160" s="472"/>
      <c r="N160" s="836"/>
      <c r="O160" s="836"/>
      <c r="V160" s="1482"/>
      <c r="W160" s="1483"/>
    </row>
    <row r="161" spans="1:23" s="449" customFormat="1" ht="16.149999999999999" customHeight="1">
      <c r="B161" s="452" t="s">
        <v>420</v>
      </c>
      <c r="J161" s="1011">
        <f>+MIN(J149,J159,'DCA Underwriting Assumptions'!$R$6)</f>
        <v>831303.26400000008</v>
      </c>
      <c r="K161" s="1012"/>
      <c r="L161" s="1013"/>
      <c r="M161" s="472"/>
      <c r="N161" s="836"/>
      <c r="O161" s="836"/>
      <c r="V161" s="1482"/>
      <c r="W161" s="1483"/>
    </row>
    <row r="162" spans="1:23" s="449" customFormat="1" ht="9.4" customHeight="1">
      <c r="J162" s="538"/>
      <c r="K162" s="538"/>
      <c r="L162" s="538"/>
      <c r="M162" s="472"/>
      <c r="N162" s="836"/>
      <c r="O162" s="836"/>
      <c r="V162" s="1482"/>
      <c r="W162" s="1483"/>
    </row>
    <row r="163" spans="1:23" s="449" customFormat="1" ht="16.149999999999999" customHeight="1">
      <c r="B163" s="452" t="s">
        <v>421</v>
      </c>
      <c r="J163" s="1499">
        <v>800000</v>
      </c>
      <c r="K163" s="1500"/>
      <c r="L163" s="1501"/>
      <c r="M163" s="539" t="str">
        <f>IF(J161=0,"",IF(J163&gt;J161,"ALLOCATION CANNOT EXCEED MAXIMUM - REVISE REQUEST!",""))</f>
        <v/>
      </c>
      <c r="N163" s="836"/>
      <c r="O163" s="836"/>
      <c r="V163" s="1482"/>
      <c r="W163" s="1483"/>
    </row>
    <row r="164" spans="1:23" s="449" customFormat="1" ht="9.4" customHeight="1">
      <c r="J164" s="538"/>
      <c r="K164" s="538"/>
      <c r="L164" s="538"/>
      <c r="M164" s="472"/>
      <c r="N164" s="836"/>
      <c r="O164" s="836"/>
      <c r="V164" s="1482"/>
      <c r="W164" s="1483"/>
    </row>
    <row r="165" spans="1:23" s="449" customFormat="1" ht="16.149999999999999" customHeight="1">
      <c r="A165" s="685" t="s">
        <v>2648</v>
      </c>
      <c r="B165" s="685" t="s">
        <v>3670</v>
      </c>
      <c r="D165" s="472"/>
      <c r="E165" s="472"/>
      <c r="F165" s="455"/>
      <c r="J165" s="1011">
        <f>IF(J163="",0,+MIN(J161,J163))</f>
        <v>800000</v>
      </c>
      <c r="K165" s="1012"/>
      <c r="L165" s="1013"/>
      <c r="N165" s="1502"/>
      <c r="O165" s="1502"/>
      <c r="P165" s="1502"/>
      <c r="Q165" s="1502"/>
      <c r="R165" s="1502"/>
      <c r="S165" s="1502"/>
      <c r="T165" s="1502"/>
      <c r="V165" s="1485"/>
      <c r="W165" s="1486"/>
    </row>
    <row r="166" spans="1:23" ht="3" customHeight="1"/>
    <row r="167" spans="1:23" ht="6" customHeight="1"/>
    <row r="168" spans="1:23" ht="12" customHeight="1">
      <c r="A168" s="452" t="s">
        <v>2650</v>
      </c>
      <c r="B168" s="481" t="s">
        <v>815</v>
      </c>
      <c r="K168" s="452" t="s">
        <v>765</v>
      </c>
      <c r="L168" s="452" t="s">
        <v>85</v>
      </c>
    </row>
    <row r="169" spans="1:23" ht="146.65" customHeight="1">
      <c r="A169" s="1503" t="s">
        <v>4078</v>
      </c>
      <c r="B169" s="1504"/>
      <c r="C169" s="1504"/>
      <c r="D169" s="1504"/>
      <c r="E169" s="1504"/>
      <c r="F169" s="1504"/>
      <c r="G169" s="1504"/>
      <c r="H169" s="1504"/>
      <c r="I169" s="1504"/>
      <c r="J169" s="1505"/>
      <c r="K169" s="1506"/>
      <c r="L169" s="1504"/>
      <c r="M169" s="1504"/>
      <c r="N169" s="1504"/>
      <c r="O169" s="1504"/>
      <c r="P169" s="1504"/>
      <c r="Q169" s="1504"/>
      <c r="R169" s="1504"/>
      <c r="S169" s="1504"/>
      <c r="T169" s="1505"/>
      <c r="V169" s="987" t="s">
        <v>3966</v>
      </c>
      <c r="W169" s="987"/>
    </row>
    <row r="170" spans="1:23" ht="11.25" customHeight="1"/>
    <row r="171" spans="1:23" ht="12" customHeight="1"/>
    <row r="172" spans="1:23" ht="12" customHeight="1"/>
    <row r="173" spans="1:23" ht="14.65" customHeight="1"/>
    <row r="174" spans="1:23" s="449" customFormat="1" ht="14.65" customHeight="1"/>
    <row r="175" spans="1:23" s="449" customFormat="1" ht="14.65" customHeight="1"/>
    <row r="176" spans="1:23" s="449" customFormat="1" ht="14.65" customHeight="1"/>
    <row r="177" spans="1:1" ht="14.65" customHeight="1"/>
    <row r="178" spans="1:1" s="449" customFormat="1" ht="14.65" customHeight="1">
      <c r="A178" s="456"/>
    </row>
    <row r="179" spans="1:1" ht="14.65" customHeight="1"/>
    <row r="180" spans="1:1" s="449" customFormat="1" ht="14.65" customHeight="1"/>
    <row r="181" spans="1:1" s="449" customFormat="1" ht="14.65" customHeight="1">
      <c r="A181" s="456"/>
    </row>
    <row r="182" spans="1:1" s="449" customFormat="1" ht="14.65" customHeight="1">
      <c r="A182" s="844"/>
    </row>
    <row r="183" spans="1:1" s="449" customFormat="1" ht="14.65" customHeight="1"/>
    <row r="184" spans="1:1" s="449" customFormat="1" ht="14.65" customHeight="1">
      <c r="A184" s="498"/>
    </row>
    <row r="185" spans="1:1" s="449" customFormat="1" ht="14.65" customHeight="1">
      <c r="A185" s="498"/>
    </row>
    <row r="186" spans="1:1" s="449" customFormat="1" ht="14.65" customHeight="1">
      <c r="A186" s="498"/>
    </row>
    <row r="187" spans="1:1" s="449" customFormat="1" ht="14.65" customHeight="1"/>
    <row r="188" spans="1:1" s="449" customFormat="1" ht="14.65" customHeight="1"/>
    <row r="189" spans="1:1" ht="14.65" customHeight="1"/>
    <row r="190" spans="1:1" ht="14.65" customHeight="1"/>
    <row r="191" spans="1:1" ht="14.65" customHeight="1"/>
    <row r="192" spans="1:1" ht="14.65" customHeight="1"/>
    <row r="193" ht="14.65" customHeight="1"/>
    <row r="194" ht="14.65" customHeight="1"/>
    <row r="195" ht="14.65" customHeight="1"/>
    <row r="196" ht="14.65" customHeight="1"/>
    <row r="197" s="449" customFormat="1" ht="14.65" customHeight="1"/>
    <row r="198" ht="14.65" customHeight="1"/>
    <row r="199" ht="14.65" customHeight="1"/>
    <row r="200" ht="14.65" customHeight="1"/>
    <row r="201" ht="14.65" customHeight="1"/>
    <row r="202" ht="14.65" customHeight="1"/>
    <row r="203" ht="14.65" customHeight="1"/>
    <row r="204" ht="14.65" customHeight="1"/>
    <row r="205" ht="14.65" customHeight="1"/>
    <row r="206" ht="14.65" customHeight="1"/>
    <row r="207" ht="14.65" customHeight="1"/>
    <row r="208" ht="14.65" customHeight="1"/>
    <row r="209" ht="14.65" customHeight="1"/>
    <row r="210" ht="14.65" customHeight="1"/>
    <row r="211" ht="14.65" customHeight="1"/>
    <row r="212" ht="14.6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4" manualBreakCount="4">
    <brk id="43" max="16383" man="1"/>
    <brk id="84" max="16383" man="1"/>
    <brk id="126" max="16383" man="1"/>
    <brk id="166"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pageSetUpPr fitToPage="1"/>
  </sheetPr>
  <dimension ref="A1:T39"/>
  <sheetViews>
    <sheetView showGridLines="0" zoomScale="80" zoomScaleNormal="80" workbookViewId="0">
      <selection sqref="A1:XFD1048576"/>
    </sheetView>
  </sheetViews>
  <sheetFormatPr defaultColWidth="8.7109375" defaultRowHeight="12.75"/>
  <cols>
    <col min="1" max="1" width="2.28515625" style="31" customWidth="1"/>
    <col min="2" max="3" width="8.7109375" style="31"/>
    <col min="4" max="4" width="12.140625" style="31" customWidth="1"/>
    <col min="5" max="5" width="8.7109375" style="31"/>
    <col min="6" max="12" width="9.7109375" style="31" customWidth="1"/>
    <col min="13" max="13" width="8.7109375" style="31"/>
    <col min="14" max="14" width="3" style="31" customWidth="1"/>
    <col min="15" max="17" width="8.7109375" style="31"/>
    <col min="18" max="18" width="8.7109375" style="31" customWidth="1"/>
    <col min="19" max="16384" width="8.71093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2012-018 Poplar Pointe, Hiram, Paulding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North</v>
      </c>
    </row>
    <row r="4" spans="1:20" s="9" customFormat="1"/>
    <row r="5" spans="1:20" s="9" customFormat="1">
      <c r="A5" s="16" t="s">
        <v>873</v>
      </c>
      <c r="B5" s="16" t="s">
        <v>3136</v>
      </c>
      <c r="F5" s="9" t="s">
        <v>3532</v>
      </c>
      <c r="I5" s="1507" t="s">
        <v>4038</v>
      </c>
      <c r="J5" s="1508"/>
      <c r="K5" s="1508"/>
      <c r="L5" s="1508"/>
      <c r="M5" s="1509"/>
    </row>
    <row r="6" spans="1:20" s="9" customFormat="1" ht="13.15" customHeight="1">
      <c r="A6" s="16"/>
      <c r="F6" s="9" t="s">
        <v>895</v>
      </c>
      <c r="H6" s="31"/>
      <c r="I6" s="1510">
        <v>40695</v>
      </c>
      <c r="J6" s="1511"/>
      <c r="K6" s="74" t="s">
        <v>776</v>
      </c>
      <c r="L6" s="1512" t="s">
        <v>4039</v>
      </c>
      <c r="M6" s="1509"/>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513" t="s">
        <v>4019</v>
      </c>
      <c r="E10" s="1514"/>
      <c r="F10" s="1515" t="s">
        <v>612</v>
      </c>
      <c r="G10" s="1515"/>
      <c r="H10" s="343"/>
      <c r="I10" s="1516"/>
      <c r="J10" s="1516">
        <v>11</v>
      </c>
      <c r="K10" s="1516">
        <v>13</v>
      </c>
      <c r="L10" s="1516"/>
      <c r="M10" s="1516"/>
    </row>
    <row r="11" spans="1:20" s="9" customFormat="1">
      <c r="B11" s="344" t="s">
        <v>644</v>
      </c>
      <c r="C11" s="345"/>
      <c r="D11" s="344" t="s">
        <v>2204</v>
      </c>
      <c r="E11" s="345"/>
      <c r="F11" s="1517" t="s">
        <v>612</v>
      </c>
      <c r="G11" s="1517"/>
      <c r="H11" s="346"/>
      <c r="I11" s="1518"/>
      <c r="J11" s="1518">
        <v>23</v>
      </c>
      <c r="K11" s="1518">
        <v>29</v>
      </c>
      <c r="L11" s="1519"/>
      <c r="M11" s="1519"/>
    </row>
    <row r="12" spans="1:20" s="9" customFormat="1">
      <c r="B12" s="344" t="s">
        <v>2205</v>
      </c>
      <c r="C12" s="345"/>
      <c r="D12" s="1520" t="s">
        <v>2204</v>
      </c>
      <c r="E12" s="1521"/>
      <c r="F12" s="1517" t="s">
        <v>612</v>
      </c>
      <c r="G12" s="1517"/>
      <c r="H12" s="346"/>
      <c r="I12" s="1518"/>
      <c r="J12" s="1518">
        <v>9</v>
      </c>
      <c r="K12" s="1518">
        <v>11</v>
      </c>
      <c r="L12" s="1519"/>
      <c r="M12" s="1519"/>
    </row>
    <row r="13" spans="1:20" s="9" customFormat="1">
      <c r="B13" s="344" t="s">
        <v>2206</v>
      </c>
      <c r="C13" s="345"/>
      <c r="D13" s="1520" t="s">
        <v>2204</v>
      </c>
      <c r="E13" s="1521"/>
      <c r="F13" s="1517" t="s">
        <v>612</v>
      </c>
      <c r="G13" s="1517"/>
      <c r="H13" s="346"/>
      <c r="I13" s="1518"/>
      <c r="J13" s="1518">
        <v>28</v>
      </c>
      <c r="K13" s="1518">
        <v>35</v>
      </c>
      <c r="L13" s="1519"/>
      <c r="M13" s="1519"/>
    </row>
    <row r="14" spans="1:20" s="9" customFormat="1">
      <c r="B14" s="344" t="s">
        <v>2207</v>
      </c>
      <c r="C14" s="345"/>
      <c r="D14" s="344" t="s">
        <v>2204</v>
      </c>
      <c r="E14" s="347"/>
      <c r="F14" s="1517" t="s">
        <v>612</v>
      </c>
      <c r="G14" s="1517"/>
      <c r="H14" s="346"/>
      <c r="I14" s="1518"/>
      <c r="J14" s="1518">
        <v>26</v>
      </c>
      <c r="K14" s="1518">
        <v>33</v>
      </c>
      <c r="L14" s="1519"/>
      <c r="M14" s="1519"/>
    </row>
    <row r="15" spans="1:20" s="9" customFormat="1">
      <c r="B15" s="344" t="s">
        <v>1938</v>
      </c>
      <c r="C15" s="345"/>
      <c r="D15" s="344" t="s">
        <v>3135</v>
      </c>
      <c r="E15" s="1522" t="s">
        <v>3976</v>
      </c>
      <c r="F15" s="1517" t="s">
        <v>612</v>
      </c>
      <c r="G15" s="1517"/>
      <c r="H15" s="346"/>
      <c r="I15" s="1518"/>
      <c r="J15" s="1518">
        <v>36</v>
      </c>
      <c r="K15" s="1518">
        <v>42</v>
      </c>
      <c r="L15" s="1519"/>
      <c r="M15" s="1519"/>
    </row>
    <row r="16" spans="1:20" s="9" customFormat="1">
      <c r="B16" s="348" t="s">
        <v>2722</v>
      </c>
      <c r="C16" s="349"/>
      <c r="D16" s="348"/>
      <c r="E16" s="315"/>
      <c r="F16" s="1523"/>
      <c r="G16" s="1523" t="s">
        <v>612</v>
      </c>
      <c r="H16" s="350"/>
      <c r="I16" s="1524"/>
      <c r="J16" s="1524"/>
      <c r="K16" s="1524"/>
      <c r="L16" s="1525"/>
      <c r="M16" s="1525"/>
    </row>
    <row r="17" spans="1:19" s="9" customFormat="1">
      <c r="B17" s="338" t="s">
        <v>1526</v>
      </c>
      <c r="D17" s="31"/>
      <c r="E17" s="31"/>
      <c r="F17" s="108"/>
      <c r="G17" s="108"/>
      <c r="I17" s="847">
        <f>SUM(I10:I16)</f>
        <v>0</v>
      </c>
      <c r="J17" s="847">
        <f>SUM(J10:J16)</f>
        <v>133</v>
      </c>
      <c r="K17" s="847">
        <f>SUM(K10:K16)</f>
        <v>163</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512"/>
      <c r="J19" s="1508"/>
      <c r="K19" s="1508"/>
      <c r="L19" s="1508"/>
      <c r="M19" s="1509"/>
    </row>
    <row r="20" spans="1:19" s="9" customFormat="1" ht="13.15" customHeight="1">
      <c r="A20" s="16"/>
      <c r="B20" s="16"/>
      <c r="F20" s="9" t="s">
        <v>895</v>
      </c>
      <c r="H20" s="31"/>
      <c r="I20" s="1510"/>
      <c r="J20" s="1511"/>
      <c r="K20" s="74" t="s">
        <v>776</v>
      </c>
      <c r="L20" s="1512"/>
      <c r="M20" s="1509"/>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513" t="s">
        <v>2684</v>
      </c>
      <c r="E24" s="1514"/>
      <c r="F24" s="1515"/>
      <c r="G24" s="1515"/>
      <c r="H24" s="343"/>
      <c r="I24" s="1516"/>
      <c r="J24" s="1516"/>
      <c r="K24" s="1516"/>
      <c r="L24" s="1516"/>
      <c r="M24" s="1516"/>
    </row>
    <row r="25" spans="1:19" s="9" customFormat="1">
      <c r="B25" s="344" t="s">
        <v>644</v>
      </c>
      <c r="C25" s="345"/>
      <c r="D25" s="344" t="s">
        <v>2204</v>
      </c>
      <c r="E25" s="345"/>
      <c r="F25" s="1517"/>
      <c r="G25" s="1517"/>
      <c r="H25" s="346"/>
      <c r="I25" s="1518"/>
      <c r="J25" s="1518"/>
      <c r="K25" s="1518"/>
      <c r="L25" s="1519"/>
      <c r="M25" s="1519"/>
    </row>
    <row r="26" spans="1:19" s="9" customFormat="1">
      <c r="B26" s="344" t="s">
        <v>2205</v>
      </c>
      <c r="C26" s="345"/>
      <c r="D26" s="1520" t="s">
        <v>2684</v>
      </c>
      <c r="E26" s="1521"/>
      <c r="F26" s="1517"/>
      <c r="G26" s="1517"/>
      <c r="H26" s="346"/>
      <c r="I26" s="1518"/>
      <c r="J26" s="1518"/>
      <c r="K26" s="1518"/>
      <c r="L26" s="1519"/>
      <c r="M26" s="1519"/>
    </row>
    <row r="27" spans="1:19" s="9" customFormat="1">
      <c r="B27" s="344" t="s">
        <v>2206</v>
      </c>
      <c r="C27" s="345"/>
      <c r="D27" s="1520" t="s">
        <v>2684</v>
      </c>
      <c r="E27" s="1521"/>
      <c r="F27" s="1517"/>
      <c r="G27" s="1517"/>
      <c r="H27" s="346"/>
      <c r="I27" s="1518"/>
      <c r="J27" s="1518"/>
      <c r="K27" s="1518"/>
      <c r="L27" s="1519"/>
      <c r="M27" s="1519"/>
    </row>
    <row r="28" spans="1:19" s="9" customFormat="1">
      <c r="B28" s="344" t="s">
        <v>2207</v>
      </c>
      <c r="C28" s="345"/>
      <c r="D28" s="344" t="s">
        <v>2204</v>
      </c>
      <c r="E28" s="347"/>
      <c r="F28" s="1517"/>
      <c r="G28" s="1517"/>
      <c r="H28" s="346"/>
      <c r="I28" s="1518"/>
      <c r="J28" s="1518"/>
      <c r="K28" s="1518"/>
      <c r="L28" s="1519"/>
      <c r="M28" s="1519"/>
    </row>
    <row r="29" spans="1:19" s="9" customFormat="1">
      <c r="B29" s="344" t="s">
        <v>1938</v>
      </c>
      <c r="C29" s="345"/>
      <c r="D29" s="344" t="s">
        <v>3135</v>
      </c>
      <c r="E29" s="1522" t="s">
        <v>240</v>
      </c>
      <c r="F29" s="1517"/>
      <c r="G29" s="1517"/>
      <c r="H29" s="346"/>
      <c r="I29" s="1518"/>
      <c r="J29" s="1518"/>
      <c r="K29" s="1518"/>
      <c r="L29" s="1519"/>
      <c r="M29" s="1519"/>
    </row>
    <row r="30" spans="1:19" s="9" customFormat="1">
      <c r="B30" s="348" t="s">
        <v>2722</v>
      </c>
      <c r="C30" s="349"/>
      <c r="D30" s="348"/>
      <c r="E30" s="315"/>
      <c r="F30" s="1523"/>
      <c r="G30" s="1523"/>
      <c r="H30" s="350"/>
      <c r="I30" s="1524"/>
      <c r="J30" s="1524"/>
      <c r="K30" s="1524"/>
      <c r="L30" s="1525"/>
      <c r="M30" s="152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26"/>
      <c r="C36" s="1527"/>
      <c r="D36" s="1527"/>
      <c r="E36" s="1527"/>
      <c r="F36" s="1527"/>
      <c r="G36" s="1527"/>
      <c r="H36" s="1527"/>
      <c r="I36" s="1527"/>
      <c r="J36" s="1527"/>
      <c r="K36" s="1527"/>
      <c r="L36" s="1527"/>
      <c r="M36" s="1528"/>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29"/>
      <c r="C39" s="1530"/>
      <c r="D39" s="1530"/>
      <c r="E39" s="1530"/>
      <c r="F39" s="1530"/>
      <c r="G39" s="1530"/>
      <c r="H39" s="1530"/>
      <c r="I39" s="1530"/>
      <c r="J39" s="1530"/>
      <c r="K39" s="1530"/>
      <c r="L39" s="1530"/>
      <c r="M39" s="1531"/>
      <c r="N39" s="31"/>
      <c r="O39" s="886"/>
      <c r="P39" s="886"/>
      <c r="Q39" s="886"/>
      <c r="R39" s="886"/>
      <c r="S39" s="886"/>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2012-06-14T12:50:07Z</cp:lastPrinted>
  <dcterms:created xsi:type="dcterms:W3CDTF">2005-09-15T20:51:37Z</dcterms:created>
  <dcterms:modified xsi:type="dcterms:W3CDTF">2012-08-02T20:39:23Z</dcterms:modified>
</cp:coreProperties>
</file>