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4985" windowHeight="1035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Narrative'!$A$1:$A$21</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D40" i="8"/>
  <c r="C70"/>
  <c r="C100"/>
  <c r="O273" i="11"/>
  <c r="P273"/>
  <c r="D100" i="8" l="1"/>
  <c r="D70"/>
  <c r="E40"/>
  <c r="M291" i="11"/>
  <c r="M6" s="1"/>
  <c r="L277"/>
  <c r="A265"/>
  <c r="P246"/>
  <c r="O246"/>
  <c r="L233"/>
  <c r="P242" l="1"/>
  <c r="O242"/>
  <c r="F40" i="8"/>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K83" i="8" l="1"/>
  <c r="H40"/>
  <c r="G70"/>
  <c r="G100"/>
  <c r="B23"/>
  <c r="B53"/>
  <c r="D53"/>
  <c r="F53"/>
  <c r="H53"/>
  <c r="J53"/>
  <c r="B83"/>
  <c r="D83"/>
  <c r="F83"/>
  <c r="H83"/>
  <c r="J83"/>
  <c r="C23"/>
  <c r="C53"/>
  <c r="E53"/>
  <c r="G53"/>
  <c r="I53"/>
  <c r="K53"/>
  <c r="C83"/>
  <c r="E83"/>
  <c r="G83"/>
  <c r="I83"/>
  <c r="Q23" i="36"/>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L182" i="11"/>
  <c r="R163"/>
  <c r="R162"/>
  <c r="L228"/>
  <c r="G13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36" i="8" l="1"/>
  <c r="D37" i="3"/>
  <c r="B39" i="15"/>
  <c r="F42" s="1"/>
  <c r="F107"/>
  <c r="C109"/>
  <c r="F106"/>
  <c r="CS48" i="36"/>
  <c r="GI48"/>
  <c r="L87" s="1"/>
  <c r="FT48"/>
  <c r="L90" s="1"/>
  <c r="CV48"/>
  <c r="CT48"/>
  <c r="AM48"/>
  <c r="J59" s="1"/>
  <c r="AQ48"/>
  <c r="X48"/>
  <c r="J56" s="1"/>
  <c r="AS48"/>
  <c r="AW48"/>
  <c r="J65" s="1"/>
  <c r="BA48"/>
  <c r="I64" s="1"/>
  <c r="AZ48"/>
  <c r="H64" s="1"/>
  <c r="Z48"/>
  <c r="L56" s="1"/>
  <c r="V48"/>
  <c r="H56" s="1"/>
  <c r="AX48"/>
  <c r="K65" s="1"/>
  <c r="BB48"/>
  <c r="J64" s="1"/>
  <c r="GS48"/>
  <c r="BD48"/>
  <c r="L64" s="1"/>
  <c r="AV48"/>
  <c r="I65" s="1"/>
  <c r="AO48"/>
  <c r="L59" s="1"/>
  <c r="AK48"/>
  <c r="H59" s="1"/>
  <c r="Y48"/>
  <c r="K56" s="1"/>
  <c r="W48"/>
  <c r="I56" s="1"/>
  <c r="I17" i="8"/>
  <c r="F17"/>
  <c r="I18"/>
  <c r="E18"/>
  <c r="GZ48" i="36"/>
  <c r="I84" i="8"/>
  <c r="E84"/>
  <c r="K54"/>
  <c r="G54"/>
  <c r="C54"/>
  <c r="I24"/>
  <c r="E24"/>
  <c r="F84"/>
  <c r="H54"/>
  <c r="F24"/>
  <c r="H84"/>
  <c r="D84"/>
  <c r="J54"/>
  <c r="F54"/>
  <c r="B54"/>
  <c r="H24"/>
  <c r="D24"/>
  <c r="K84"/>
  <c r="G84"/>
  <c r="C84"/>
  <c r="I54"/>
  <c r="E54"/>
  <c r="K24"/>
  <c r="G24"/>
  <c r="C24"/>
  <c r="J84"/>
  <c r="B84"/>
  <c r="D54"/>
  <c r="J24"/>
  <c r="B24"/>
  <c r="FH48" i="36"/>
  <c r="J92" s="1"/>
  <c r="E17" i="8"/>
  <c r="GH48" i="36"/>
  <c r="K87" s="1"/>
  <c r="K85" i="8"/>
  <c r="G85"/>
  <c r="C85"/>
  <c r="I55"/>
  <c r="E55"/>
  <c r="K25"/>
  <c r="G25"/>
  <c r="C25"/>
  <c r="F55"/>
  <c r="D25"/>
  <c r="J85"/>
  <c r="F85"/>
  <c r="B85"/>
  <c r="H55"/>
  <c r="D55"/>
  <c r="J25"/>
  <c r="F25"/>
  <c r="B25"/>
  <c r="I85"/>
  <c r="E85"/>
  <c r="K55"/>
  <c r="G55"/>
  <c r="C55"/>
  <c r="I25"/>
  <c r="E25"/>
  <c r="H85"/>
  <c r="D85"/>
  <c r="J55"/>
  <c r="B55"/>
  <c r="H25"/>
  <c r="BG48" i="36"/>
  <c r="AN48"/>
  <c r="K59" s="1"/>
  <c r="AE48"/>
  <c r="L57" s="1"/>
  <c r="AC48"/>
  <c r="J57" s="1"/>
  <c r="J58" s="1"/>
  <c r="AA48"/>
  <c r="H57" s="1"/>
  <c r="M123" i="15"/>
  <c r="M140" s="1"/>
  <c r="M142" s="1"/>
  <c r="M144" s="1"/>
  <c r="GG48" i="36"/>
  <c r="J87" s="1"/>
  <c r="FY48"/>
  <c r="L85" s="1"/>
  <c r="FN48"/>
  <c r="K91" s="1"/>
  <c r="FB48"/>
  <c r="I89" s="1"/>
  <c r="K17" i="8"/>
  <c r="H17"/>
  <c r="D17"/>
  <c r="B18"/>
  <c r="J18"/>
  <c r="H18"/>
  <c r="F18"/>
  <c r="D18"/>
  <c r="I86"/>
  <c r="E86"/>
  <c r="K56"/>
  <c r="G56"/>
  <c r="C56"/>
  <c r="I26"/>
  <c r="E26"/>
  <c r="H56"/>
  <c r="J26"/>
  <c r="B26"/>
  <c r="H86"/>
  <c r="D86"/>
  <c r="J56"/>
  <c r="F56"/>
  <c r="B56"/>
  <c r="H26"/>
  <c r="D26"/>
  <c r="K86"/>
  <c r="G86"/>
  <c r="C86"/>
  <c r="I56"/>
  <c r="E56"/>
  <c r="K26"/>
  <c r="G26"/>
  <c r="C26"/>
  <c r="J86"/>
  <c r="F86"/>
  <c r="B86"/>
  <c r="D56"/>
  <c r="F26"/>
  <c r="AU48" i="36"/>
  <c r="H65" s="1"/>
  <c r="AY48"/>
  <c r="L65" s="1"/>
  <c r="BC48"/>
  <c r="K64" s="1"/>
  <c r="AT48"/>
  <c r="AP48"/>
  <c r="B17" i="8"/>
  <c r="K18"/>
  <c r="G18"/>
  <c r="C18"/>
  <c r="HL48" i="36"/>
  <c r="AR48"/>
  <c r="FW48"/>
  <c r="J85" s="1"/>
  <c r="CW48"/>
  <c r="GO48"/>
  <c r="FP48"/>
  <c r="H90" s="1"/>
  <c r="EX48"/>
  <c r="J17" i="8"/>
  <c r="G17"/>
  <c r="C17"/>
  <c r="GF48" i="36"/>
  <c r="I87" s="1"/>
  <c r="CU48"/>
  <c r="HF48"/>
  <c r="BY48"/>
  <c r="H94" s="1"/>
  <c r="AL48"/>
  <c r="I59" s="1"/>
  <c r="AD48"/>
  <c r="K57" s="1"/>
  <c r="K58" s="1"/>
  <c r="K60" s="1"/>
  <c r="AB48"/>
  <c r="I57" s="1"/>
  <c r="L254" i="11"/>
  <c r="J154" i="15"/>
  <c r="J155" s="1"/>
  <c r="J157" s="1"/>
  <c r="J159" s="1"/>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F23"/>
  <c r="J23"/>
  <c r="B32"/>
  <c r="K92"/>
  <c r="E23"/>
  <c r="G23"/>
  <c r="I23"/>
  <c r="K23"/>
  <c r="GN48" i="36"/>
  <c r="L88" s="1"/>
  <c r="GL48"/>
  <c r="J88" s="1"/>
  <c r="GJ48"/>
  <c r="H88" s="1"/>
  <c r="GD48"/>
  <c r="L86" s="1"/>
  <c r="GB48"/>
  <c r="J86" s="1"/>
  <c r="FZ48"/>
  <c r="H86" s="1"/>
  <c r="FX48"/>
  <c r="K85" s="1"/>
  <c r="FV48"/>
  <c r="I85" s="1"/>
  <c r="FO48"/>
  <c r="L91" s="1"/>
  <c r="FM48"/>
  <c r="J91" s="1"/>
  <c r="FI48"/>
  <c r="K92" s="1"/>
  <c r="FG48"/>
  <c r="I92" s="1"/>
  <c r="E33" i="15"/>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B33" i="8" l="1"/>
  <c r="B41"/>
  <c r="I58" i="36"/>
  <c r="I60" s="1"/>
  <c r="I62" s="1"/>
  <c r="I66"/>
  <c r="J60"/>
  <c r="J62" s="1"/>
  <c r="J66"/>
  <c r="M90"/>
  <c r="Q90" s="1"/>
  <c r="M87"/>
  <c r="M89"/>
  <c r="Q89" s="1"/>
  <c r="H58"/>
  <c r="H60" s="1"/>
  <c r="H62" s="1"/>
  <c r="L58"/>
  <c r="L60" s="1"/>
  <c r="L62" s="1"/>
  <c r="H66"/>
  <c r="K66"/>
  <c r="M56"/>
  <c r="L66"/>
  <c r="M72"/>
  <c r="Q72" s="1"/>
  <c r="M64"/>
  <c r="M65"/>
  <c r="M79"/>
  <c r="Q79" s="1"/>
  <c r="K80"/>
  <c r="K77"/>
  <c r="J70"/>
  <c r="H74"/>
  <c r="M59"/>
  <c r="I77"/>
  <c r="H32" i="8"/>
  <c r="D92"/>
  <c r="L70" i="36"/>
  <c r="M99"/>
  <c r="M91"/>
  <c r="Q91" s="1"/>
  <c r="M57"/>
  <c r="M69"/>
  <c r="Q69" s="1"/>
  <c r="M78"/>
  <c r="Q78" s="1"/>
  <c r="K70"/>
  <c r="J80"/>
  <c r="J77"/>
  <c r="H33" i="8"/>
  <c r="L80" i="36"/>
  <c r="D63" i="8"/>
  <c r="J63"/>
  <c r="M61" i="36"/>
  <c r="M73"/>
  <c r="Q73" s="1"/>
  <c r="M75"/>
  <c r="Q75" s="1"/>
  <c r="L77"/>
  <c r="D93" i="8"/>
  <c r="I84" i="36"/>
  <c r="B63" i="8"/>
  <c r="H70" i="36"/>
  <c r="I80"/>
  <c r="M76"/>
  <c r="Q76" s="1"/>
  <c r="J282" i="11"/>
  <c r="F63" i="8"/>
  <c r="J40"/>
  <c r="I70"/>
  <c r="I100"/>
  <c r="F33"/>
  <c r="I70" i="36"/>
  <c r="B14" i="8"/>
  <c r="G104" i="36"/>
  <c r="H80"/>
  <c r="K84"/>
  <c r="M68"/>
  <c r="Q68" s="1"/>
  <c r="H77"/>
  <c r="I74"/>
  <c r="H50" i="3"/>
  <c r="O42" s="1"/>
  <c r="I213" i="11"/>
  <c r="M85" i="36"/>
  <c r="J84"/>
  <c r="H84"/>
  <c r="L84"/>
  <c r="M88"/>
  <c r="M86"/>
  <c r="J74"/>
  <c r="L74"/>
  <c r="K74"/>
  <c r="K62"/>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10" l="1"/>
  <c r="Q12"/>
  <c r="Q15"/>
  <c r="Q19"/>
  <c r="Q13"/>
  <c r="Q21"/>
  <c r="Q16"/>
  <c r="Q14"/>
  <c r="Q22"/>
  <c r="Q20"/>
  <c r="Q17"/>
  <c r="Q18"/>
  <c r="Q11"/>
  <c r="C41" i="8"/>
  <c r="I214" i="11"/>
  <c r="O201" s="1"/>
  <c r="K221"/>
  <c r="D74" i="8"/>
  <c r="L214" i="11"/>
  <c r="P201" s="1"/>
  <c r="P52" i="7"/>
  <c r="B74" i="8"/>
  <c r="J44"/>
  <c r="D14"/>
  <c r="Q61" i="36"/>
  <c r="H54" i="7"/>
  <c r="I50"/>
  <c r="Q99" i="36"/>
  <c r="M58"/>
  <c r="Q58" s="1"/>
  <c r="M66"/>
  <c r="Q66" s="1"/>
  <c r="H51" i="7"/>
  <c r="Q56" i="36"/>
  <c r="M60"/>
  <c r="Q97"/>
  <c r="Q64"/>
  <c r="I51" i="7"/>
  <c r="M70" i="36"/>
  <c r="Q70" s="1"/>
  <c r="M80"/>
  <c r="F45" i="7" s="1"/>
  <c r="H52"/>
  <c r="Q65" i="36"/>
  <c r="Q59"/>
  <c r="H50" i="7"/>
  <c r="Q57" i="36"/>
  <c r="K14" i="8"/>
  <c r="B44"/>
  <c r="G14"/>
  <c r="M77" i="36"/>
  <c r="Q77" s="1"/>
  <c r="I44" i="8"/>
  <c r="F74"/>
  <c r="H14"/>
  <c r="E74"/>
  <c r="F44"/>
  <c r="M84" i="36"/>
  <c r="Q84" s="1"/>
  <c r="J100" i="8"/>
  <c r="J70"/>
  <c r="K40"/>
  <c r="E44"/>
  <c r="I74"/>
  <c r="C14"/>
  <c r="J74"/>
  <c r="O104" i="36"/>
  <c r="J14" i="8"/>
  <c r="C44"/>
  <c r="K44"/>
  <c r="G74"/>
  <c r="B15"/>
  <c r="K75" s="1"/>
  <c r="E14"/>
  <c r="H44"/>
  <c r="H74"/>
  <c r="P50" i="7"/>
  <c r="F14" i="8"/>
  <c r="G44"/>
  <c r="C74"/>
  <c r="K74"/>
  <c r="I14"/>
  <c r="D44"/>
  <c r="O41" i="3"/>
  <c r="O43" s="1"/>
  <c r="H51"/>
  <c r="M74" i="36"/>
  <c r="C36" i="8"/>
  <c r="M62" i="36"/>
  <c r="R13" i="24"/>
  <c r="R11"/>
  <c r="D125" i="15" s="1"/>
  <c r="R12" i="24"/>
  <c r="M96" i="36"/>
  <c r="H98"/>
  <c r="D41" i="8" l="1"/>
  <c r="D36"/>
  <c r="O218" i="11"/>
  <c r="O193" s="1"/>
  <c r="K45" i="8"/>
  <c r="K46" s="1"/>
  <c r="F45"/>
  <c r="F46" s="1"/>
  <c r="C45"/>
  <c r="C46" s="1"/>
  <c r="G15"/>
  <c r="G16" s="1"/>
  <c r="H49" i="7"/>
  <c r="H53" s="1"/>
  <c r="H55" s="1"/>
  <c r="P141"/>
  <c r="Q60" i="36"/>
  <c r="L32" i="11"/>
  <c r="P140" i="7"/>
  <c r="L31" i="11"/>
  <c r="Q80" i="36"/>
  <c r="F44" i="7"/>
  <c r="K15" i="8"/>
  <c r="K16" s="1"/>
  <c r="J15"/>
  <c r="J16" s="1"/>
  <c r="B75"/>
  <c r="B76" s="1"/>
  <c r="F75"/>
  <c r="F76" s="1"/>
  <c r="E75"/>
  <c r="E76" s="1"/>
  <c r="K70"/>
  <c r="K100"/>
  <c r="I15"/>
  <c r="I16" s="1"/>
  <c r="D45"/>
  <c r="D46" s="1"/>
  <c r="J45"/>
  <c r="J46" s="1"/>
  <c r="J75"/>
  <c r="J76" s="1"/>
  <c r="D15"/>
  <c r="D16" s="1"/>
  <c r="E45"/>
  <c r="E46" s="1"/>
  <c r="B45"/>
  <c r="B46" s="1"/>
  <c r="I75"/>
  <c r="I76" s="1"/>
  <c r="P193" i="11"/>
  <c r="C15" i="8"/>
  <c r="C16" s="1"/>
  <c r="D75"/>
  <c r="D76" s="1"/>
  <c r="H15"/>
  <c r="H16" s="1"/>
  <c r="I45"/>
  <c r="I46" s="1"/>
  <c r="G75"/>
  <c r="G76" s="1"/>
  <c r="J177" i="11"/>
  <c r="L177" s="1"/>
  <c r="E93" i="15"/>
  <c r="B16" i="8"/>
  <c r="E15"/>
  <c r="E16" s="1"/>
  <c r="H45"/>
  <c r="H46" s="1"/>
  <c r="H75"/>
  <c r="H76" s="1"/>
  <c r="F15"/>
  <c r="F16" s="1"/>
  <c r="G45"/>
  <c r="G46" s="1"/>
  <c r="C75"/>
  <c r="C76" s="1"/>
  <c r="F42" i="7"/>
  <c r="Q74" i="36"/>
  <c r="K76" i="8"/>
  <c r="K80" s="1"/>
  <c r="J158" i="36"/>
  <c r="J157"/>
  <c r="P71" i="7"/>
  <c r="P69"/>
  <c r="Q62" i="36"/>
  <c r="G125" i="15"/>
  <c r="J159" i="36"/>
  <c r="P67" i="7"/>
  <c r="F115" i="15"/>
  <c r="P160" i="36"/>
  <c r="D38" i="15"/>
  <c r="M98" i="36"/>
  <c r="Q98" s="1"/>
  <c r="H100"/>
  <c r="M100" s="1"/>
  <c r="P49" i="7"/>
  <c r="P51" s="1"/>
  <c r="P53" s="1"/>
  <c r="P58" s="1"/>
  <c r="Q96" i="36"/>
  <c r="E41" i="8" l="1"/>
  <c r="E36"/>
  <c r="R218" i="11"/>
  <c r="J20" i="8"/>
  <c r="H50"/>
  <c r="D50"/>
  <c r="I50"/>
  <c r="B50"/>
  <c r="E20"/>
  <c r="G80"/>
  <c r="J50"/>
  <c r="I20"/>
  <c r="I80"/>
  <c r="J80"/>
  <c r="F80"/>
  <c r="E80"/>
  <c r="G20"/>
  <c r="K20"/>
  <c r="H80"/>
  <c r="C50"/>
  <c r="K50"/>
  <c r="D20"/>
  <c r="B80"/>
  <c r="B20"/>
  <c r="K7" s="1"/>
  <c r="D80"/>
  <c r="E50"/>
  <c r="F50"/>
  <c r="C20"/>
  <c r="H20"/>
  <c r="C80"/>
  <c r="F20"/>
  <c r="G50"/>
  <c r="O30" i="11"/>
  <c r="P30"/>
  <c r="J145" i="15"/>
  <c r="J146" s="1"/>
  <c r="J148" s="1"/>
  <c r="K5" i="8"/>
  <c r="P145" i="15"/>
  <c r="P146" s="1"/>
  <c r="P148" s="1"/>
  <c r="K6" i="8"/>
  <c r="M145" i="15"/>
  <c r="M146" s="1"/>
  <c r="M148" s="1"/>
  <c r="J152"/>
  <c r="M151"/>
  <c r="B21" i="8"/>
  <c r="Q100" i="36"/>
  <c r="Q53" s="1"/>
  <c r="D39" i="15"/>
  <c r="M125"/>
  <c r="F41" i="8" l="1"/>
  <c r="F36"/>
  <c r="P147" i="36"/>
  <c r="L30" i="11"/>
  <c r="R30"/>
  <c r="P291"/>
  <c r="P292" s="1"/>
  <c r="O291"/>
  <c r="O6" s="1"/>
  <c r="J149" i="15"/>
  <c r="J161" s="1"/>
  <c r="B81" i="8"/>
  <c r="J81"/>
  <c r="H81"/>
  <c r="F81"/>
  <c r="D81"/>
  <c r="C81"/>
  <c r="K51"/>
  <c r="I51"/>
  <c r="G51"/>
  <c r="E51"/>
  <c r="C51"/>
  <c r="D21"/>
  <c r="F21"/>
  <c r="H21"/>
  <c r="J21"/>
  <c r="K81"/>
  <c r="G81"/>
  <c r="J51"/>
  <c r="F51"/>
  <c r="E21"/>
  <c r="I81"/>
  <c r="E81"/>
  <c r="B51"/>
  <c r="H51"/>
  <c r="D51"/>
  <c r="C21"/>
  <c r="G21"/>
  <c r="I21"/>
  <c r="K21"/>
  <c r="G41" l="1"/>
  <c r="M163" i="15"/>
  <c r="J165"/>
  <c r="J40" i="3" s="1"/>
  <c r="L40" s="1"/>
  <c r="G36" i="8"/>
  <c r="P157" i="36"/>
  <c r="N148"/>
  <c r="N149"/>
  <c r="P6" i="11"/>
  <c r="O292"/>
  <c r="J41" i="3"/>
  <c r="L41" s="1"/>
  <c r="J6" i="7" l="1"/>
  <c r="E92" i="15"/>
  <c r="H41" i="8"/>
  <c r="H36"/>
  <c r="B19"/>
  <c r="N157" i="36"/>
  <c r="P165"/>
  <c r="I41" i="8" l="1"/>
  <c r="I36"/>
  <c r="J19"/>
  <c r="K19"/>
  <c r="E19"/>
  <c r="F49"/>
  <c r="D79"/>
  <c r="J79"/>
  <c r="F19"/>
  <c r="K49"/>
  <c r="D19"/>
  <c r="F79"/>
  <c r="I79"/>
  <c r="E79"/>
  <c r="K79"/>
  <c r="I19"/>
  <c r="C19"/>
  <c r="H49"/>
  <c r="E49"/>
  <c r="G19"/>
  <c r="J49"/>
  <c r="H79"/>
  <c r="H19"/>
  <c r="C49"/>
  <c r="I49"/>
  <c r="C79"/>
  <c r="D49"/>
  <c r="G49"/>
  <c r="B49"/>
  <c r="G79"/>
  <c r="B79"/>
  <c r="B22"/>
  <c r="B35"/>
  <c r="B30" l="1"/>
  <c r="B31"/>
  <c r="J41"/>
  <c r="J36"/>
  <c r="B65"/>
  <c r="B52"/>
  <c r="B61" s="1"/>
  <c r="J65"/>
  <c r="J52"/>
  <c r="J61" s="1"/>
  <c r="C35"/>
  <c r="C22"/>
  <c r="I95"/>
  <c r="I82"/>
  <c r="I91" s="1"/>
  <c r="K65"/>
  <c r="K52"/>
  <c r="K61" s="1"/>
  <c r="F52"/>
  <c r="F61" s="1"/>
  <c r="F65"/>
  <c r="G52"/>
  <c r="G61" s="1"/>
  <c r="G65"/>
  <c r="C52"/>
  <c r="C61" s="1"/>
  <c r="C65"/>
  <c r="G35"/>
  <c r="G22"/>
  <c r="I35"/>
  <c r="I22"/>
  <c r="F95"/>
  <c r="F82"/>
  <c r="F91" s="1"/>
  <c r="F35"/>
  <c r="F22"/>
  <c r="E22"/>
  <c r="E35"/>
  <c r="B95"/>
  <c r="B82"/>
  <c r="B91" s="1"/>
  <c r="D52"/>
  <c r="D61" s="1"/>
  <c r="D65"/>
  <c r="H35"/>
  <c r="H22"/>
  <c r="E65"/>
  <c r="E52"/>
  <c r="E61" s="1"/>
  <c r="K95"/>
  <c r="K82"/>
  <c r="K91" s="1"/>
  <c r="J95"/>
  <c r="J82"/>
  <c r="J91" s="1"/>
  <c r="K35"/>
  <c r="K22"/>
  <c r="I52"/>
  <c r="I61" s="1"/>
  <c r="I65"/>
  <c r="G95"/>
  <c r="G82"/>
  <c r="G91" s="1"/>
  <c r="C82"/>
  <c r="C91" s="1"/>
  <c r="C95"/>
  <c r="H82"/>
  <c r="H91" s="1"/>
  <c r="H95"/>
  <c r="H65"/>
  <c r="H52"/>
  <c r="H61" s="1"/>
  <c r="E82"/>
  <c r="E91" s="1"/>
  <c r="E95"/>
  <c r="D35"/>
  <c r="D22"/>
  <c r="D82"/>
  <c r="D91" s="1"/>
  <c r="D95"/>
  <c r="J35"/>
  <c r="J22"/>
  <c r="D30" l="1"/>
  <c r="D31"/>
  <c r="G30"/>
  <c r="G31"/>
  <c r="C30"/>
  <c r="C31"/>
  <c r="J30"/>
  <c r="J31"/>
  <c r="K30"/>
  <c r="K31"/>
  <c r="H30"/>
  <c r="H31"/>
  <c r="E30"/>
  <c r="E31"/>
  <c r="F30"/>
  <c r="F31"/>
  <c r="I30"/>
  <c r="I31"/>
  <c r="K41"/>
  <c r="K36"/>
  <c r="B60"/>
  <c r="B71" l="1"/>
  <c r="B66"/>
  <c r="C60"/>
  <c r="C71" l="1"/>
  <c r="C66"/>
  <c r="D60"/>
  <c r="D71" l="1"/>
  <c r="D66"/>
  <c r="E60"/>
  <c r="E71" l="1"/>
  <c r="E66"/>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<sst xmlns="http://schemas.openxmlformats.org/spreadsheetml/2006/main" count="7960" uniqueCount="4119">
  <si>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</si>
  <si>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</si>
  <si>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</si>
  <si>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</si>
  <si>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</si>
  <si>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</si>
  <si>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</si>
  <si>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</si>
  <si>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</si>
  <si>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</si>
  <si>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</si>
  <si>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</si>
  <si>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</si>
  <si>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</si>
  <si>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</si>
  <si>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</si>
  <si>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</si>
  <si>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</si>
  <si>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</si>
  <si>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</si>
  <si>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</si>
  <si>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</si>
  <si>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</si>
  <si>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</si>
  <si>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</si>
  <si>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</si>
  <si>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</si>
  <si>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</si>
  <si>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</si>
  <si>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</si>
  <si>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</si>
  <si>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</si>
  <si>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</si>
  <si>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</si>
  <si>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</si>
  <si>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</si>
  <si>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</si>
  <si>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</si>
  <si>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</si>
  <si>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</si>
  <si>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</si>
  <si>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</si>
  <si>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</si>
  <si>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</si>
  <si>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</si>
  <si>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</si>
  <si>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</si>
  <si>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</si>
  <si>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</si>
  <si>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</si>
  <si>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</si>
  <si>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</si>
  <si>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</si>
  <si>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</si>
  <si>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</si>
  <si>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</si>
  <si>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</si>
  <si>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</si>
  <si>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</si>
  <si>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</si>
  <si>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</si>
  <si>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</si>
  <si>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</si>
  <si>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</si>
  <si>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</si>
  <si>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</si>
  <si>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</si>
  <si>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</si>
  <si>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</si>
  <si>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</si>
  <si>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</si>
  <si>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</si>
  <si>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</si>
  <si>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</si>
  <si>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</si>
  <si>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</si>
  <si>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</si>
  <si>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</si>
  <si>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</si>
  <si>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</si>
  <si>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</si>
  <si>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</si>
  <si>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</si>
  <si>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</si>
  <si>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</si>
  <si>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</si>
  <si>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</si>
  <si>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</si>
  <si>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</si>
  <si>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</si>
  <si>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</si>
  <si>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</si>
  <si>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</si>
  <si>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</si>
  <si>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</si>
  <si>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</si>
  <si>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</si>
  <si>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</si>
  <si>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</si>
  <si>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</si>
  <si>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</si>
  <si>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</si>
  <si>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</si>
  <si>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</si>
  <si>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</si>
  <si>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</si>
  <si>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</si>
  <si>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</si>
  <si>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</si>
  <si>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</si>
  <si>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</si>
  <si>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</si>
  <si>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</si>
  <si>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</si>
  <si>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</si>
  <si>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</si>
  <si>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</si>
  <si>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</si>
  <si>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</si>
  <si>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</si>
  <si>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</si>
  <si>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</si>
  <si>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</si>
  <si>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</si>
  <si>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</si>
  <si>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</si>
  <si>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</si>
  <si>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</si>
  <si>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</si>
  <si>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</si>
  <si>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</si>
  <si>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</si>
  <si>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</si>
  <si>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</si>
  <si>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</si>
  <si>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</si>
  <si>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</si>
  <si>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</si>
  <si>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</si>
  <si>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</si>
  <si>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</si>
  <si>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</si>
  <si>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</si>
  <si>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</si>
  <si>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</si>
  <si>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</si>
  <si>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</si>
  <si>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</si>
  <si>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</si>
  <si>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</si>
  <si>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</si>
  <si>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</si>
  <si>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</si>
  <si>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</si>
  <si>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</si>
  <si>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</si>
  <si>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</si>
  <si>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</si>
  <si>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</si>
  <si>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</si>
  <si>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</si>
  <si>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</si>
  <si>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</si>
  <si>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</si>
  <si>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</si>
  <si>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</si>
  <si>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</si>
  <si>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</si>
  <si>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</si>
  <si>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</si>
  <si>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</si>
  <si>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</si>
  <si>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</si>
  <si>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</si>
  <si>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</si>
  <si>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</si>
  <si>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</si>
  <si>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</si>
  <si>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</si>
  <si>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</si>
  <si>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</si>
  <si>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</si>
  <si>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</si>
  <si>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</si>
  <si>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</si>
  <si>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</si>
  <si>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</si>
  <si>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</si>
  <si>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</si>
  <si>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</si>
  <si>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</si>
  <si>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</si>
  <si>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</si>
  <si>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</si>
  <si>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</si>
  <si>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</si>
  <si>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</si>
  <si>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</si>
  <si>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</si>
  <si>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</si>
  <si>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</si>
  <si>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</si>
  <si>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</si>
  <si>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</si>
  <si>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</si>
  <si>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</si>
  <si>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</si>
  <si>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</si>
  <si>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</si>
  <si>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</si>
  <si>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</si>
  <si>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</si>
  <si>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</si>
  <si>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</si>
  <si>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</si>
  <si>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</si>
  <si>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</si>
  <si>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</si>
  <si>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</si>
  <si>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</si>
  <si>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</si>
  <si>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</si>
  <si>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</si>
  <si>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</si>
  <si>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</si>
  <si>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</si>
  <si>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</si>
  <si>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</si>
  <si>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</si>
  <si>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</si>
  <si>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</si>
  <si>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</si>
  <si>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</si>
  <si>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</si>
  <si>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</si>
  <si>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</si>
  <si>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</si>
  <si>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</si>
  <si>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</si>
  <si>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</si>
  <si>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</si>
  <si>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</si>
  <si>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</si>
  <si>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</si>
  <si>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</si>
  <si>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</si>
  <si>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</si>
  <si>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</si>
  <si>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</si>
  <si>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</si>
  <si>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</si>
  <si>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</si>
  <si>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</si>
  <si>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</si>
  <si>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</si>
  <si>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</si>
  <si>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</si>
  <si>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</si>
  <si>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</si>
  <si>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</si>
  <si>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</si>
  <si>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</si>
  <si>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</si>
  <si>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</si>
  <si>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</si>
  <si>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</si>
  <si>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</si>
  <si>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</si>
  <si>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</si>
  <si>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</si>
  <si>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</si>
  <si>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</si>
  <si>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</si>
  <si>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</si>
  <si>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</si>
  <si>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</si>
  <si>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</si>
  <si>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</si>
  <si>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</si>
  <si>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</si>
  <si>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</si>
  <si>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</si>
  <si>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</si>
  <si>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</si>
  <si>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</si>
  <si>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</si>
  <si>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</si>
  <si>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</si>
  <si>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</si>
  <si>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</si>
  <si>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</si>
  <si>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</si>
  <si>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</si>
  <si>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</si>
  <si>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</si>
  <si>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</si>
  <si>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</si>
  <si>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</si>
  <si>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</si>
  <si>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</si>
  <si>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</si>
  <si>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</si>
  <si>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</si>
  <si>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</si>
  <si>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</si>
  <si>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</si>
  <si>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</si>
  <si>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</si>
  <si>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</si>
  <si>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</si>
  <si>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</si>
  <si>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</si>
  <si>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</si>
  <si>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</si>
  <si>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</si>
  <si>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</si>
  <si>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</si>
  <si>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</si>
  <si>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</si>
  <si>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</si>
  <si>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</si>
  <si>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</si>
  <si>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</si>
  <si>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</si>
  <si>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</si>
  <si>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</si>
  <si>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</si>
  <si>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</si>
  <si>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</si>
  <si>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</si>
  <si>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</si>
  <si>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</si>
  <si>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</si>
  <si>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</si>
  <si>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</si>
  <si>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</si>
  <si>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</si>
  <si>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</si>
  <si>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</si>
  <si>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</si>
  <si>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</si>
  <si>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</si>
  <si>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</si>
  <si>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</si>
  <si>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</si>
  <si>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</si>
  <si>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</si>
  <si>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</si>
  <si>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</si>
  <si>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</si>
  <si>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</si>
  <si>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</si>
  <si>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</si>
  <si>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</si>
  <si>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</si>
  <si>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</si>
  <si>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</si>
  <si>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</si>
  <si>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</si>
  <si>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</si>
  <si>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</si>
  <si>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</si>
  <si>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</si>
  <si>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</si>
  <si>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</si>
  <si>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</si>
  <si>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</si>
  <si>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</si>
  <si>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</si>
  <si>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</si>
  <si>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</si>
  <si>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</si>
  <si>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</si>
  <si>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</si>
  <si>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</si>
  <si>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</si>
  <si>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</si>
  <si>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</si>
  <si>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</si>
  <si>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</si>
  <si>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</si>
  <si>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</si>
  <si>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</si>
  <si>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</si>
  <si>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</si>
  <si>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</si>
  <si>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</si>
  <si>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</si>
  <si>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</si>
  <si>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</si>
  <si>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</si>
  <si>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</si>
  <si>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</si>
  <si>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</si>
  <si>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</si>
  <si>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</si>
  <si>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</si>
  <si>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</si>
  <si>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</si>
  <si>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</si>
  <si>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</si>
  <si>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</si>
  <si>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</si>
  <si>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</si>
  <si>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</si>
  <si>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</si>
  <si>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</si>
  <si>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</si>
  <si>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</si>
  <si>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</si>
  <si>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</si>
  <si>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</si>
  <si>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</si>
  <si>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</si>
  <si>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</si>
  <si>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</si>
  <si>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</si>
  <si>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</si>
  <si>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</si>
  <si>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</si>
  <si>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</si>
  <si>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</si>
  <si>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</si>
  <si>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</si>
  <si>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</si>
  <si>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</si>
  <si>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</si>
  <si>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</si>
  <si>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</si>
  <si>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</si>
  <si>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</si>
  <si>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</si>
  <si>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</si>
  <si>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</si>
  <si>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</si>
  <si>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</si>
  <si>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</si>
  <si>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</si>
  <si>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</si>
  <si>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</si>
  <si>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</si>
  <si>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</si>
  <si>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</si>
  <si>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</si>
  <si>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</si>
  <si>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</si>
  <si>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</si>
  <si>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</si>
  <si>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</si>
  <si>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</si>
  <si>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</si>
  <si>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</si>
  <si>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</si>
  <si>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</si>
  <si>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</si>
  <si>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</si>
  <si>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</si>
  <si>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</si>
  <si>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</si>
  <si>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</si>
  <si>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</si>
  <si>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</si>
  <si>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</si>
  <si>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</si>
  <si>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</si>
  <si>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</si>
  <si>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</si>
  <si>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</si>
  <si>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</si>
  <si>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</si>
  <si>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</si>
  <si>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</si>
  <si>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</si>
  <si>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</si>
  <si>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</si>
  <si>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</si>
  <si>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</si>
  <si>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</si>
  <si>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</si>
  <si>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</si>
  <si>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</si>
  <si>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</si>
  <si>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</si>
  <si>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</si>
  <si>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</si>
  <si>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</si>
  <si>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</si>
  <si>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</si>
  <si>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</si>
  <si>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</si>
  <si>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</si>
  <si>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</si>
  <si>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</si>
  <si>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</si>
  <si>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</si>
  <si>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</si>
  <si>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</si>
  <si>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</si>
  <si>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</si>
  <si>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</si>
  <si>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</si>
  <si>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</si>
  <si>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</si>
  <si>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</si>
  <si>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</si>
  <si>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</si>
  <si>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</si>
  <si>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</si>
  <si>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</si>
  <si>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</si>
  <si>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</si>
  <si>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</si>
  <si>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</si>
  <si>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</si>
  <si>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</si>
  <si>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</si>
  <si>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</si>
  <si>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</si>
  <si>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</si>
  <si>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</si>
  <si>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</si>
  <si>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</si>
  <si>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</si>
  <si>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</si>
  <si>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</si>
  <si>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</si>
  <si>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</si>
  <si>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</si>
  <si>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</si>
  <si>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</si>
  <si>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</si>
  <si>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</si>
  <si>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</si>
  <si>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</si>
  <si>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</si>
  <si>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</si>
  <si>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</si>
  <si>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</si>
  <si>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</si>
  <si>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</si>
  <si>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</si>
  <si>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</si>
  <si>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</si>
  <si>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</si>
  <si>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</si>
  <si>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</si>
  <si>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</si>
  <si>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</si>
  <si>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</si>
  <si>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</si>
  <si>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</si>
  <si>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</si>
  <si>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</si>
  <si>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</si>
  <si>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</si>
  <si>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</si>
  <si>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</si>
  <si>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</si>
  <si>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</si>
  <si>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</si>
  <si>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</si>
  <si>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</si>
  <si>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</si>
  <si>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</si>
  <si>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</si>
  <si>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</si>
  <si>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</si>
  <si>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</si>
  <si>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</si>
  <si>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</si>
  <si>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</si>
  <si>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</si>
  <si>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</si>
  <si>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</si>
  <si>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</si>
  <si>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</si>
  <si>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</si>
  <si>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</si>
  <si>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</si>
  <si>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</si>
  <si>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</si>
  <si>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</si>
  <si>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</si>
  <si>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</si>
  <si>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</si>
  <si>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</si>
  <si>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</si>
  <si>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</si>
  <si>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</si>
  <si>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</si>
  <si>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</si>
  <si>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</si>
  <si>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</si>
  <si>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</si>
  <si>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</si>
  <si>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</si>
  <si>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</si>
  <si>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</si>
  <si>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</si>
  <si>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</si>
  <si>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</si>
  <si>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</si>
  <si>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</si>
  <si>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</si>
  <si>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</si>
  <si>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</si>
  <si>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</si>
  <si>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</si>
  <si>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</si>
  <si>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</si>
  <si>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</si>
  <si>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</si>
  <si>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</si>
  <si>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</si>
  <si>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</si>
  <si>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</si>
  <si>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</si>
  <si>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</si>
  <si>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</si>
  <si>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</si>
  <si>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</si>
  <si>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</si>
  <si>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</si>
  <si>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</si>
  <si>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</si>
  <si>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</si>
  <si>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</si>
  <si>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</si>
  <si>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</si>
  <si>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</si>
  <si>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</si>
  <si>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</si>
  <si>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</si>
  <si>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</si>
  <si>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</si>
  <si>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</si>
  <si>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</si>
  <si>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</si>
  <si>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</si>
  <si>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</si>
  <si>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</si>
  <si>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</si>
  <si>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</si>
  <si>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</si>
  <si>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</si>
  <si>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</si>
  <si>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</si>
  <si>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</si>
  <si>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</si>
  <si>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</si>
  <si>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</si>
  <si>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</si>
  <si>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</si>
  <si>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</si>
  <si>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</si>
  <si>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</si>
  <si>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</si>
  <si>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</si>
  <si>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</si>
  <si>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</si>
  <si>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</si>
  <si>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</si>
  <si>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</si>
  <si>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</si>
  <si>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</si>
  <si>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</si>
  <si>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</si>
  <si>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</si>
  <si>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</si>
  <si>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</si>
  <si>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</si>
  <si>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</si>
  <si>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</si>
  <si>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</si>
  <si>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</si>
  <si>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</si>
  <si>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</si>
  <si>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</si>
  <si>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</si>
  <si>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</si>
  <si>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</si>
  <si>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</si>
  <si>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</si>
  <si>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</si>
  <si>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</si>
  <si>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</si>
  <si>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</si>
  <si>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</si>
  <si>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</si>
  <si>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</si>
  <si>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</si>
  <si>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</si>
  <si>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</si>
  <si>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</si>
  <si>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</si>
  <si>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</si>
  <si>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</si>
  <si>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</si>
  <si>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</si>
  <si>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</si>
  <si>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</si>
  <si>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</si>
  <si>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</si>
  <si>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</si>
  <si>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</si>
  <si>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</si>
  <si>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</si>
  <si>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</si>
  <si>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</si>
  <si>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</si>
  <si>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</si>
  <si>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</si>
  <si>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</si>
  <si>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</si>
  <si>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</si>
  <si>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</si>
  <si>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</si>
  <si>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</si>
  <si>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</si>
  <si>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</si>
  <si>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</si>
  <si>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</si>
  <si>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</si>
  <si>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</si>
  <si>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</si>
  <si>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</si>
  <si>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</si>
  <si>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</si>
  <si>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</si>
  <si>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</si>
  <si>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</si>
  <si>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</si>
  <si>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</si>
  <si>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</si>
  <si>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</si>
  <si>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</si>
  <si>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</si>
  <si>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</si>
  <si>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</si>
  <si>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</si>
  <si>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</si>
  <si>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</si>
  <si>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</si>
  <si>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</si>
  <si>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</si>
  <si>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</si>
  <si>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</si>
  <si>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</si>
  <si>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</si>
  <si>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</si>
  <si>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</si>
  <si>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</si>
  <si>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</si>
  <si>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</si>
  <si>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</si>
  <si>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</si>
  <si>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</si>
  <si>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</si>
  <si>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</si>
  <si>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</si>
  <si>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</si>
  <si>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</si>
  <si>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</si>
  <si>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</si>
  <si>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</si>
  <si>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</si>
  <si>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</si>
  <si>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</si>
  <si>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</si>
  <si>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</si>
  <si>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</si>
  <si>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</si>
  <si>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</si>
  <si>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</si>
  <si>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</si>
  <si>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</si>
  <si>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</si>
  <si>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</si>
  <si>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</si>
  <si>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</si>
  <si>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</si>
  <si>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</si>
  <si>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</si>
  <si>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</si>
  <si>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</si>
  <si>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</si>
  <si>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</si>
  <si>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</si>
  <si>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</si>
  <si>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</si>
  <si>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</si>
  <si>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</si>
  <si>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</si>
  <si>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</si>
  <si>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</si>
  <si>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</si>
  <si>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</si>
  <si>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</si>
  <si>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</si>
  <si>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</si>
  <si>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</si>
  <si>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</si>
  <si>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</si>
  <si>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</si>
  <si>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</si>
  <si>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</si>
  <si>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</si>
  <si>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</si>
  <si>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</si>
  <si>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</si>
  <si>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</si>
  <si>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</si>
  <si>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</si>
  <si>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</si>
  <si>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</si>
  <si>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</si>
  <si>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</si>
  <si>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</si>
  <si>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</si>
  <si>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</si>
  <si>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</si>
  <si>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</si>
  <si>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</si>
  <si>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</si>
  <si>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</si>
  <si>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</si>
  <si>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</si>
  <si>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</si>
  <si>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</si>
  <si>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</si>
  <si>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</si>
  <si>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</si>
  <si>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</si>
  <si>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</si>
  <si>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</si>
  <si>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</si>
  <si>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</si>
  <si>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</si>
  <si>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</si>
  <si>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</si>
  <si>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</si>
  <si>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</si>
  <si>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</si>
  <si>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</si>
  <si>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</si>
  <si>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</si>
  <si>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</si>
  <si>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</si>
  <si>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</si>
  <si>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</si>
  <si>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</si>
  <si>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</si>
  <si>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</si>
  <si>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</si>
  <si>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</si>
  <si>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</si>
  <si>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</si>
  <si>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</si>
  <si>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</si>
  <si>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</si>
  <si>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</si>
  <si>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</si>
  <si>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</si>
  <si>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</si>
  <si>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</si>
  <si>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</si>
  <si>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</si>
  <si>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</si>
  <si>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</si>
  <si>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</si>
  <si>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</si>
  <si>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</si>
  <si>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</si>
  <si>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</si>
  <si>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</si>
  <si>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</si>
  <si>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</si>
  <si>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</si>
  <si>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</si>
  <si>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</si>
  <si>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</si>
  <si>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</si>
  <si>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</si>
  <si>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</si>
  <si>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</si>
  <si>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</si>
  <si>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</si>
  <si>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</si>
  <si>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</si>
  <si>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</si>
  <si>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</si>
  <si>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</si>
  <si>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</si>
  <si>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</si>
  <si>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</si>
  <si>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</si>
  <si>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</si>
  <si>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</si>
  <si>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</si>
  <si>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</si>
  <si>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</si>
  <si>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</si>
  <si>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</si>
  <si>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</si>
  <si>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</si>
  <si>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</si>
  <si>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</si>
  <si>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</si>
  <si>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</si>
  <si>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</si>
  <si>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</si>
  <si>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</si>
  <si>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</si>
  <si>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</si>
  <si>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</si>
  <si>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</si>
  <si>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</si>
  <si>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</si>
  <si>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</si>
  <si>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</si>
  <si>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</si>
  <si>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</si>
  <si>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</si>
  <si>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</si>
  <si>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</si>
  <si>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</si>
  <si>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</si>
  <si>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</si>
  <si>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</si>
  <si>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</si>
  <si>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</si>
  <si>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</si>
  <si>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</si>
  <si>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</si>
  <si>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</si>
  <si>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</si>
  <si>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</si>
  <si>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</si>
  <si>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</si>
  <si>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</si>
  <si>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</si>
  <si>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</si>
  <si>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</si>
  <si>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</si>
  <si>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</si>
  <si>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</si>
  <si>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</si>
  <si>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</si>
  <si>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</si>
  <si>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</si>
  <si>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</si>
  <si>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</si>
  <si>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</si>
  <si>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</si>
  <si>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</si>
  <si>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</si>
  <si>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</si>
  <si>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</si>
  <si>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</si>
  <si>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</si>
  <si>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</si>
  <si>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</si>
  <si>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</si>
  <si>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</si>
  <si>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</si>
  <si>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</si>
  <si>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</si>
  <si>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</si>
  <si>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</si>
  <si>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</si>
  <si>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</si>
  <si>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</si>
  <si>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</si>
  <si>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</si>
  <si>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</si>
  <si>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</si>
  <si>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</si>
  <si>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</si>
  <si>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</si>
  <si>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</si>
  <si>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</si>
  <si>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</si>
  <si>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</si>
  <si>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</si>
  <si>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</si>
  <si>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</si>
  <si>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</si>
  <si>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</si>
  <si>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</si>
  <si>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</si>
  <si>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</si>
  <si>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</si>
  <si>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</si>
  <si>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</si>
  <si>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</si>
  <si>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</si>
  <si>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</si>
  <si>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</si>
  <si>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</si>
  <si>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</si>
  <si>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</si>
  <si>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</si>
  <si>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</si>
  <si>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</si>
  <si>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</si>
  <si>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</si>
  <si>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</si>
  <si>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</si>
  <si>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</si>
  <si>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</si>
  <si>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</si>
  <si>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</si>
  <si>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</si>
  <si>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</si>
  <si>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</si>
  <si>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</si>
  <si>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</si>
  <si>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</si>
  <si>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</si>
  <si>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</si>
  <si>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</si>
  <si>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</si>
  <si>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</si>
  <si>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</si>
  <si>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</si>
  <si>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</si>
  <si>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</si>
  <si>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</si>
  <si>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</si>
  <si>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</si>
  <si>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</si>
  <si>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</si>
  <si>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</si>
  <si>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</si>
  <si>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</si>
  <si>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</si>
  <si>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</si>
  <si>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</si>
  <si>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</si>
  <si>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</si>
  <si>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</si>
  <si>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</si>
  <si>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</si>
  <si>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</si>
  <si>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</si>
  <si>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</si>
  <si>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</si>
  <si>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</si>
  <si>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</si>
  <si>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</si>
  <si>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</si>
  <si>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</si>
  <si>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</si>
  <si>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</si>
  <si>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</si>
  <si>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</si>
  <si>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</si>
  <si>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</si>
  <si>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</si>
  <si>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</si>
  <si>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</si>
  <si>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</si>
  <si>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</si>
  <si>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</si>
  <si>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</si>
  <si>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</si>
  <si>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</si>
  <si>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</si>
  <si>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</si>
  <si>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</si>
  <si>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</si>
  <si>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</si>
  <si>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</si>
  <si>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</si>
  <si>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</si>
  <si>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</si>
  <si>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</si>
  <si>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</si>
  <si>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</si>
  <si>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</si>
  <si>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</si>
  <si>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</si>
  <si>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</si>
  <si>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</si>
  <si>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</si>
  <si>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</si>
  <si>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</si>
  <si>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</si>
  <si>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</si>
  <si>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</si>
  <si>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</si>
  <si>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</si>
  <si>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</si>
  <si>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</si>
  <si>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</si>
  <si>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</si>
  <si>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</si>
  <si>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</si>
  <si>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</si>
  <si>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</si>
  <si>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</si>
  <si>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</si>
  <si>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</si>
  <si>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</si>
  <si>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</si>
  <si>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</si>
  <si>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</si>
  <si>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</si>
  <si>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</si>
  <si>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</si>
  <si>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</si>
  <si>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</si>
  <si>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</si>
  <si>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</si>
  <si>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</si>
  <si>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</si>
  <si>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</si>
  <si>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</si>
  <si>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</si>
  <si>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</si>
  <si>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</si>
  <si>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</si>
  <si>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</si>
  <si>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</si>
  <si>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</si>
  <si>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</si>
  <si>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</si>
  <si>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</si>
  <si>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</si>
  <si>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</si>
  <si>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</si>
  <si>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</si>
  <si>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</si>
  <si>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</si>
  <si>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</si>
  <si>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</si>
  <si>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</si>
  <si>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</si>
  <si>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</si>
  <si>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</si>
  <si>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</si>
  <si>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</si>
  <si>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</si>
  <si>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</si>
  <si>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</si>
  <si>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</si>
  <si>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</si>
  <si>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</si>
  <si>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</si>
  <si>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</si>
  <si>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</si>
  <si>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</si>
  <si>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</si>
  <si>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</si>
  <si>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</si>
  <si>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</si>
  <si>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</si>
  <si>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</si>
  <si>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</si>
  <si>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</si>
  <si>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</si>
  <si>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</si>
  <si>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</si>
  <si>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</si>
  <si>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</si>
  <si>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</si>
  <si>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</si>
  <si>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</si>
  <si>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</si>
  <si>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</si>
  <si>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</si>
  <si>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</si>
  <si>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</si>
  <si>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</si>
  <si>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</si>
  <si>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</si>
  <si>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</si>
  <si>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</si>
  <si>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</si>
  <si>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</si>
  <si>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</si>
  <si>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</si>
  <si>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</si>
  <si>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</si>
  <si>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</si>
  <si>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</si>
  <si>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</si>
  <si>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</si>
  <si>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</si>
  <si>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</si>
  <si>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</si>
  <si>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</si>
  <si>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</si>
  <si>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</si>
  <si>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</si>
  <si>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</si>
  <si>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</si>
  <si>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</si>
  <si>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</si>
  <si>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</si>
  <si>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</si>
  <si>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</si>
  <si>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</si>
  <si>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</si>
  <si>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</si>
  <si>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</si>
  <si>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</si>
  <si>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</si>
  <si>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</si>
  <si>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</si>
  <si>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</si>
  <si>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</si>
  <si>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</si>
  <si>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</si>
  <si>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</si>
  <si>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</si>
  <si>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</si>
  <si>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</si>
  <si>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</si>
  <si>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</si>
  <si>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</si>
  <si>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</si>
  <si>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</si>
  <si>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</si>
  <si>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</si>
  <si>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</si>
  <si>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</si>
  <si>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</si>
  <si>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</si>
  <si>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</si>
  <si>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</si>
  <si>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</si>
  <si>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</si>
  <si>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</si>
  <si>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</si>
  <si>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</si>
  <si>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</si>
  <si>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</si>
  <si>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</si>
  <si>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</si>
  <si>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</si>
  <si>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</si>
  <si>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</si>
  <si>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</si>
  <si>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</si>
  <si>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</si>
  <si>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</si>
  <si>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</si>
  <si>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</si>
  <si>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</si>
  <si>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</si>
  <si>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</si>
  <si>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</si>
  <si>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</si>
  <si>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</si>
  <si>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</si>
  <si>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</si>
  <si>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</si>
  <si>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</si>
  <si>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</si>
  <si>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</si>
  <si>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</si>
  <si>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</si>
  <si>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</si>
  <si>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</si>
  <si>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</si>
  <si>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</si>
  <si>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</si>
  <si>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</si>
  <si>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</si>
  <si>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</si>
  <si>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</si>
  <si>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</si>
  <si>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</si>
  <si>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</si>
  <si>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</si>
  <si>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</si>
  <si>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</si>
  <si>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</si>
  <si>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</si>
  <si>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</si>
  <si>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</si>
  <si>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</si>
  <si>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</si>
  <si>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</si>
  <si>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</si>
  <si>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</si>
  <si>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</si>
  <si>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</si>
  <si>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</si>
  <si>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</si>
  <si>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</si>
  <si>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</si>
  <si>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</si>
  <si>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</si>
  <si>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</si>
  <si>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</si>
  <si>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</si>
  <si>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</si>
  <si>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</si>
  <si>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</si>
  <si>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</si>
  <si>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</si>
  <si>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</si>
  <si>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</si>
  <si>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</si>
  <si>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</si>
  <si>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</si>
  <si>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</si>
  <si>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</si>
  <si>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</si>
  <si>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</si>
  <si>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</si>
  <si>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</si>
  <si>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</si>
  <si>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</si>
  <si>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</si>
  <si>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</si>
  <si>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</si>
  <si>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</si>
  <si>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</si>
  <si>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</si>
  <si>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</si>
  <si>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</si>
  <si>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</si>
  <si>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</si>
  <si>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</si>
  <si>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</si>
  <si>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</si>
  <si>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</si>
  <si>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</si>
  <si>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</si>
  <si>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</si>
  <si>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</si>
  <si>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</si>
  <si>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</si>
  <si>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</si>
  <si>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</si>
  <si>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</si>
  <si>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</si>
  <si>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</si>
  <si>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</si>
  <si>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</si>
  <si>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</si>
  <si>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</si>
  <si>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</si>
  <si>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</si>
  <si>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</si>
  <si>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</si>
  <si>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</si>
  <si>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</si>
  <si>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</si>
  <si>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</si>
  <si>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</si>
  <si>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</si>
  <si>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</si>
  <si>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</si>
  <si>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</si>
  <si>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</si>
  <si>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</si>
  <si>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</si>
  <si>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</si>
  <si>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</si>
  <si>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</si>
  <si>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</si>
  <si>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</si>
  <si>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</si>
  <si>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</si>
  <si>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</si>
  <si>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</si>
  <si>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</si>
  <si>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</si>
  <si>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</si>
  <si>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</si>
  <si>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</si>
  <si>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</si>
  <si>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</si>
  <si>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</si>
  <si>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</si>
  <si>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</si>
  <si>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</si>
  <si>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</si>
  <si>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</si>
  <si>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</si>
  <si>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</si>
  <si>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</si>
  <si>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</si>
  <si>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</si>
  <si>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</si>
  <si>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</si>
  <si>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</si>
  <si>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</si>
  <si>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</si>
  <si>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</si>
  <si>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</si>
  <si>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</si>
  <si>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</si>
  <si>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</si>
  <si>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</si>
  <si>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</si>
  <si>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</si>
  <si>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</si>
  <si>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</si>
  <si>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</si>
  <si>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</si>
  <si>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</si>
  <si>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</si>
  <si>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</si>
  <si>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</si>
  <si>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</si>
  <si>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</si>
  <si>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</si>
  <si>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</si>
  <si>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</si>
  <si>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</si>
  <si>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</si>
  <si>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</si>
  <si>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</si>
  <si>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</si>
  <si>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</si>
  <si>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</si>
  <si>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</si>
  <si>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</si>
  <si>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</si>
  <si>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</si>
  <si>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</si>
  <si>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</si>
  <si>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</si>
  <si>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</si>
  <si>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</si>
  <si>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</si>
  <si>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</si>
  <si>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</si>
  <si>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</si>
  <si>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</si>
  <si>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</si>
  <si>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</si>
  <si>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</si>
  <si>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</si>
  <si>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</si>
  <si>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</si>
  <si>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</si>
  <si>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</si>
  <si>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</si>
  <si>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</si>
  <si>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</si>
  <si>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</si>
  <si>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</si>
  <si>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</si>
  <si>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</si>
  <si>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</si>
  <si>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</si>
  <si>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</si>
  <si>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</si>
  <si>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</si>
  <si>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</si>
  <si>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</si>
  <si>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</si>
  <si>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</si>
  <si>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</si>
  <si>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</si>
  <si>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</si>
  <si>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</si>
  <si>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</si>
  <si>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</si>
  <si>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</si>
  <si>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</si>
  <si>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</si>
  <si>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</si>
  <si>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</si>
  <si>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</si>
  <si>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</si>
  <si>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</si>
  <si>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</si>
  <si>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</si>
  <si>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</si>
  <si>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</si>
  <si>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</si>
  <si>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</si>
  <si>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</si>
  <si>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</si>
  <si>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</si>
  <si>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</si>
  <si>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</si>
  <si>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</si>
  <si>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</si>
  <si>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</si>
  <si>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</si>
  <si>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</si>
  <si>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</si>
  <si>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</si>
  <si>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</si>
  <si>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</si>
  <si>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</si>
  <si>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</si>
  <si>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</si>
  <si>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</si>
  <si>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</si>
  <si>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</si>
  <si>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</si>
  <si>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</si>
  <si>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</si>
  <si>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</si>
  <si>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</si>
  <si>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</si>
  <si>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</si>
  <si>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</si>
  <si>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</si>
  <si>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</si>
  <si>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</si>
  <si>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</si>
  <si>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</si>
  <si>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</si>
  <si>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</si>
  <si>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</si>
  <si>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</si>
  <si>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</si>
  <si>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</si>
  <si>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</si>
  <si>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</si>
  <si>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</si>
  <si>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</si>
  <si>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</si>
  <si>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</si>
  <si>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</si>
  <si>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</si>
  <si>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</si>
  <si>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</si>
  <si>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</si>
  <si>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</si>
  <si>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</si>
  <si>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</si>
  <si>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</si>
  <si>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</si>
  <si>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</si>
  <si>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</si>
  <si>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</si>
  <si>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</si>
  <si>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</si>
  <si>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</si>
  <si>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</si>
  <si>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</si>
  <si>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</si>
  <si>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</si>
  <si>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</si>
  <si>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</si>
  <si>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</si>
  <si>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</si>
  <si>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</si>
  <si>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</si>
  <si>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</si>
  <si>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</si>
  <si>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</si>
  <si>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</si>
  <si>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</si>
  <si>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</si>
  <si>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</si>
  <si>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</si>
  <si>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</si>
  <si>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</si>
  <si>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</si>
  <si>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</si>
  <si>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</si>
  <si>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</si>
  <si>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</si>
  <si>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</si>
  <si>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</si>
  <si>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</si>
  <si>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</si>
  <si>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</si>
  <si>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</si>
  <si>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</si>
  <si>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</si>
  <si>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</si>
  <si>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</si>
  <si>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</si>
  <si>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</si>
  <si>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</si>
  <si>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</si>
  <si>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</si>
  <si>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</si>
  <si>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</si>
  <si>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</si>
  <si>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</si>
  <si>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</si>
  <si>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</si>
  <si>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</si>
  <si>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</si>
  <si>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</si>
  <si>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</si>
  <si>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</si>
  <si>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</si>
  <si>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</si>
  <si>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</si>
  <si>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</si>
  <si>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</si>
  <si>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</si>
  <si>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</si>
  <si>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</si>
  <si>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</si>
  <si>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</si>
  <si>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</si>
  <si>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</si>
  <si>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</si>
  <si>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</si>
  <si>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</si>
  <si>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</si>
  <si>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</si>
  <si>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</si>
  <si>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</si>
  <si>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</si>
  <si>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</si>
  <si>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</si>
  <si>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</si>
  <si>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</si>
  <si>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</si>
  <si>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</si>
  <si>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</si>
  <si>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</si>
  <si>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</si>
  <si>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</si>
  <si>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</si>
  <si>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</si>
  <si>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</si>
  <si>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</si>
  <si>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</si>
  <si>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</si>
  <si>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</si>
  <si>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</si>
  <si>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</si>
  <si>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</si>
  <si>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</si>
  <si>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</si>
  <si>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</si>
  <si>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</si>
  <si>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</si>
  <si>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</si>
  <si>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</si>
  <si>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</si>
  <si>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</si>
  <si>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</si>
  <si>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</si>
  <si>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</si>
  <si>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</si>
  <si>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</si>
  <si>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</si>
  <si>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</si>
  <si>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</si>
  <si>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</si>
  <si>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</si>
  <si>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</si>
  <si>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</si>
  <si>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</si>
  <si>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</si>
  <si>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</si>
  <si>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</si>
  <si>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</si>
  <si>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</si>
  <si>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</si>
  <si>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</si>
  <si>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</si>
  <si>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</si>
  <si>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</si>
  <si>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</si>
  <si>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</si>
  <si>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</si>
  <si>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</si>
  <si>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</si>
  <si>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</si>
  <si>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</si>
  <si>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</si>
  <si>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</si>
  <si>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</si>
  <si>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</si>
  <si>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</si>
  <si>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</si>
  <si>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</si>
  <si>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</si>
  <si>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</si>
  <si>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</si>
  <si>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</si>
  <si>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</si>
  <si>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</si>
  <si>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</si>
  <si>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</si>
  <si>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</si>
  <si>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</si>
  <si>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</si>
  <si>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</si>
  <si>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</si>
  <si>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</si>
  <si>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</si>
  <si>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</si>
  <si>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</si>
  <si>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</si>
  <si>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</si>
  <si>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</si>
  <si>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</si>
  <si>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</si>
  <si>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</si>
  <si>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</si>
  <si>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</si>
  <si>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</si>
  <si>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</si>
  <si>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</si>
  <si>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</si>
  <si>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</si>
  <si>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</si>
  <si>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</si>
  <si>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</si>
  <si>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</si>
  <si>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</si>
  <si>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</si>
  <si>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</si>
  <si>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</si>
  <si>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</si>
  <si>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</si>
  <si>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</si>
  <si>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</si>
  <si>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</si>
  <si>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</si>
  <si>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</si>
  <si>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</si>
  <si>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</si>
  <si>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</si>
  <si>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</si>
  <si>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</si>
  <si>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</si>
  <si>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</si>
  <si>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</si>
  <si>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</si>
  <si>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</si>
  <si>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</si>
  <si>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</si>
  <si>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</si>
  <si>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</si>
  <si>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</si>
  <si>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</si>
  <si>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</si>
  <si>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</si>
  <si>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</si>
  <si>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</si>
  <si>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</si>
  <si>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</si>
  <si>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</si>
  <si>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</si>
  <si>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</si>
  <si>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</si>
  <si>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</si>
  <si>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</si>
  <si>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</si>
  <si>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</si>
  <si>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</si>
  <si>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</si>
  <si>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</si>
  <si>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</si>
  <si>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</si>
  <si>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</si>
  <si>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</si>
  <si>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</si>
  <si>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</si>
  <si>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</si>
  <si>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</si>
  <si>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</si>
  <si>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</si>
  <si>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</si>
  <si>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</si>
  <si>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</si>
  <si>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</si>
  <si>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</si>
  <si>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</si>
  <si>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</si>
  <si>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</si>
  <si>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</si>
  <si>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</si>
  <si>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</si>
  <si>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</si>
  <si>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</si>
  <si>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</si>
  <si>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</si>
  <si>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</si>
  <si>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</si>
  <si>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</si>
  <si>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</si>
  <si>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</si>
  <si>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</si>
  <si>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</si>
  <si>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</si>
  <si>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</si>
  <si>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</si>
  <si>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</si>
  <si>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</si>
  <si>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</si>
  <si>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</si>
  <si>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</si>
  <si>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</si>
  <si>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</si>
  <si>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</si>
  <si>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</si>
  <si>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</si>
  <si>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</si>
  <si>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</si>
  <si>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</si>
  <si>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</si>
  <si>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</si>
  <si>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</si>
  <si>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</si>
  <si>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</si>
  <si>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</si>
  <si>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</si>
  <si>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</si>
  <si>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</si>
  <si>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</si>
  <si>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</si>
  <si>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</si>
  <si>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</si>
  <si>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</si>
  <si>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</si>
  <si>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</si>
  <si>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</si>
  <si>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</si>
  <si>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</si>
  <si>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</si>
  <si>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</si>
  <si>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</si>
  <si>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</si>
  <si>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</si>
  <si>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</si>
  <si>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</si>
  <si>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</si>
  <si>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</si>
  <si>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</si>
  <si>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</si>
  <si>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</si>
  <si>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</si>
  <si>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</si>
  <si>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</si>
  <si>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</si>
  <si>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</si>
  <si>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</si>
  <si>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</si>
  <si>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</si>
  <si>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</si>
  <si>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</si>
  <si>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</si>
  <si>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</si>
  <si>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</si>
  <si>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</si>
  <si>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</si>
  <si>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</si>
  <si>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</si>
  <si>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</si>
  <si>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</si>
  <si>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</si>
  <si>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</si>
  <si>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</si>
  <si>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</si>
  <si>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</si>
  <si>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</si>
  <si>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</si>
  <si>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</si>
  <si>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</si>
  <si>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</si>
  <si>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</si>
  <si>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</si>
  <si>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</si>
  <si>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</si>
  <si>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</si>
  <si>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</si>
  <si>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</si>
  <si>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</si>
  <si>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</si>
  <si>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</si>
  <si>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</si>
  <si>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</si>
  <si>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</si>
  <si>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</si>
  <si>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</si>
  <si>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</si>
  <si>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</si>
  <si>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</si>
  <si>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</si>
  <si>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</si>
  <si>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</si>
  <si>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</si>
  <si>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</si>
  <si>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</si>
  <si>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</si>
  <si>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</si>
  <si>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</si>
  <si>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</si>
  <si>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</si>
  <si>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</si>
  <si>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</si>
  <si>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</si>
  <si>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</si>
  <si>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</si>
  <si>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</si>
  <si>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</si>
  <si>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</si>
  <si>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</si>
  <si>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</si>
  <si>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</si>
  <si>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</si>
  <si>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</si>
  <si>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</si>
  <si>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</si>
  <si>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</si>
  <si>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</si>
  <si>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</si>
  <si>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</si>
  <si>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</si>
  <si>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</si>
  <si>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</si>
  <si>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</si>
  <si>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</si>
  <si>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</si>
  <si>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</si>
  <si>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</si>
  <si>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</si>
  <si>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</si>
  <si>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</si>
  <si>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</si>
  <si>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</si>
  <si>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</si>
  <si>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</si>
  <si>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</si>
  <si>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</si>
  <si>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</si>
  <si>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</si>
  <si>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</si>
  <si>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</si>
  <si>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</si>
  <si>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</si>
  <si>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</si>
  <si>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</si>
  <si>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</si>
  <si>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</si>
  <si>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</si>
  <si>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</si>
  <si>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</si>
  <si>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</si>
  <si>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</si>
  <si>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</si>
  <si>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</si>
  <si>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</si>
  <si>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</si>
  <si>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</si>
  <si>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</si>
  <si>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</si>
  <si>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</si>
  <si>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</si>
  <si>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</si>
  <si>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</si>
  <si>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</si>
  <si>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</si>
  <si>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</si>
  <si>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</si>
  <si>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</si>
  <si>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</si>
  <si>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</si>
  <si>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</si>
  <si>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</si>
  <si>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</si>
  <si>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</si>
  <si>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</si>
  <si>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</si>
  <si>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</si>
  <si>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</si>
  <si>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</si>
  <si>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</si>
  <si>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</si>
  <si>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</si>
  <si>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</si>
  <si>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</si>
  <si>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</si>
  <si>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</si>
  <si>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</si>
  <si>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</si>
  <si>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</si>
  <si>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</si>
  <si>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</si>
  <si>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</si>
  <si>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</si>
  <si>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</si>
  <si>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</si>
  <si>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</si>
  <si>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</si>
  <si>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</si>
  <si>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</si>
  <si>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</si>
  <si>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</si>
  <si>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</si>
  <si>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</si>
  <si>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</si>
  <si>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</si>
  <si>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</si>
  <si>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</si>
  <si>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</si>
  <si>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</si>
  <si>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</si>
  <si>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</si>
  <si>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</si>
  <si>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</si>
  <si>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</si>
  <si>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</si>
  <si>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</si>
  <si>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</si>
  <si>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</si>
  <si>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</si>
  <si>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</si>
  <si>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</si>
  <si>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</si>
  <si>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</si>
  <si>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</si>
  <si>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</si>
  <si>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</si>
  <si>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</si>
  <si>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</si>
  <si>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</si>
  <si>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</si>
  <si>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</si>
  <si>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</si>
  <si>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</si>
  <si>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</si>
  <si>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</si>
  <si>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</si>
  <si>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</si>
  <si>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</si>
  <si>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</si>
  <si>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</si>
  <si>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</si>
  <si>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</si>
  <si>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</si>
  <si>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</si>
  <si>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</si>
  <si>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</si>
  <si>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</si>
  <si>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</si>
  <si>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</si>
  <si>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</si>
  <si>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</si>
  <si>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</si>
  <si>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</si>
  <si>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</si>
  <si>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</si>
  <si>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</si>
  <si>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</si>
  <si>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</si>
  <si>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</si>
  <si>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</si>
  <si>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</si>
  <si>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</si>
  <si>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</si>
  <si>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</si>
  <si>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</si>
  <si>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</si>
  <si>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</si>
  <si>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</si>
  <si>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</si>
  <si>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</si>
  <si>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</si>
  <si>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</si>
  <si>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</si>
  <si>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</si>
  <si>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</si>
  <si>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</si>
  <si>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</si>
  <si>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</si>
  <si>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</si>
  <si>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</si>
  <si>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</si>
  <si>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</si>
  <si>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</si>
  <si>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</si>
  <si>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</si>
  <si>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</si>
  <si>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</si>
  <si>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</si>
  <si>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</si>
  <si>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</si>
  <si>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</si>
  <si>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</si>
  <si>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</si>
  <si>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</si>
  <si>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</si>
  <si>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</si>
  <si>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</si>
  <si>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</si>
  <si>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</si>
  <si>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</si>
  <si>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</si>
  <si>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</si>
  <si>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</si>
  <si>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</si>
  <si>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</si>
  <si>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</si>
  <si>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</si>
  <si>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</si>
  <si>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</si>
  <si>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</si>
  <si>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</si>
  <si>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</si>
  <si>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</si>
  <si>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</si>
  <si>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</si>
  <si>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</si>
  <si>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</si>
  <si>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</si>
  <si>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</si>
  <si>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</si>
  <si>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</si>
  <si>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</si>
  <si>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</si>
  <si>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</si>
  <si>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</si>
  <si>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</si>
  <si>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</si>
  <si>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</si>
  <si>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</si>
  <si>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</si>
  <si>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</si>
  <si>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</si>
  <si>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</si>
  <si>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</si>
  <si>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</si>
  <si>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</si>
  <si>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</si>
  <si>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</si>
  <si>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</si>
  <si>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</si>
  <si>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</si>
  <si>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</si>
  <si>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</si>
  <si>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</si>
  <si>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</si>
  <si>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</si>
  <si>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</si>
  <si>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</si>
  <si>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</si>
  <si>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</si>
  <si>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</si>
  <si>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</si>
  <si>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</si>
  <si>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</si>
  <si>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</si>
  <si>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</si>
  <si>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</si>
  <si>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</si>
  <si>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</si>
  <si>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</si>
  <si>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</si>
  <si>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</si>
  <si>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</si>
  <si>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</si>
  <si>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</si>
  <si>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</si>
  <si>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</si>
  <si>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</si>
  <si>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</si>
  <si>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</si>
  <si>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</si>
  <si>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</si>
  <si>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</si>
  <si>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</si>
  <si>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</si>
  <si>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</si>
  <si>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</si>
  <si>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</si>
  <si>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</si>
  <si>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</si>
  <si>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</si>
  <si>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</si>
  <si>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</si>
  <si>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</si>
  <si>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</si>
  <si>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</si>
  <si>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</si>
  <si>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</si>
  <si>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</si>
  <si>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</si>
  <si>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</si>
  <si>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</si>
  <si>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</si>
  <si>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</si>
  <si>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</si>
  <si>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</si>
  <si>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</si>
  <si>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</si>
  <si>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</si>
  <si>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</si>
  <si>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</si>
  <si>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</si>
  <si>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</si>
  <si>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</si>
  <si>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</si>
  <si>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</si>
  <si>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</si>
  <si>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</si>
  <si>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</si>
  <si>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</si>
  <si>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</si>
  <si>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</si>
  <si>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</si>
  <si>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</si>
  <si>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</si>
  <si>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</si>
  <si>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</si>
  <si>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</si>
  <si>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</si>
  <si>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</si>
  <si>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</si>
  <si>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</si>
  <si>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</si>
  <si>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</si>
  <si>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</si>
  <si>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</si>
  <si>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</si>
  <si>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</si>
  <si>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</si>
  <si>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</si>
  <si>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</si>
  <si>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</si>
  <si>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</si>
  <si>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</si>
  <si>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</si>
  <si>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</si>
  <si>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</si>
  <si>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</si>
  <si>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</si>
  <si>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</si>
  <si>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</si>
  <si>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</si>
  <si>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</si>
  <si>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</si>
  <si>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</si>
  <si>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</si>
  <si>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</si>
  <si>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</si>
  <si>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</si>
  <si>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</si>
  <si>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</si>
  <si>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</si>
  <si>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</si>
  <si>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</si>
  <si>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</si>
  <si>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</si>
  <si>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</si>
  <si>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</si>
  <si>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</si>
  <si>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</si>
  <si>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</si>
  <si>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</si>
  <si>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</si>
  <si>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</si>
  <si>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</si>
  <si>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</si>
  <si>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</si>
  <si>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</si>
  <si>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</si>
  <si>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</si>
  <si>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</si>
  <si>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</si>
  <si>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</si>
  <si>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</si>
  <si>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</si>
  <si>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</si>
  <si>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</si>
  <si>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</si>
  <si>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</si>
  <si>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</si>
  <si>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</si>
  <si>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</si>
  <si>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</si>
  <si>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</si>
  <si>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</si>
  <si>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</si>
  <si>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</si>
  <si>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</si>
  <si>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</si>
  <si>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</si>
  <si>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</si>
  <si>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</si>
  <si>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</si>
  <si>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</si>
  <si>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</si>
  <si>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</si>
  <si>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</si>
  <si>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</si>
  <si>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</si>
  <si>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</si>
  <si>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</si>
  <si>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</si>
  <si>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</si>
  <si>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</si>
  <si>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</si>
  <si>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</si>
  <si>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</si>
  <si>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</si>
  <si>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</si>
  <si>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</si>
  <si>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</si>
  <si>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</si>
  <si>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</si>
  <si>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</si>
  <si>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</si>
  <si>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</si>
  <si>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</si>
  <si>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</si>
  <si>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</si>
  <si>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</si>
  <si>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</si>
  <si>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</si>
  <si>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</si>
  <si>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</si>
  <si>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</si>
  <si>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</si>
  <si>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</si>
  <si>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</si>
  <si>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</si>
  <si>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</si>
  <si>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</si>
  <si>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</si>
  <si>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</si>
  <si>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</si>
  <si>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</si>
  <si>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</si>
  <si>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</si>
  <si>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</si>
  <si>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</si>
  <si>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</si>
  <si>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</si>
  <si>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</si>
  <si>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</si>
  <si>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</si>
  <si>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</si>
  <si>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</si>
  <si>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</si>
  <si>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</si>
  <si>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</si>
  <si>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</si>
  <si>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</si>
  <si>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</si>
  <si>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</si>
  <si>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</si>
  <si>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</si>
  <si>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</si>
  <si>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</si>
  <si>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</si>
  <si>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</si>
  <si>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</si>
  <si>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</si>
  <si>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</si>
  <si>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</si>
  <si>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</si>
  <si>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</si>
  <si>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</si>
  <si>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</si>
  <si>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</si>
  <si>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</si>
  <si>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</si>
  <si>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</si>
  <si>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</si>
  <si>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</si>
  <si>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</si>
  <si>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</si>
  <si>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</si>
  <si>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</si>
  <si>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</si>
  <si>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</si>
  <si>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</si>
  <si>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</si>
  <si>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</si>
  <si>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</si>
  <si>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</si>
  <si>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</si>
  <si>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</si>
  <si>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</si>
  <si>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</si>
  <si>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</si>
  <si>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</si>
  <si>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</si>
  <si>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</si>
  <si>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</si>
  <si>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</si>
  <si>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</si>
  <si>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</si>
  <si>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</si>
  <si>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</si>
  <si>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</si>
  <si>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</si>
  <si>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</si>
  <si>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</si>
  <si>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</si>
  <si>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</si>
  <si>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</si>
  <si>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</si>
  <si>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</si>
  <si>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</si>
  <si>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</si>
  <si>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</si>
  <si>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</si>
  <si>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</si>
  <si>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</si>
  <si>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</si>
  <si>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</si>
  <si>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</si>
  <si>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</si>
  <si>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</si>
  <si>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</si>
  <si>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</si>
  <si>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</si>
  <si>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</si>
  <si>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</si>
  <si>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</si>
  <si>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</si>
  <si>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</si>
  <si>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</si>
  <si>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</si>
  <si>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</si>
  <si>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</si>
  <si>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</si>
  <si>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</si>
  <si>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</si>
  <si>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</si>
  <si>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</si>
  <si>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</si>
  <si>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</si>
  <si>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</si>
  <si>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</si>
  <si>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</si>
  <si>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</si>
  <si>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</si>
  <si>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</si>
  <si>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</si>
  <si>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</si>
  <si>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</si>
  <si>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</si>
  <si>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</si>
  <si>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</si>
  <si>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</si>
  <si>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</si>
  <si>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</si>
  <si>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</si>
  <si>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</si>
  <si>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</si>
  <si>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</si>
  <si>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</si>
  <si>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</si>
  <si>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</si>
  <si>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</si>
  <si>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</si>
  <si>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</si>
  <si>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</si>
  <si>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</si>
  <si>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</si>
  <si>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</si>
  <si>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</si>
  <si>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</si>
  <si>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</si>
  <si>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</si>
  <si>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</si>
  <si>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</si>
  <si>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</si>
  <si>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</si>
  <si>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</si>
  <si>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</si>
  <si>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</si>
  <si>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</si>
  <si>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</si>
  <si>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</si>
  <si>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</si>
  <si>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</si>
  <si>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</si>
  <si>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</si>
  <si>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</si>
  <si>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</si>
  <si>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</si>
  <si>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</si>
  <si>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</si>
  <si>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</si>
  <si>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</si>
  <si>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</si>
  <si>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</si>
  <si>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</si>
  <si>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</si>
  <si>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</si>
  <si>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</si>
  <si>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</si>
  <si>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</si>
  <si>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</si>
  <si>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</si>
  <si>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</si>
  <si>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</si>
  <si>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</si>
  <si>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</si>
  <si>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</si>
  <si>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</si>
  <si>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</si>
  <si>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</si>
  <si>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</si>
  <si>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</si>
  <si>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</si>
  <si>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</si>
  <si>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</si>
  <si>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</si>
  <si>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</si>
  <si>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</si>
  <si>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</si>
  <si>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</si>
  <si>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</si>
  <si>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</si>
  <si>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</si>
  <si>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</si>
  <si>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</si>
  <si>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</si>
  <si>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</si>
  <si>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</si>
  <si>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</si>
  <si>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</si>
  <si>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</si>
  <si>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</si>
  <si>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</si>
  <si>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</si>
  <si>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</si>
  <si>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</si>
  <si>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</si>
  <si>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</si>
  <si>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</si>
  <si>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</si>
  <si>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</si>
  <si>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</si>
  <si>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</si>
  <si>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</si>
  <si>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</si>
  <si>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</si>
  <si>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</si>
  <si>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</si>
  <si>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</si>
  <si>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</si>
  <si>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</si>
  <si>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</si>
  <si>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</si>
  <si>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</si>
  <si>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</si>
  <si>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</si>
  <si>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</si>
  <si>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</si>
  <si>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</si>
  <si>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</si>
  <si>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</si>
  <si>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</si>
  <si>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</si>
  <si>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</si>
  <si>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</si>
  <si>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</si>
  <si>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</si>
  <si>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</si>
  <si>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</si>
  <si>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</si>
  <si>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</si>
  <si>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</si>
  <si>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</si>
  <si>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</si>
  <si>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</si>
  <si>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</si>
  <si>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</si>
  <si>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</si>
  <si>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</si>
  <si>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</si>
  <si>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</si>
  <si>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</si>
  <si>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</si>
  <si>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</si>
  <si>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</si>
  <si>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</si>
  <si>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</si>
  <si>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</si>
  <si>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</si>
  <si>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</si>
  <si>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</si>
  <si>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</si>
  <si>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</si>
  <si>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</si>
  <si>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</si>
  <si>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</si>
  <si>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</si>
  <si>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</si>
  <si>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</si>
  <si>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</si>
  <si>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</si>
  <si>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</si>
  <si>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</si>
  <si>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</si>
  <si>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</si>
  <si>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</si>
  <si>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</si>
  <si>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</si>
  <si>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</si>
  <si>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</si>
  <si>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</si>
  <si>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</si>
  <si>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</si>
  <si>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</si>
  <si>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</si>
  <si>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</si>
  <si>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</si>
  <si>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</si>
  <si>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</si>
  <si>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</si>
  <si>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</si>
  <si>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</si>
  <si>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</si>
  <si>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</si>
  <si>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</si>
  <si>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</si>
  <si>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</si>
  <si>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</si>
  <si>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</si>
  <si>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</si>
  <si>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</si>
  <si>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</si>
  <si>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</si>
  <si>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</si>
  <si>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</si>
  <si>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</si>
  <si>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</si>
  <si>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</si>
  <si>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</si>
  <si>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</si>
  <si>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</si>
  <si>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</si>
  <si>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</si>
  <si>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</si>
  <si>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</si>
  <si>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</si>
  <si>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</si>
  <si>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</si>
  <si>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</si>
  <si>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</si>
  <si>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</si>
  <si>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</si>
  <si>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</si>
  <si>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</si>
  <si>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</si>
  <si>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</si>
  <si>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</si>
  <si>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</si>
  <si>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</si>
  <si>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</si>
  <si>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</si>
  <si>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</si>
  <si>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</si>
  <si>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</si>
  <si>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</si>
  <si>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</si>
  <si>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</si>
  <si>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</si>
  <si>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</si>
  <si>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</si>
  <si>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</si>
  <si>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</si>
  <si>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</si>
  <si>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</si>
  <si>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</si>
  <si>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</si>
  <si>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</si>
  <si>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</si>
  <si>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</si>
  <si>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</si>
  <si>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</si>
  <si>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</si>
  <si>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</si>
  <si>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</si>
  <si>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</si>
  <si>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</si>
  <si>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</si>
  <si>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</si>
  <si>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</si>
  <si>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</si>
  <si>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</si>
  <si>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</si>
  <si>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</si>
  <si>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</si>
  <si>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</si>
  <si>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</si>
  <si>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</si>
  <si>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</si>
  <si>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</si>
  <si>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</si>
  <si>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</si>
  <si>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</si>
  <si>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</si>
  <si>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</si>
  <si>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</si>
  <si>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</si>
  <si>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</si>
  <si>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</si>
  <si>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</si>
  <si>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</si>
  <si>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</si>
  <si>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</si>
  <si>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</si>
  <si>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</si>
  <si>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</si>
  <si>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</si>
  <si>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</si>
  <si>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</si>
  <si>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</si>
  <si>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</si>
  <si>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</si>
  <si>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</si>
  <si>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</si>
  <si>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</si>
  <si>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</si>
  <si>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</si>
  <si>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</si>
  <si>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</si>
  <si>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</si>
  <si>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</si>
  <si>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</si>
  <si>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</si>
  <si>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</si>
  <si>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</si>
  <si>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</si>
  <si>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</si>
  <si>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</si>
  <si>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</si>
  <si>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</si>
  <si>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</si>
  <si>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</si>
  <si>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</si>
  <si>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</si>
  <si>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</si>
  <si>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</si>
  <si>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</si>
  <si>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</si>
  <si>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</si>
  <si>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</si>
  <si>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</si>
  <si>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</si>
  <si>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</si>
  <si>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</si>
  <si>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</si>
  <si>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</si>
  <si>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</si>
  <si>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</si>
  <si>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</si>
  <si>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</si>
  <si>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</si>
  <si>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</si>
  <si>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</si>
  <si>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</si>
  <si>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</si>
  <si>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</si>
  <si>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</si>
  <si>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</si>
  <si>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</si>
  <si>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</si>
  <si>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</si>
  <si>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</si>
  <si>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</si>
  <si>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</si>
  <si>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</si>
  <si>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</si>
  <si>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</si>
  <si>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</si>
  <si>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</si>
  <si>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</si>
  <si>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</si>
  <si>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</si>
  <si>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</si>
  <si>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</si>
  <si>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</si>
  <si>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</si>
  <si>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</si>
  <si>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</si>
  <si>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</si>
  <si>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</si>
  <si>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</si>
  <si>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</si>
  <si>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</si>
  <si>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</si>
  <si>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</si>
  <si>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</si>
  <si>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</si>
  <si>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</si>
  <si>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</si>
  <si>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</si>
  <si>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</si>
  <si>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</si>
  <si>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</si>
  <si>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</si>
  <si>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</si>
  <si>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</si>
  <si>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</si>
  <si>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</si>
  <si>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</si>
  <si>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</si>
  <si>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</si>
  <si>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</si>
  <si>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</si>
  <si>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</si>
  <si>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</si>
  <si>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</si>
  <si>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</si>
  <si>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</si>
  <si>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</si>
  <si>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</si>
  <si>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</si>
  <si>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</si>
  <si>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</si>
  <si>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</si>
  <si>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</si>
  <si>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</si>
  <si>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</si>
  <si>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</si>
  <si>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</si>
  <si>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</si>
  <si>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</si>
  <si>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</si>
  <si>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</si>
  <si>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</si>
  <si>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</si>
  <si>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</si>
  <si>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</si>
  <si>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</si>
  <si>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</si>
  <si>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</si>
  <si>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</si>
  <si>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</si>
  <si>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</si>
  <si>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</si>
  <si>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</si>
  <si>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</si>
  <si>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</si>
  <si>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</si>
  <si>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</si>
  <si>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</si>
  <si>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</si>
  <si>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</si>
  <si>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</si>
  <si>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</si>
  <si>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</si>
  <si>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</si>
  <si>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</si>
  <si>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</si>
  <si>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</si>
  <si>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</si>
  <si>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</si>
  <si>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</si>
  <si>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</si>
  <si>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</si>
  <si>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</si>
  <si>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</si>
  <si>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</si>
  <si>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</si>
  <si>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</si>
  <si>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</si>
  <si>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</si>
  <si>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</si>
  <si>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</si>
  <si>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</si>
  <si>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</si>
  <si>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</si>
  <si>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</si>
  <si>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</si>
  <si>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</si>
  <si>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</si>
  <si>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</si>
  <si>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</si>
  <si>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</si>
  <si>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</si>
  <si>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</si>
  <si>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</si>
  <si>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</si>
  <si>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</si>
  <si>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</si>
  <si>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</si>
  <si>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</si>
  <si>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</si>
  <si>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</si>
  <si>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</si>
  <si>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</si>
  <si>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</si>
  <si>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</si>
  <si>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</si>
  <si>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</si>
  <si>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</si>
  <si>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</si>
  <si>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</si>
  <si>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</si>
  <si>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</si>
  <si>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</si>
  <si>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</si>
  <si>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</si>
  <si>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</si>
  <si>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</si>
  <si>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</si>
  <si>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</si>
  <si>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</si>
  <si>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</si>
  <si>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</si>
  <si>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</si>
  <si>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</si>
  <si>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</si>
  <si>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</si>
  <si>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</si>
  <si>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</si>
  <si>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</si>
  <si>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</si>
  <si>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</si>
  <si>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</si>
  <si>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</si>
  <si>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</si>
  <si>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</si>
  <si>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</si>
  <si>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</si>
  <si>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</si>
  <si>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</si>
  <si>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</si>
  <si>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</si>
  <si>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</si>
  <si>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</si>
  <si>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</si>
  <si>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</si>
  <si>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</si>
  <si>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</si>
  <si>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</si>
  <si>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</si>
  <si>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</si>
  <si>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</si>
  <si>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</si>
  <si>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</si>
  <si>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</si>
  <si>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</si>
  <si>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</si>
  <si>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</si>
  <si>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</si>
  <si>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</si>
  <si>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</si>
  <si>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</si>
  <si>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</si>
  <si>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</si>
  <si>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</si>
  <si>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</si>
  <si>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</si>
  <si>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</si>
  <si>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</si>
  <si>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</si>
  <si>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</si>
  <si>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</si>
  <si>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</si>
  <si>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</si>
  <si>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</si>
  <si>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</si>
  <si>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</si>
  <si>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</si>
  <si>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</si>
  <si>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</si>
  <si>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</si>
  <si>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</si>
  <si>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</si>
  <si>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</si>
  <si>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</si>
  <si>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</si>
  <si>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</si>
  <si>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</si>
  <si>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</si>
  <si>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</si>
  <si>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</si>
  <si>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</si>
  <si>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</si>
  <si>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</si>
  <si>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</si>
  <si>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</si>
  <si>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</si>
  <si>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</si>
  <si>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</si>
  <si>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</si>
  <si>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</si>
  <si>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</si>
  <si>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</si>
  <si>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</si>
  <si>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</si>
  <si>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</si>
  <si>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</si>
  <si>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</si>
  <si>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</si>
  <si>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</si>
  <si>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</si>
  <si>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</si>
  <si>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</si>
  <si>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</si>
  <si>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</si>
  <si>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</si>
  <si>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</si>
  <si>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</si>
  <si>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</si>
  <si>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</si>
  <si>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</si>
  <si>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</si>
  <si>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</si>
  <si>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</si>
  <si>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</si>
  <si>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</si>
  <si>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</si>
  <si>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</si>
  <si>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</si>
  <si>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</si>
  <si>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</si>
  <si>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</si>
  <si>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</si>
  <si>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</si>
  <si>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</si>
  <si>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</si>
  <si>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</si>
  <si>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</si>
  <si>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</si>
  <si>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</si>
  <si>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</si>
  <si>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</si>
  <si>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</si>
  <si>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</si>
  <si>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</si>
  <si>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</si>
  <si>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</si>
  <si>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</si>
  <si>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</si>
  <si>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</si>
  <si>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</si>
  <si>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</si>
  <si>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</si>
  <si>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</si>
  <si>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</si>
  <si>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</si>
  <si>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</si>
  <si>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</si>
  <si>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</si>
  <si>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</si>
  <si>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</si>
  <si>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</si>
  <si>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</si>
  <si>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</si>
  <si>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</si>
  <si>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</si>
  <si>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</si>
  <si>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</si>
  <si>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</si>
  <si>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</si>
  <si>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</si>
  <si>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</si>
  <si>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</si>
  <si>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</si>
  <si>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</si>
  <si>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</si>
  <si>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</si>
  <si>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</si>
  <si>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</si>
  <si>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</si>
  <si>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</si>
  <si>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</si>
  <si>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</si>
  <si>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</si>
  <si>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</si>
  <si>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</si>
  <si>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</si>
  <si>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</si>
  <si>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</si>
  <si>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</si>
  <si>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</si>
  <si>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</si>
  <si>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</si>
  <si>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</si>
  <si>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</si>
  <si>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</si>
  <si>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</si>
  <si>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</si>
  <si>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</si>
  <si>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</si>
  <si>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</si>
  <si>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</si>
  <si>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</si>
  <si>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</si>
  <si>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</si>
  <si>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</si>
  <si>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</si>
  <si>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</si>
  <si>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</si>
  <si>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</si>
  <si>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</si>
  <si>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</si>
  <si>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</si>
  <si>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</si>
  <si>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</si>
  <si>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</si>
  <si>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</si>
  <si>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</si>
  <si>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</si>
  <si>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</si>
  <si>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</si>
  <si>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</si>
  <si>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</si>
  <si>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</si>
  <si>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</si>
  <si>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</si>
  <si>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</si>
  <si>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</si>
  <si>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</si>
  <si>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</si>
  <si>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</si>
  <si>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</si>
  <si>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</si>
  <si>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</si>
  <si>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</si>
  <si>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</si>
  <si>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</si>
  <si>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</si>
  <si>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</si>
  <si>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</si>
  <si>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</si>
  <si>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</si>
  <si>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</si>
  <si>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</si>
  <si>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</si>
  <si>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</si>
  <si>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</si>
  <si>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</si>
  <si>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</si>
  <si>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</si>
  <si>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</si>
  <si>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</si>
  <si>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</si>
  <si>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</si>
  <si>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</si>
  <si>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</si>
  <si>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</si>
  <si>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</si>
  <si>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</si>
  <si>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</si>
  <si>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</si>
  <si>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</si>
  <si>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</si>
  <si>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</si>
  <si>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</si>
  <si>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</si>
  <si>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</si>
  <si>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</si>
  <si>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</si>
  <si>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</si>
  <si>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</si>
  <si>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</si>
  <si>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</si>
  <si>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</si>
  <si>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</si>
  <si>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</si>
  <si>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</si>
  <si>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</si>
  <si>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</si>
  <si>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</si>
  <si>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</si>
  <si>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</si>
  <si>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</si>
  <si>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</si>
  <si>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</si>
  <si>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</si>
  <si>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</si>
  <si>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</si>
  <si>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</si>
  <si>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</si>
  <si>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</si>
  <si>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</si>
  <si>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</si>
  <si>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</si>
  <si>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</si>
  <si>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</si>
  <si>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</si>
  <si>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</si>
  <si>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</si>
  <si>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</si>
  <si>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</si>
  <si>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</si>
  <si>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</si>
  <si>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</si>
  <si>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</si>
  <si>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</si>
  <si>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</si>
  <si>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</si>
  <si>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</si>
  <si>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</si>
  <si>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</si>
  <si>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</si>
  <si>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</si>
  <si>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</si>
  <si>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</si>
  <si>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</si>
  <si>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</si>
  <si>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</si>
  <si>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</si>
  <si>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</si>
  <si>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</si>
  <si>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</si>
  <si>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</si>
  <si>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</si>
  <si>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</si>
  <si>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</si>
  <si>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</si>
  <si>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</si>
  <si>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</si>
  <si>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</si>
  <si>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</si>
  <si>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</si>
  <si>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</si>
  <si>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</si>
  <si>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</si>
  <si>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</si>
  <si>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</si>
  <si>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</si>
  <si>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</si>
  <si>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</si>
  <si>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</si>
  <si>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</si>
  <si>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</si>
  <si>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</si>
  <si>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</si>
  <si>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</si>
  <si>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</si>
  <si>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</si>
  <si>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</si>
  <si>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</si>
  <si>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</si>
  <si>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</si>
  <si>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</si>
  <si>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</si>
  <si>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</si>
  <si>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</si>
  <si>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</si>
  <si>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</si>
  <si>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</si>
  <si>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</si>
  <si>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</si>
  <si>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</si>
  <si>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</si>
  <si>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</si>
  <si>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</si>
  <si>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</si>
  <si>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</si>
  <si>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</si>
  <si>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</si>
  <si>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</si>
  <si>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</si>
  <si>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</si>
  <si>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</si>
  <si>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</si>
  <si>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</si>
  <si>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</si>
  <si>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</si>
  <si>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</si>
  <si>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</si>
  <si>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</si>
  <si>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</si>
  <si>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</si>
  <si>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</si>
  <si>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</si>
  <si>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</si>
  <si>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</si>
  <si>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</si>
  <si>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</si>
  <si>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</si>
  <si>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</si>
  <si>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</si>
  <si>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</si>
  <si>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</si>
  <si>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</si>
  <si>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</si>
  <si>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</si>
  <si>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</si>
  <si>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</si>
  <si>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</si>
  <si>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</si>
  <si>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</si>
  <si>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</si>
  <si>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</si>
  <si>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</si>
  <si>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</si>
  <si>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</si>
  <si>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</si>
  <si>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</si>
  <si>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</si>
  <si>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</si>
  <si>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</si>
  <si>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</si>
  <si>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</si>
  <si>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</si>
  <si>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</si>
  <si>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</si>
  <si>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</si>
  <si>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</si>
  <si>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</si>
  <si>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</si>
  <si>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</si>
  <si>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</si>
  <si>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</si>
  <si>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</si>
  <si>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</si>
  <si>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</si>
  <si>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</si>
  <si>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</si>
  <si>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</si>
  <si>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</si>
  <si>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</si>
  <si>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</si>
  <si>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</si>
  <si>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</si>
  <si>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</si>
  <si>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</si>
  <si>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</si>
  <si>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</si>
  <si>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</si>
  <si>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</si>
  <si>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</si>
  <si>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</si>
  <si>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</si>
  <si>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</si>
  <si>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</si>
  <si>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</si>
  <si>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</si>
  <si>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</si>
  <si>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</si>
  <si>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</si>
  <si>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</si>
  <si>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</si>
  <si>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</si>
  <si>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</si>
  <si>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</si>
  <si>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</si>
  <si>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</si>
  <si>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</si>
  <si>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</si>
  <si>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</si>
  <si>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</si>
  <si>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</si>
  <si>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</si>
  <si>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</si>
  <si>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</si>
  <si>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</si>
  <si>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</si>
  <si>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</si>
  <si>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</si>
  <si>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</si>
  <si>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</si>
  <si>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</si>
  <si>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</si>
  <si>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</si>
  <si>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</si>
  <si>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</si>
  <si>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</si>
  <si>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</si>
  <si>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</si>
  <si>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</si>
  <si>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</si>
  <si>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</si>
  <si>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</si>
  <si>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</si>
  <si>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</si>
  <si>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</si>
  <si>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</si>
  <si>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</si>
  <si>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</si>
  <si>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</si>
  <si>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</si>
  <si>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</si>
  <si>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</si>
  <si>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</si>
  <si>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</si>
  <si>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</si>
  <si>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</si>
  <si>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</si>
  <si>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</si>
  <si>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</si>
  <si>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</si>
  <si>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</si>
  <si>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</si>
  <si>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</si>
  <si>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</si>
  <si>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</si>
  <si>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</si>
  <si>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</si>
  <si>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</si>
  <si>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</si>
  <si>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</si>
  <si>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</si>
  <si>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</si>
  <si>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</si>
  <si>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</si>
  <si>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</si>
  <si>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</si>
  <si>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</si>
  <si>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</si>
  <si>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</si>
  <si>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</si>
  <si>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</si>
  <si>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</si>
  <si>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</si>
  <si>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</si>
  <si>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</si>
  <si>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</si>
  <si>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</si>
  <si>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</si>
  <si>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</si>
  <si>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</si>
  <si>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</si>
  <si>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</si>
  <si>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</si>
  <si>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</si>
  <si>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</si>
  <si>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</si>
  <si>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</si>
  <si>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</si>
  <si>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</si>
  <si>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</si>
  <si>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</si>
  <si>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</si>
  <si>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</si>
  <si>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</si>
  <si>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</si>
  <si>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</si>
  <si>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</si>
  <si>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</si>
  <si>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</si>
  <si>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</si>
  <si>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</si>
  <si>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</si>
  <si>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</si>
  <si>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</si>
  <si>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</si>
  <si>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</si>
  <si>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</si>
  <si>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</si>
  <si>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</si>
  <si>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</si>
  <si>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</si>
  <si>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</si>
  <si>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</si>
  <si>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</si>
  <si>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</si>
  <si>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</si>
  <si>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</si>
  <si>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</si>
  <si>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</si>
  <si>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</si>
  <si>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</si>
  <si>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</si>
  <si>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</si>
  <si>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</si>
  <si>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</si>
  <si>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</si>
  <si>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</si>
  <si>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</si>
  <si>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</si>
  <si>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</si>
  <si>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</si>
  <si>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</si>
  <si>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</si>
  <si>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</si>
  <si>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</si>
  <si>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</si>
  <si>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</si>
  <si>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</si>
  <si>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</si>
  <si>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</si>
  <si>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</si>
  <si>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</si>
  <si>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</si>
  <si>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</si>
  <si>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</si>
  <si>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</si>
  <si>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</si>
  <si>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</si>
  <si>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</si>
  <si>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</si>
  <si>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</si>
  <si>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</si>
  <si>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</si>
  <si>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</si>
  <si>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</si>
  <si>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</si>
  <si>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</si>
  <si>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</si>
  <si>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</si>
  <si>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</si>
  <si>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</si>
  <si>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</si>
  <si>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</si>
  <si>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</si>
  <si>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</si>
  <si>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</si>
  <si>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</si>
  <si>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</si>
  <si>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</si>
  <si>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</si>
  <si>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</si>
  <si>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</si>
  <si>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</si>
  <si>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</si>
  <si>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</si>
  <si>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</si>
  <si>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</si>
  <si>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</si>
  <si>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</si>
  <si>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</si>
  <si>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</si>
  <si>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</si>
  <si>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</si>
  <si>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</si>
  <si>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</si>
  <si>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</si>
  <si>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</si>
  <si>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</si>
  <si>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</si>
  <si>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</si>
  <si>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</si>
  <si>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</si>
  <si>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</si>
  <si>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</si>
  <si>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</si>
  <si>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</si>
  <si>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</si>
  <si>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</si>
  <si>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</si>
  <si>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</si>
  <si>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</si>
  <si>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</si>
  <si>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</si>
  <si>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</si>
  <si>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</si>
  <si>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</si>
  <si>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</si>
  <si>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</si>
  <si>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</si>
  <si>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</si>
  <si>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</si>
  <si>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</si>
  <si>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</si>
  <si>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</si>
  <si>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</si>
  <si>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</si>
  <si>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</si>
  <si>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</si>
  <si>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</si>
  <si>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</si>
  <si>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</si>
  <si>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</si>
  <si>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</si>
  <si>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</si>
  <si>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</si>
  <si>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</si>
  <si>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</si>
  <si>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</si>
  <si>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</si>
  <si>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</si>
  <si>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</si>
  <si>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</si>
  <si>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</si>
  <si>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</si>
  <si>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</si>
  <si>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</si>
  <si>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</si>
  <si>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</si>
  <si>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</si>
  <si>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</si>
  <si>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</si>
  <si>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</si>
  <si>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</si>
  <si>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</si>
  <si>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</si>
  <si>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</si>
  <si>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</si>
  <si>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</si>
  <si>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</si>
  <si>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</si>
  <si>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</si>
  <si>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</si>
  <si>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</si>
  <si>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</si>
  <si>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</si>
  <si>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</si>
  <si>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</si>
  <si>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</si>
  <si>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</si>
  <si>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</si>
  <si>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</si>
  <si>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</si>
  <si>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</si>
  <si>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</si>
  <si>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</si>
  <si>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</si>
  <si>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</si>
  <si>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</si>
  <si>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</si>
  <si>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</si>
  <si>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</si>
  <si>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</si>
  <si>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</si>
  <si>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</si>
  <si>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</si>
  <si>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</si>
  <si>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</si>
  <si>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</si>
  <si>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</si>
  <si>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</si>
  <si>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</si>
  <si>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</si>
  <si>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</si>
  <si>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</si>
  <si>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</si>
  <si>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</si>
  <si>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</si>
  <si>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</si>
  <si>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</si>
  <si>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</si>
  <si>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</si>
  <si>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</si>
  <si>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</si>
  <si>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</si>
  <si>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</si>
  <si>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</si>
  <si>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</si>
  <si>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</si>
  <si>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</si>
  <si>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</si>
  <si>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</si>
  <si>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</si>
  <si>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</si>
  <si>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</si>
  <si>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</si>
  <si>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</si>
  <si>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</si>
  <si>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</si>
  <si>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</si>
  <si>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</si>
  <si>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</si>
  <si>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</si>
  <si>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</si>
  <si>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</si>
  <si>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</si>
  <si>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</si>
  <si>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</si>
  <si>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</si>
  <si>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</si>
  <si>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</si>
  <si>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</si>
  <si>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</si>
  <si>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</si>
  <si>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</si>
  <si>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</si>
  <si>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</si>
  <si>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</si>
  <si>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</si>
  <si>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</si>
  <si>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</si>
  <si>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</si>
  <si>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</si>
  <si>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</si>
  <si>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</si>
  <si>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</si>
  <si>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</si>
  <si>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</si>
  <si>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</si>
  <si>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</si>
  <si>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</si>
  <si>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</si>
  <si>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</si>
  <si>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</si>
  <si>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</si>
  <si>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</si>
  <si>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</si>
  <si>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</si>
  <si>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</si>
  <si>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</si>
  <si>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</si>
  <si>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</si>
  <si>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</si>
  <si>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</si>
  <si>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</si>
  <si>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</si>
  <si>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</si>
  <si>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</si>
  <si>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</si>
  <si>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</si>
  <si>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</si>
  <si>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</si>
  <si>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</si>
  <si>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</si>
  <si>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</si>
  <si>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</si>
  <si>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</si>
  <si>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</si>
  <si>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</si>
  <si>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</si>
  <si>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</si>
  <si>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</si>
  <si>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</si>
  <si>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</si>
  <si>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</si>
  <si>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</si>
  <si>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</si>
  <si>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</si>
  <si>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</si>
  <si>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</si>
  <si>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</si>
  <si>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</si>
  <si>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</si>
  <si>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</si>
  <si>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</si>
  <si>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</si>
  <si>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</si>
  <si>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</si>
  <si>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</si>
  <si>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</si>
  <si>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</si>
  <si>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</si>
  <si>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</si>
  <si>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</si>
  <si>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</si>
  <si>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</si>
  <si>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</si>
  <si>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</si>
  <si>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</si>
  <si>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</si>
  <si>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</si>
  <si>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</si>
  <si>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</si>
  <si>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</si>
  <si>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</si>
  <si>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</si>
  <si>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</si>
  <si>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</si>
  <si>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</si>
  <si>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</si>
  <si>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</si>
  <si>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</si>
  <si>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</si>
  <si>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</si>
  <si>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</si>
  <si>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</si>
  <si>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</si>
  <si>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</si>
  <si>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</si>
  <si>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</si>
  <si>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</si>
  <si>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</si>
  <si>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</si>
  <si>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</si>
  <si>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</si>
  <si>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</si>
  <si>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</si>
  <si>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</si>
  <si>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</si>
  <si>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</si>
  <si>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</si>
  <si>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</si>
  <si>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</si>
  <si>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</si>
  <si>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</si>
  <si>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</si>
  <si>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</si>
  <si>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</si>
  <si>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</si>
  <si>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</si>
  <si>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</si>
  <si>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</si>
  <si>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</si>
  <si>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</si>
  <si>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</si>
  <si>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</si>
  <si>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</si>
  <si>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</si>
  <si>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</si>
  <si>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</si>
  <si>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</si>
  <si>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</si>
  <si>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</si>
  <si>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</si>
  <si>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</si>
  <si>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</si>
  <si>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</si>
  <si>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</si>
  <si>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</si>
  <si>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</si>
  <si>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</si>
  <si>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</si>
  <si>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</si>
  <si>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</si>
  <si>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</si>
  <si>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</si>
  <si>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</si>
  <si>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</si>
  <si>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</si>
  <si>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</si>
  <si>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</si>
  <si>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</si>
  <si>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</si>
  <si>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</si>
  <si>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</si>
  <si>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</si>
  <si>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</si>
  <si>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</si>
  <si>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</si>
  <si>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</si>
  <si>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</si>
  <si>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</si>
  <si>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</si>
  <si>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</si>
  <si>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</si>
  <si>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</si>
  <si>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</si>
  <si>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</si>
  <si>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</si>
  <si>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</si>
  <si>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</si>
  <si>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</si>
  <si>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</si>
  <si>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</si>
  <si>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</si>
  <si>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</si>
  <si>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</si>
  <si>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</si>
  <si>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</si>
  <si>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</si>
  <si>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</si>
  <si>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</si>
  <si>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</si>
  <si>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</si>
  <si>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</si>
  <si>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</si>
  <si>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</si>
  <si>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</si>
  <si>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</si>
  <si>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</si>
  <si>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</si>
  <si>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</si>
  <si>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</si>
  <si>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</si>
  <si>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</si>
  <si>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</si>
  <si>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</si>
  <si>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</si>
  <si>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</si>
  <si>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</si>
  <si>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</si>
  <si>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</si>
  <si>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</si>
  <si>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</si>
  <si>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</si>
  <si>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</si>
  <si>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</si>
  <si>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</si>
  <si>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</si>
  <si>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</si>
  <si>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</si>
  <si>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</si>
  <si>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</si>
  <si>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</si>
  <si>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</si>
  <si>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</si>
  <si>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</si>
  <si>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</si>
  <si>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</si>
  <si>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</si>
  <si>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</si>
  <si>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</si>
  <si>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</si>
  <si>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</si>
  <si>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</si>
  <si>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</si>
  <si>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</si>
  <si>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</si>
  <si>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</si>
  <si>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</si>
  <si>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</si>
  <si>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</si>
  <si>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</si>
  <si>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</si>
  <si>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</si>
  <si>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</si>
  <si>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</si>
  <si>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</si>
  <si>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</si>
  <si>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</si>
  <si>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</si>
  <si>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</si>
  <si>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</si>
  <si>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</si>
  <si>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</si>
  <si>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</si>
  <si>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</si>
  <si>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</si>
  <si>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</si>
  <si>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</si>
  <si>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</si>
  <si>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</si>
  <si>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</si>
  <si>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</si>
  <si>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</si>
  <si>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</si>
  <si>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</si>
  <si>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</si>
  <si>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</si>
  <si>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</si>
  <si>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</si>
  <si>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</si>
  <si>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</si>
  <si>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</si>
  <si>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</si>
  <si>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</si>
  <si>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</si>
  <si>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</si>
  <si>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</si>
  <si>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</si>
  <si>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</si>
  <si>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</si>
  <si>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</si>
  <si>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</si>
  <si>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</si>
  <si>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</si>
  <si>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</si>
  <si>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</si>
  <si>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</si>
  <si>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</si>
  <si>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</si>
  <si>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</si>
  <si>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</si>
  <si>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</si>
  <si>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</si>
  <si>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</si>
  <si>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</si>
  <si>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</si>
  <si>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</si>
  <si>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</si>
  <si>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</si>
  <si>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</si>
  <si>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</si>
  <si>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</si>
  <si>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</si>
  <si>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</si>
  <si>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</si>
  <si>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</si>
  <si>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</si>
  <si>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</si>
  <si>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</si>
  <si>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</si>
  <si>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</si>
  <si>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</si>
  <si>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</si>
  <si>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</si>
  <si>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</si>
  <si>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</si>
  <si>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</si>
  <si>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</si>
  <si>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</si>
  <si>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</si>
  <si>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</si>
  <si>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</si>
  <si>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</si>
  <si>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</si>
  <si>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</si>
  <si>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</si>
  <si>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</si>
  <si>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</si>
  <si>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</si>
  <si>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</si>
  <si>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</si>
  <si>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</si>
  <si>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</si>
  <si>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</si>
  <si>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Competitive Round</t>
  </si>
  <si>
    <t>Charice Heywood</t>
  </si>
  <si>
    <t>621 North Avenue, NE, Suite A-150</t>
  </si>
  <si>
    <t>President</t>
  </si>
  <si>
    <t>cheywood@mercyhousing.org</t>
  </si>
  <si>
    <t>Savannah Gardens Phase IV</t>
  </si>
  <si>
    <t>514 Pennsylvania Avenue</t>
  </si>
  <si>
    <t>No</t>
  </si>
  <si>
    <t>Yes- w/Master Plan</t>
  </si>
  <si>
    <t>City of Savannah</t>
  </si>
  <si>
    <t>Mayor</t>
  </si>
  <si>
    <t>Family</t>
  </si>
  <si>
    <t>Mercy Housing Georgia 13, LP</t>
  </si>
  <si>
    <t>P.O. Box 1027</t>
  </si>
  <si>
    <t>Edna Jackson</t>
  </si>
  <si>
    <t>MHSE Savannah Gardens Phase IV GP, LLC</t>
  </si>
  <si>
    <t>SunTrust Community Capital, LLC</t>
  </si>
  <si>
    <t>25 Park Place, 18th Floor</t>
  </si>
  <si>
    <t>Brian Womble</t>
  </si>
  <si>
    <t>First Vice President</t>
  </si>
  <si>
    <t>brian.womble@suntrust.com</t>
  </si>
  <si>
    <t>Mercy Community Housing Georgia, Inc.</t>
  </si>
  <si>
    <t>Mercy Housing Southeast, Inc.</t>
  </si>
  <si>
    <t>RLH Development, LLC</t>
  </si>
  <si>
    <t>5520 Reynolds Street</t>
  </si>
  <si>
    <t>Robin Haddock</t>
  </si>
  <si>
    <t>Manager</t>
  </si>
  <si>
    <t>rlhdevelopment@bellsouth.net</t>
  </si>
  <si>
    <t>NorSouth Construction Company of Georgia, Inc.</t>
  </si>
  <si>
    <t>329 Commercial Drive, Suite 110</t>
  </si>
  <si>
    <t>William Johnston</t>
  </si>
  <si>
    <t>billj@norsouth.com</t>
  </si>
  <si>
    <t>Mercy Housing Management Group</t>
  </si>
  <si>
    <t>Shawn Smitley</t>
  </si>
  <si>
    <t>Regional Vice President</t>
  </si>
  <si>
    <t>ssmitley@mercyhousing.org</t>
  </si>
  <si>
    <t>Hunter Maclean Exley &amp; Dunn, PC</t>
  </si>
  <si>
    <t>200 East St. Julian Street</t>
  </si>
  <si>
    <t>Edward Henneman</t>
  </si>
  <si>
    <t>Partner</t>
  </si>
  <si>
    <t>thenneman@huntermaclean.com</t>
  </si>
  <si>
    <t>Reznick Group</t>
  </si>
  <si>
    <t>Martin Riley Associates - Architects, PC</t>
  </si>
  <si>
    <t>215 Church Street, Suite 200</t>
  </si>
  <si>
    <t>Mike Riley</t>
  </si>
  <si>
    <t>Vice President</t>
  </si>
  <si>
    <t>mriley@martinriley.com</t>
  </si>
  <si>
    <t>For Profit</t>
  </si>
  <si>
    <t>MF</t>
  </si>
  <si>
    <t>Electric Heat Pump</t>
  </si>
  <si>
    <t>N/A-CS</t>
  </si>
  <si>
    <t>Common</t>
  </si>
  <si>
    <t>Lender and Investor Due Diligence</t>
  </si>
  <si>
    <t>FHA Inspection Fees</t>
  </si>
  <si>
    <t>MAP Lender Processing Fee</t>
  </si>
  <si>
    <t>Agree</t>
  </si>
  <si>
    <t>Contract/Option</t>
  </si>
  <si>
    <t>Georgia Power</t>
  </si>
  <si>
    <t>Room</t>
  </si>
  <si>
    <t>On-site laundry</t>
  </si>
  <si>
    <t>Qualified without Conditions</t>
  </si>
  <si>
    <t>Earth Craft Communities</t>
  </si>
  <si>
    <t>Pass</t>
  </si>
  <si>
    <t>3+ Story</t>
  </si>
  <si>
    <t>Other Cable/Internet</t>
  </si>
  <si>
    <t>SunTrust Community Capital</t>
  </si>
  <si>
    <t>Amortizing</t>
  </si>
  <si>
    <t>Novogradac &amp; Company LLP</t>
  </si>
  <si>
    <t>10-018</t>
  </si>
  <si>
    <t>Savannah Gardens Phase III</t>
  </si>
  <si>
    <t>09-069</t>
  </si>
  <si>
    <t>Savannah Gardens Phase I</t>
  </si>
  <si>
    <t>The Real Estate Sales Agreement is included behind Tab 9.  The legal description is also included behind Tab 9.  Site control runs through June 30, 2013.</t>
  </si>
  <si>
    <t>A letter from the City of Savannah's Zoning Administrator confirming that the site conforms to all zoning requirements is included behind Tab 11.  The Conceptual Site Development Plan included behind Tab 15 also demonstrates this graphically.</t>
  </si>
  <si>
    <t>The property will be all electric.  A letter from Georgia Power confirming availability of electrical service and sufficient capacity to serve the site in included behind Tab 12.</t>
  </si>
  <si>
    <t>No waivers were required.  A letter from the City of Savannah Water Resources Bureau confirming the availability of both water and sewer services with sufficient capacity to serve the site is included behind Tab 12.</t>
  </si>
  <si>
    <t>Covered Porch</t>
  </si>
  <si>
    <t>Furnised Exercise/Fitness Center</t>
  </si>
  <si>
    <t>This section is not applicable.</t>
  </si>
  <si>
    <t>10 months</t>
  </si>
  <si>
    <t>Other(see comments)</t>
  </si>
  <si>
    <t>One Consulting Group</t>
  </si>
  <si>
    <t>The Noise Assessment was performed because the Site is within 5 miles of a military airfield. However, the Site falls outside of the noise contour lines.</t>
  </si>
  <si>
    <t>&lt;65 db</t>
  </si>
  <si>
    <t>Statutory Redevelopment Plan</t>
  </si>
  <si>
    <t>2010-018</t>
  </si>
  <si>
    <t>PA12-76</t>
  </si>
  <si>
    <t>3 Mercy Housing Southeast, Inc.</t>
  </si>
  <si>
    <t>4 Mercy Housing Southeast, Inc.</t>
  </si>
  <si>
    <t>1 MHSE Savannah Gardens Phase IV GP, LLC</t>
  </si>
  <si>
    <t>Pine Lake Senior Residences</t>
  </si>
  <si>
    <t>2 MHSE Pine Lake GP, LLC</t>
  </si>
  <si>
    <t>Prudential Huntoon Paige Associates, LLC</t>
  </si>
  <si>
    <t>The Project is the fourth phase of a master planned redevelopment initiative replacing the former Strathmore Estates apartment complex.  While some of the dilapidated structures of the former Strathmore Estates property still exist, the Master Developer has control of these properties and they will be mitigated as part of the Master Plan, as documented behind Tab 19.</t>
  </si>
  <si>
    <t>The City of Savannah, in partnership with Chatham Area Transit, have installed bus pull off lanes and bus shelters at the center of the Savannah Gardens redevelopment, which are adjacent to the proposed Site.  A secondary stop is located adjacent to the site further south down Pennsylvania Avenue, resulting in two stops within 300 feet of the Site, as documented behind Tab 20.</t>
  </si>
  <si>
    <t>The Project does not qualify for these points.</t>
  </si>
  <si>
    <t>SEZ</t>
  </si>
  <si>
    <t>Documentation confirming that the Project is a subsequent phase of a Master Planned Community is included behind Tab 1.  The Project does not qualify for points under Section 9.B.</t>
  </si>
  <si>
    <t>The documentation supporting the Project's eligibility for 2 points for a Statutory Redevelopment Plan is included behind Tab 26.  Also provided is evidence that the Project is located in a State Enterprise Zone, even though points can not be taken for more than one category.  The Project does not qualify for points under Sections 8.A. or 8.B.1 or 8.B.4.</t>
  </si>
  <si>
    <t>A Market Study is included behind Tab 31.</t>
  </si>
  <si>
    <t>Applicant agrees to forego the cancellation option for 5 years.</t>
  </si>
  <si>
    <t>New water, sanitary sewer and storm sewer lines, new sidewalks, repaved streets, installation of parks and recreation areas, bus pull offs and shelters, trees, street lighting</t>
  </si>
  <si>
    <t>Documentation of the City of Savannah's commitment to the improvements, timeline for completing them and sources of funding used are included behind Tab 5, along with a map showing the location of the improvements in relation to the Project and a narrative of how they will benefit the residents.</t>
  </si>
  <si>
    <t>City of Savannah officials met with DCA on June 5.  The required documentation provided by the City of Savannah is included behind Tab 30.</t>
  </si>
  <si>
    <t>The Applicant agrees to Section 17.A.  The Project does not qualify for points under Section 17.B.</t>
  </si>
  <si>
    <t>DCA did not provide a pre-determination related to compliance.  The Owner/Developer and Manager were pre-determined by DCA to be Qualified without Conditions.  A complete Performance Workbook is included behind Tab 3.</t>
  </si>
  <si>
    <t>HUD has issued a letter of interest in providing a HUD 221(d)(4) insured mortgage.  The Letter of Invitation to submit a Firm Commitment will be submitted to DCA by July 13, 2012.</t>
  </si>
  <si>
    <t>The proposed financing includes a HUD 221(d)(4) insured mortgage.  Therefore, the HOME/HUD Environmental Questionnaire and HUD Form 4128 have also been completed and included.  The Environmental Report and all supporting documentation are included behind Tab 33.</t>
  </si>
  <si>
    <t>There are three separate access points to the Site, one from a private drive, one from an existing public street that is already paved and one from a public street that is currently being re-constructed as part of the Master Plan.  The required documentation demonstrating that all access points will be avialable for the Project are included behind Tab 10.</t>
  </si>
  <si>
    <t>The project was on the agenda for the City of Savannah City Council meeting on May 17, 2012.  The City Council approved unanimously a Resolution of Support for the project.  The Agenda and Minutes for the City Council meeting, along with the Resolution of Support and Letter of Support from the City of Savannah are included behind Tab 13.</t>
  </si>
  <si>
    <t>No Pre-Approvals were required. The Project will serve Families.   Question 12.D. is not applicable.  The required and selected amenities are shown on the Conceptual Site Development Plan included behind Tab 15.</t>
  </si>
  <si>
    <t>This section is not applicable.  The Project includes new construction only.</t>
  </si>
  <si>
    <t>The Project will be developed in compliance with the EarthCraft Multifamily requirements and will meet all applicable DCA and Code requirements.  A draft EarthCraft Multifamily scoring worksheet is included behind Tab 24.</t>
  </si>
  <si>
    <t>No waivers were required.  The Project is new construction.  Questions 17.A. and 17.C. are not applicable.</t>
  </si>
  <si>
    <t>DCA's pre-application determination is included behind Tab 3, along with the complete Performance Workbook.</t>
  </si>
  <si>
    <t>A complete Performance Workbook is included behind Tab 3.</t>
  </si>
  <si>
    <t>Documentation of Mecy Community Housing Georgia, Inc.'s eligibility for the Non-Profit Setaside is included behind Tab 2.</t>
  </si>
  <si>
    <t>A legal opinion regarding the eligibility to compete in the Non-Profit Setaside is included behind Tabs 2 and 17.</t>
  </si>
  <si>
    <t>There are currently 14 units remaining on the Site.  Four of the units are occupied.  The Master Developer will be responsible for relocating the 4 households and demolishing the remaining structures prior to the Applicant purchasing the site.  Complete documentation of the relocation assistance being provided by the Master Developer is included behind Tab 18.  The Applicant has no responsibility for relocation per a Development Agreement with the Master Developer.  Questions 27.B., 27.C., 27.D. and 27.E. are not applicable to the Applicant.</t>
  </si>
  <si>
    <t>If the Project is awarded funding, a Special Needs Marketing Plan will be submitted prior to issuance of 8609s.</t>
  </si>
  <si>
    <t>Tom Fasset</t>
  </si>
  <si>
    <t>tom.fasset@reznickgroup.com</t>
  </si>
  <si>
    <t>525 North Tryon Street, Suite 1000</t>
  </si>
  <si>
    <t>Charlotte</t>
  </si>
  <si>
    <t>Electric Heat Pump allowances were taken from the DCA Southern Region Utility Allowances.  Utility Allowance documentation is included behind Tab 7.</t>
  </si>
  <si>
    <t>Mortgage Insurance Premium (Two Years)</t>
  </si>
  <si>
    <t>Charrette Notes</t>
  </si>
  <si>
    <t>Photographs</t>
  </si>
  <si>
    <t>Narrative from the City of Savannah</t>
  </si>
  <si>
    <t>A Project Narrative and the Master Plan documentation showing that the Project is part of a phased development are located behind Tab 1.  Documentation that the Project is eligible for the Non-Profit Setaside is included behind Tab 2.  The Project is in the Savannah Gardens Planned Unit Development Zoning District, which requires 1 parking space per unit for multi-family housing.  A letter confirming that the Project meets the parking requirements is included behind Tab 11.  Documentation that the Master Developer, rather than the Applicant, is responsible for all relocation activities is included behind Tab 18.</t>
  </si>
  <si>
    <t>For liability and tax reasons, MHSE Savannah Gardens Phase IV GP, LLC is a for profit corporation.  However, Mercy Community Housing Georgia, Inc. is the sole Member and Non-Profit Sponsor of the General Partner.  Documentation of the Non-Profit's ownership interest is included behind Tab 2.  Documentation regarding Identity of Interest and Debarment is included behind Tab 3 immediately after the Performance Workbook.</t>
  </si>
  <si>
    <t>A Schedule of Values from NorSouth Construction Company, included behind Tab 8, provides a detailed breakout of construction hard costs.  The loan fee and interest for the SunTrust Construction Loan are included in the Bridge Loan Fee &amp; Interest line item.  A letter from the City of Savannah, included behind Tabs 5 and 8, confirms that water and sewer connection fees will be waived.  The Permanent Loan Fees line item includes the Financing Fee of 2%, Securities Placement Fee of 0.25% and FHA Firm Commitment Application Fee of 0.30% referenced in Prudential's preliminary financing commitment.  HUD requires a 4% Working Capital Escrow, of which 2% is covered by Construction Contingency and 2% is covered by the Rent-Up Reserves.  HUD's Initial Operating Deficit Reserve requirement is met by the DCA Operating Deficit Reserve requirement.</t>
  </si>
  <si>
    <t>Property Tax Abatement documentation, including the methodology for calculating the value of the proeprty tax abatement in years 1 through 10, is included behind Tab 5.  An estimated insurance premium and documentation for calculating estimated real estate taxes are included behind Tab 8.</t>
  </si>
  <si>
    <t>The Market Study is included behind Tab 31.  The two DCA tax credit projects within a 2 mile radius funded since 2009 are previous phases of the same Master Planned Community in which the proposed Project is located.</t>
  </si>
  <si>
    <t>No Appriasal is required to be submitted with this Application.  Questions 5.B., 5.C. and 5.D. are not applicable.</t>
  </si>
  <si>
    <t>The Conceptual Site Development Plan showing all required amenities is included behind Tab 15.</t>
  </si>
  <si>
    <t>A HUD 221(d)(4) insured mortgage is included in the proposed financing.  The documentation required by HUD for a Firm Commitment application is included behind Tab 16.  Site &amp; Neighborhood Standards documentation is not required.  A Contract Addendum is Exhibit D to the Real Estate Sales Agreement and is included behind Tab 9.</t>
  </si>
  <si>
    <t>DCA issued a Pre-Application Determination that the Project does qualify for Sustainable Communities points.  A Site Analysis Packet has been submitted to Southface for review and is included behind Tab 23.</t>
  </si>
  <si>
    <t>Documentation that the General Partner is comprised 100% of a non-profit that is qualified to compete in the Non-Profit Setaside is included behind Tab 2.</t>
  </si>
  <si>
    <t xml:space="preserve">From Vision to Reality - A Superior Project Concept  
All too often visionary ideas collect dust in the form of a planning document left on a shelf because the resources to implement the plan were never made available.  The opportunity to witness a plan becoming reality and to see the impact that it can have is rewarding and powerful.
In 2007 the City of Savannah saw the potential that existed in a rundown, crime ridden apartment complex known as Strathmore Estates.  City leaders committed to developing a plan for transforming the 44 acres of blight into a vibrant, healthy community.  And despite the major economic crisis that rocked the nation just after the site was acquired by a local nonprofit, the City of Savannah has remained committed to providing the resources needed to turn the vision of Savannah Gardens, a mixed-used, mixed-income sustainable community, into a reality.
The blighted, dilapidated property known most recently as Strathmore Estates was just half of the 750 apartments built in 1943 to provide housing for employees of the Southeastern Shipbuilding Corporation who were commissioned to build liberty ships to support the war effort.   The property was originally named Tattnall Homes in honor of Josiah Tattnall, a Commodore in the U.S. Navy that is credited with coining the phrase “blood is thicker than water.”  The housing, intended to be temporary, was owned by the Federal Government and managed by the Housing Authority of Savannah.  In 1955 the Housing Authority sold the property to a private owner and the name was changed to Savannah Gardens after the neighborhood in which it is located.  The name would change to Strathmore Estates some 40 years later when the property was sold again and renovated.  By the 1990s approximately half of the site had been sold to the Savannah – Chatham County Public School System for the new Savannah High School.  Approximately 370 units were demolished to create the new campus.
In 2010 phased demolition began on the 380 units that remained.  The property is bisected into two parcels by Pennsylvania Avenue.  To date, nearly $6 million in major infrastructure improvements serving the west side of Pennsylvania Avenue have been installed by the City of Savannah.  Single-family home lots were platted, with 19 new homes already constructed.  Phase I of the multi-family housing is complete and nearly fully occupied.  The second phase of multi-family housing, reserved for senior citizens, is almost complete.  On the east side of Pennsylvania Avenue, another $2.53 million in infrastructure work is underway, as is construction on the third phase of multi-family housing.  Only a small portion of the original structures remain and the Pennsylvania Avenue corridor from Gwinnett Street to Elgin Street has been dramatically transformed.  Located in an EarthCraft Community, the new development provides a superior level of sustainability that exceeds basic requirements and provides a benefit to the community at large through reduced waste, preserved greenspace and high levels of energy efficiency.  
Woven throughout the statistics about dollars invested or units built are unique details that make the vision of the Savannah Gardens redevelopment about more than blight removal and bricks and sticks.  The project has had an impact on the community that goes beyond transforming the built environment, although the new homes and apartment buildings are far more aesthetically pleasing and environmentally sustainable than the structures they replaced.
There are the stories of the residents that previously resided at Strathmore Estates, housing of last resort for some families with low incomes.  Many of these households have now moved to Savannah Gardens Phase I, where they enjoy unit features such as garbage disposals and central heating and air, which they previously did not have.  Energy efficient units mean less of their household incomes are spent on housing costs.  Other residents are working through the process of becoming first time homebuyers that will purchase one of the new single-family homes constructed on the former apartment complex site.
There is the story of the neighborhood resident, employed by the General Contractor as part of the Section 3 outreach process, who has worked on all three multi-family phases and is planning to move to Savannah Gardens Senior Residences, Phase II, which provides rental subsidy.  His daughters live at Savannah Gardens Phase I, allowing him to be close to his grandchildren and to live in a quality home that he helped build in his own community.
There is the story of the preservation of the history of the site, once home to shipbuilders supporting the war effort.  Deconstruction of the original structures has allowed for lumber, brick and roof decking to be recycled and installed in the new buildings as flooring and truss webbing.  One original structure will remain as an interpretive center that will document the original structures and their proud history.
And finally there is the story of how communities can be transformed through collaborations and partnerships.  The vision of Savannah Gardens is not yet fully implemented.  Savannah Gardens Phase IV is the next step in completing five phases of multi-family housing.  Infrastructure work, provided by the City of Savannah, continues.  Homebuilders will build additional homes as the market can absorb them.  The work is not complete, and yet the change in the Savannah Gardens neighborhood is already dramatic.  The commitment of the City of Savannah through funding and development tools, such as redevelopment plans and enterprise zones, has been the driving force allowing two nonprofits, CHSA Development as Master Developer and Mercy Housing as the multi-family developer, to secure the resources needed to implement the vision.  The residents and surrounding neighborhoods, all of whom have been an integral part of the planning process, are now enjoying the fulfillment of watching that vision become reality.
</t>
  </si>
  <si>
    <t>All financing commitments, including a Deferred Developer Fee Note and a preliminary Letter of Interest from HUD, are included behind Tab 5.  The Prudential and SunTrust interest rates are tied to the 10 Year Treasury and One Month LIBOR rates, respectively.  Documentation of the current rates are included behind Tab 5, but because the rates will not be locked until closing in late 2013, higher rates are used in the pro forma to protect against rate increases between application submission and closing.  The Prudential rate includes 0.45% for required Mortgage Insurance Premiums.</t>
  </si>
  <si>
    <t xml:space="preserve">In November 2007 CHSA Development, Inc. (“CHSA Development”) purchased Strathmore Estates, a 44-acre site containing 380 units of substandard rental housing located east of downtown Savannah.  The City of Savannah provided a portion of the funding for the $12 million purchase price to allow the affiliated entity to acquire the property and prevent the previous owners of the site from implementing a plan for selling the buildings in the complex to individual investors.  The conditions of the property were contributing significantly to crime and blight in the community and the City did not want to lose the opportunity to gain control of the site from a single entity in order to redevelop the property and stabilize the neighborhood.
Once the property was acquired, CHSA Development, the Master Developer, selected Mercy Housing Southeast, Inc. (“Mercy Housing”) as its development partner for the multi-family components through a Request for Qualifications.  A Development Agreement between the two entities governs the roles and responsibilities of each party and establishes guidelines for how the property will be redeveloped.  
CHSA Development also hired a land planner to design a master plan for completely redeveloping the overall site, including the designation of various “pods” to be developed with a mixture of multi-family and single-family housing types and some neighborhood-serving retail.  The Strathmore Estates property was re-zoned to a Planned Unit Development with its own Development Standards.  The site will be redeveloped as an EarthCraft Coastal Community, and CHSA Development has already entered into a Memorandum of Participation with Southface Energy Institute, Inc. (“Southface”).    The project was selected by Southface to be the subject of the design charrette for design professionals at their annual Greenprints Conference in March 2008.  In May 2008 CHSA Development hosted a community design charrette for the local community.    
The property is located in the Savannah Gardens Neighborhood in Savannah.  Through feedback received during the planning and community input process, it was decided to name the newly redeveloped site Savannah Gardens, as it is the primary land use in the neighborhood.   In March 2009 the Mayor and Aldermen adopted an Urban Redevelopment Plan for the neighborhood with the major focus being the redevelopment of Strathmore Estates.  In November 2009 the Mayor and Aldermen adopted the Pennsylvania Avenue Enterprise Zone, which will provide benefits to owners that improve property and/or create jobs.  One such benefit is a tax abatement on City of Savannah real property taxes.  The City of Savannah has also approved the waiver of waiver of water and sewer connection fees, an additional Enterprise Zone benefit.  Additionally, a resolution of support for Savannah Gardens Phase IV was unanimously approved by the Mayor and Aldermen on May 17, 2012, indicating the continued commitment of the City of Savannah to this priority project.
At the time that CHSA Development purchased Strathmore Estates it was only about 80% occupied.  Vacant units were being set on fire and otherwise vandalized.  Crime was increasing and the Savannah Chatham Metropolitan Police Chief dubbed the property “one of the most serious crime centers in the city”.  The property is divided into two parcels by Pennsylvania Avenue.  Many of the buildings located west of Pennsylvania Avenue, as well as those located on the northern half of the property located east of Pennsylvania Avenue, were in severely deteriorated condition with a high vacancy rate.  Because of the incessant crime, problems with arson and an overall concern for the health and safety of the residents living on these portions of the site, the decision was made to transfer all residents to a more centrally located area focused in the southern half of the tract located east of Pennsylvania Avenue.  The vacant buildings were then secured and fenced.  
Because the funding CHSA Development used to purchase the Strathmore Estates property included federal funds, CHSA Development is responsible for providing relocation assistance for all residents that resided at Strathmore Estates at the time of acquisition.  City of Savannah staff has discussed the project with Phillip Fortenberry, Regional Relocation Specialist for the Atlanta Hub of the U.S. Department of Housing and Urban Development.  Mr. Fortenberry has confirmed that the residents that have been moved to date are considered to have been transferred because they were moved within the same project that triggered the requirements for federal relocation assistance.  The unit transfers that have occurred to date do not constitute a temporary relocation and will not count against the 12 month limit for temporary relocation.  CHSA Development is adhering to the requirements of the Uniform Relocation Assistance and Real Property Acquisitions Policies Act of 1970, as amended (“URA”) and Section 104(d) of the Housing and Community Development Act of 1974 (“Section 104(d)”).  General Information Notices were sent to all residents prior to acquisition and all residents have had one-on-one interviews to assess their replacement housing needs, as well as eligibility.
The City of Savannah has committed to demolishing the existing structures and to providing the infrastructure improvements needed to redevelop the site, including repaving roads, installing sidewalks and street trees, upgrading water and sewer lines and preserving significant trees by maintaining the natural green spaces as public parks.  In 2009 the City of Savannah hired Thomas &amp; Hutton Engineering to design a master plan for the infrastructure for the public rights-of-way, as well as the individual pods.  The first phase of the infrastructure work is complete and the second phase is well underway.  A major upgrading of storm water systems was completed with the first phase to address potential flooding issues for the entire site.  
In December 2011 Mercy Housing completed Savannah Gardens Phase I, which provides 115 units of family housing financed primarily with 9% Low Income Housing Tax Credits.  Phase I is located on the west side of Pennsylvania Avenue.  The project is currently being leased up and is expected t to be fully occupied by the end of June.
In September 2011 Mercy Housing began construction of 40 units of Supportive Housing for the Elderly financed with a HUD Section 202 Capital Grant.  Savannah Gardens Senior Residences, or Phase II, is located adjacent to Phase I.  The project will be complete in June 2012.
Construction on Phase III began in October 2011.  Also financed primarily with 9% Low Income Housing Tax Credits, Phase III provides 94 units of family housing and is located on the east side of Pennsylvania.
The fourth phase of multi-family housing to be developed at Savannah Gardens will be another family development including 114 units and approximately 4,500 square feet of community and management office space for the property.  The Conceptual Site Development Plan will allow for a mixture of nine two- and three-story buildings and nine duplexes.  The proposed unit mix calls for 12 one-bedroom, one-bath units, 66 two-bedroom, two-bath units and 36 three-bedroom, two-bath units.  Six of the units will be fully equipped for the mobility impaired, three containing roll in showers, and three units will be equipped for residents with audio or visual impairments.  The project will provide the appropriate accommodations to allow for the marketing and leasing of units to residents with disabilities or who are otherwise facing homelessness.
The project will be located on the east side of Pennsylvania Avenue on three contiguous parcels separated only by public right-of-way.  The northernmost parcels are divided by the public piazza and park that the City of Savannah is developing and will own and maintain, while the parcels are divided to the south by Crescent Drive, an existing street that the City is currently re-paving.  The City of Savannah has already demolished all but seven of the existing structures located on the proposed Phase IV site.  The remaining demolition and any outstanding infrastructure work will all be completed by the City of Savannah prior to the land being conveyed to Mercy Housing.  The project is zoned as a Planned Unit Development, with the density allowance depicted on the Master Plan.  Parking requirements call for one space per unit.  Phase IV will provide 117 spaces and additional on-street parking will also be available.  The property is located directly on the Route 10 bus line, with sheltered bus stops located in the center of the Savannah Gardens development.  
As part of an EarthCraft Coastal Community, Savannah Gardens Phase IV will also participate in the EarthCraft Multifamily program, ensuring sustainable development and energy efficiency.    Many sustainable building practices were utilized in the development of Phase I, which has already been certified as an EarthCraft Multifamily development.  Studs and roof panels that were deconstructed as part of the demolition process were used to manufacture trusses, flooring and bookshelves.  This allowed for a diversion from the landfill and provides an opportunity to reuse quality materials already present on the site.  These, and other practices, will be improved and expanded for incorporation in Phase IV.
Property amenities will include a community room, covered porches on buildings containing common areas and on-site laundry facilities, as well as a furnished fitness center and a computer center.  There will also be a large public park maintained by the City of Savannah in the center of the Savannah Gardens master planned community that is adjacent to the site.  The park has a playground, playing fields and a splash fountain.  The City of Savannah has already repaved Pennsylvania Avenue and portions of Crescent Drive.  New sidewalks have, or will be installed along the public streets running along the site.  Street trees and lighting will also be provided along public streets by the City of Savannah.  The City has also upgraded all public utilities.
Standard unit amenities will include central heating and air, Energy Star dishwashers, garbage disposals, Energy Star refrigerators with ice makers, stoves, stovetop fire suppression canisters, blinds, ceiling fans in living rooms and bedrooms and washer/dryer hook-ups.  All units will also have built-in fire sprinkler systems.  The all-electric, energy efficient units will be provided with power from Georgia Power and the City of Savannah will provide water and sewer service.  
Units will be offered to households in three income ranges.  Twenty-three units will be restricted to households earning 50% AMI or less, 67 units will be restricted to households earning 60% AMI or less and 23 units will be offered with no income restrictions.  There will be one two-bedroom non-revenue unit, as well.  A variety of bedroom mixes will also be provided with 1, 2 and 3 bedroom units offered.  
The previously existing units located on the proposed Phase IV site were vacated prior to November 2011 and have been demolished with the exception of seven buildings.  There are four remaining households in those buildings, three of which are eligible for relocation assistance.  Two of the relocation eligible households have applications pending for Savannah Gardens Phase II and will move to their new homes in July 2012.  The other relocation eligible household is on the list to apply for Savannah Gardens Phase III when those units are completed in October 2012.  The fourth household moved to Strathmore Estates after CHSA Development acquired the property and signed a Move In Notice, acknowledging that she is not eligible for relocation assistance.  She will, however, be given the opportunity to apply to Savannah Gardens Phase III prior to the time that she will be asked to vacate her unit.  While there are no relocation activities or expenses directly involved in the Phase IV project, documentation is available evidencing that CHSA Development provided General Information Notices to all residents in August 2007, prior to acquisition, and continues to abide by the requirements of URA and Section 104(d).  
Financing will include state and federal low income housing tax credits, as well as a proposed HUD 221(d)(4) insured mortgage.  More than $2 million in offsite improvements that will directly benefit the residents Savannah Gardens Phase IV have been or will be completed by the City of Savannah.
The property will be owned by Mercy Housing Georgia 13, LP, which has as its sole General Partner MHSE Savannah Gardens Phase IV GP, LLC, which has as its sole member Mercy Community Housing Georgia, Inc., a qualified nonprofit.  Mercy Housing Southeast, Inc. will serve as the Developer.  Martin Riley Associates is the Architect and NorSouth Construction Company of Georgia will serve as General Contractor.  Thomas &amp; Hutton Engineering is the Civil Engineer.  The property will be managed by Mercy Housing Management Group and resident services will be provided by Mercy Housing.
</t>
  </si>
  <si>
    <t>2012-008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</si>
</sst>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2012-008, Savannah Gardens Phase IV, Chatham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3975</v>
      </c>
      <c r="I8" s="1235"/>
    </row>
    <row r="9" spans="1:9" s="40" customFormat="1" ht="12.6" customHeight="1" thickBot="1">
      <c r="A9" s="101"/>
      <c r="B9" s="789"/>
      <c r="C9" s="390"/>
      <c r="D9" s="390"/>
      <c r="E9" s="391" t="s">
        <v>3942</v>
      </c>
      <c r="F9" s="391"/>
      <c r="G9" s="1234" t="s">
        <v>3975</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3975</v>
      </c>
    </row>
    <row r="12" spans="1:9" s="40" customFormat="1" ht="12.6" customHeight="1">
      <c r="A12" s="386"/>
      <c r="B12" s="1237"/>
      <c r="C12" s="1237"/>
      <c r="D12" s="1237"/>
      <c r="E12" s="1236" t="s">
        <v>3943</v>
      </c>
      <c r="F12" s="395"/>
      <c r="G12" s="1234" t="s">
        <v>3975</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3975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3975</v>
      </c>
    </row>
    <row r="17" spans="1:7" s="40" customFormat="1" ht="12" customHeight="1">
      <c r="A17" s="101"/>
      <c r="B17" s="239"/>
      <c r="C17" s="789"/>
      <c r="D17" s="391"/>
      <c r="E17" s="391" t="s">
        <v>3930</v>
      </c>
      <c r="F17" s="391"/>
      <c r="G17" s="1234" t="s">
        <v>3975</v>
      </c>
    </row>
    <row r="18" spans="1:7" s="40" customFormat="1" ht="12" customHeight="1">
      <c r="A18" s="101"/>
      <c r="B18" s="239"/>
      <c r="C18" s="789"/>
      <c r="D18" s="391"/>
      <c r="E18" s="391" t="s">
        <v>3969</v>
      </c>
      <c r="F18" s="391"/>
      <c r="G18" s="1234" t="s">
        <v>3975</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3975</v>
      </c>
    </row>
    <row r="36" spans="1:7" s="40" customFormat="1" ht="12" customHeight="1">
      <c r="A36" s="97"/>
      <c r="B36" s="393"/>
      <c r="C36" s="393"/>
      <c r="D36" s="393"/>
      <c r="E36" s="395" t="s">
        <v>3336</v>
      </c>
      <c r="F36" s="394"/>
      <c r="G36" s="1234" t="s">
        <v>3975</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3697</v>
      </c>
      <c r="F38" s="866"/>
      <c r="G38" s="1234" t="s">
        <v>3975</v>
      </c>
    </row>
    <row r="39" spans="1:7" s="40" customFormat="1" ht="12" customHeight="1">
      <c r="A39" s="101"/>
      <c r="B39" s="239"/>
      <c r="C39" s="391"/>
      <c r="D39" s="391"/>
      <c r="E39" s="395" t="s">
        <v>3275</v>
      </c>
      <c r="F39" s="391"/>
      <c r="G39" s="1234" t="s">
        <v>3975</v>
      </c>
    </row>
    <row r="40" spans="1:7" s="40" customFormat="1" ht="12" customHeight="1">
      <c r="A40" s="101"/>
      <c r="B40" s="239"/>
      <c r="C40" s="391"/>
      <c r="D40" s="391"/>
      <c r="E40" s="395" t="s">
        <v>3635</v>
      </c>
      <c r="F40" s="391"/>
      <c r="G40" s="1234" t="s">
        <v>3975</v>
      </c>
    </row>
    <row r="41" spans="1:7" s="40" customFormat="1" ht="12" customHeight="1">
      <c r="A41" s="97"/>
      <c r="B41" s="393"/>
      <c r="C41" s="393"/>
      <c r="D41" s="393"/>
      <c r="E41" s="395" t="s">
        <v>1782</v>
      </c>
      <c r="F41" s="394"/>
      <c r="G41" s="1234" t="s">
        <v>3975</v>
      </c>
    </row>
    <row r="42" spans="1:7" s="40" customFormat="1" ht="12" customHeight="1">
      <c r="A42" s="97"/>
      <c r="B42" s="393"/>
      <c r="C42" s="393"/>
      <c r="D42" s="393"/>
      <c r="E42" s="395" t="s">
        <v>1781</v>
      </c>
      <c r="F42" s="394"/>
      <c r="G42" s="1234" t="s">
        <v>3975</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3975</v>
      </c>
    </row>
    <row r="50" spans="1:7" s="40" customFormat="1" ht="13.5">
      <c r="A50" s="386"/>
      <c r="B50" s="406"/>
      <c r="C50" s="1245" t="s">
        <v>3931</v>
      </c>
      <c r="D50" s="391"/>
      <c r="E50" s="865" t="s">
        <v>3968</v>
      </c>
      <c r="F50" s="866"/>
      <c r="G50" s="1234" t="s">
        <v>3975</v>
      </c>
    </row>
    <row r="51" spans="1:7" s="40" customFormat="1" ht="12" customHeight="1">
      <c r="A51" s="101"/>
      <c r="B51" s="239"/>
      <c r="C51" s="789"/>
      <c r="D51" s="391"/>
      <c r="E51" s="391" t="s">
        <v>3260</v>
      </c>
      <c r="F51" s="391"/>
      <c r="G51" s="1234" t="s">
        <v>3975</v>
      </c>
    </row>
    <row r="52" spans="1:7" s="40" customFormat="1" ht="12" customHeight="1">
      <c r="A52" s="101"/>
      <c r="B52" s="239"/>
      <c r="C52" s="789"/>
      <c r="D52" s="391"/>
      <c r="E52" s="391" t="s">
        <v>3918</v>
      </c>
      <c r="F52" s="391"/>
      <c r="G52" s="1234" t="s">
        <v>3975</v>
      </c>
    </row>
    <row r="53" spans="1:7" s="40" customFormat="1" ht="12" customHeight="1">
      <c r="A53" s="101"/>
      <c r="B53" s="239"/>
      <c r="C53" s="391"/>
      <c r="D53" s="391"/>
      <c r="E53" s="395" t="s">
        <v>3201</v>
      </c>
      <c r="F53" s="395"/>
      <c r="G53" s="1234" t="s">
        <v>3975</v>
      </c>
    </row>
    <row r="54" spans="1:7" s="40" customFormat="1" ht="12" customHeight="1">
      <c r="A54" s="101"/>
      <c r="B54" s="239"/>
      <c r="C54" s="391"/>
      <c r="D54" s="391"/>
      <c r="E54" s="865" t="s">
        <v>3920</v>
      </c>
      <c r="F54" s="866"/>
      <c r="G54" s="1234" t="s">
        <v>3975</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2104</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3975</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3975</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3975</v>
      </c>
    </row>
    <row r="90" spans="1:7" s="40" customFormat="1" ht="12" customHeight="1">
      <c r="A90" s="101"/>
      <c r="B90" s="391"/>
      <c r="C90" s="391"/>
      <c r="D90" s="391"/>
      <c r="E90" s="1236" t="s">
        <v>1778</v>
      </c>
      <c r="F90" s="397"/>
      <c r="G90" s="1234" t="s">
        <v>3983</v>
      </c>
    </row>
    <row r="91" spans="1:7" s="40" customFormat="1" ht="12" customHeight="1">
      <c r="A91" s="101"/>
      <c r="B91" s="391"/>
      <c r="C91" s="391"/>
      <c r="D91" s="391"/>
      <c r="E91" s="397" t="s">
        <v>1727</v>
      </c>
      <c r="F91" s="397"/>
      <c r="G91" s="1234" t="s">
        <v>3975</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3975</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3975</v>
      </c>
    </row>
    <row r="98" spans="1:7" s="40" customFormat="1" ht="12.75" customHeight="1">
      <c r="A98" s="796"/>
      <c r="B98" s="1236"/>
      <c r="D98" s="1248"/>
      <c r="E98" s="1236" t="s">
        <v>34</v>
      </c>
      <c r="F98" s="396"/>
      <c r="G98" s="1249" t="s">
        <v>3975</v>
      </c>
    </row>
    <row r="99" spans="1:7" s="40" customFormat="1" ht="12.75" customHeight="1">
      <c r="A99" s="796"/>
      <c r="B99" s="400"/>
      <c r="D99" s="1248"/>
      <c r="E99" s="1250" t="s">
        <v>35</v>
      </c>
      <c r="F99" s="396"/>
      <c r="G99" s="1249" t="s">
        <v>3975</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3975</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3975</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3975</v>
      </c>
    </row>
    <row r="113" spans="1:7" s="40" customFormat="1" ht="12" customHeight="1">
      <c r="A113" s="101"/>
      <c r="B113" s="395"/>
      <c r="C113" s="239"/>
      <c r="D113" s="395"/>
      <c r="E113" s="395" t="s">
        <v>680</v>
      </c>
      <c r="F113" s="401"/>
      <c r="G113" s="1234" t="s">
        <v>3975</v>
      </c>
    </row>
    <row r="114" spans="1:7" s="40" customFormat="1" ht="12" customHeight="1">
      <c r="A114" s="101"/>
      <c r="B114" s="391"/>
      <c r="C114" s="239"/>
      <c r="D114" s="391"/>
      <c r="E114" s="395" t="s">
        <v>3607</v>
      </c>
      <c r="F114" s="397"/>
      <c r="G114" s="1234" t="s">
        <v>3975</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3975</v>
      </c>
    </row>
    <row r="117" spans="1:7" s="40" customFormat="1" ht="12" customHeight="1">
      <c r="A117" s="101"/>
      <c r="B117" s="239"/>
      <c r="C117" s="239"/>
      <c r="D117" s="391"/>
      <c r="E117" s="391" t="s">
        <v>3116</v>
      </c>
      <c r="F117" s="391"/>
      <c r="G117" s="1234" t="s">
        <v>3975</v>
      </c>
    </row>
    <row r="118" spans="1:7" s="40" customFormat="1" ht="12" customHeight="1">
      <c r="A118" s="101"/>
      <c r="B118" s="391"/>
      <c r="C118" s="239"/>
      <c r="D118" s="391"/>
      <c r="E118" s="391" t="s">
        <v>3059</v>
      </c>
      <c r="F118" s="391"/>
      <c r="G118" s="1234" t="s">
        <v>3975</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3975</v>
      </c>
    </row>
    <row r="122" spans="1:7" s="40" customFormat="1" ht="12" customHeight="1">
      <c r="A122" s="104"/>
      <c r="B122" s="390"/>
      <c r="C122" s="239"/>
      <c r="D122" s="395"/>
      <c r="E122" s="865" t="s">
        <v>3686</v>
      </c>
      <c r="F122" s="866"/>
      <c r="G122" s="1234" t="s">
        <v>3975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3975</v>
      </c>
    </row>
    <row r="128" spans="1:7" s="40" customFormat="1" ht="12" customHeight="1">
      <c r="A128" s="101"/>
      <c r="B128" s="390"/>
      <c r="C128" s="239"/>
      <c r="D128" s="391"/>
      <c r="E128" s="391" t="s">
        <v>1537</v>
      </c>
      <c r="F128" s="391"/>
      <c r="G128" s="1234" t="s">
        <v>3975</v>
      </c>
    </row>
    <row r="129" spans="1:7" s="40" customFormat="1" ht="12" customHeight="1">
      <c r="A129" s="101"/>
      <c r="B129" s="391"/>
      <c r="C129" s="239"/>
      <c r="D129" s="391"/>
      <c r="E129" s="395" t="s">
        <v>1538</v>
      </c>
      <c r="F129" s="401"/>
      <c r="G129" s="1234" t="s">
        <v>3975</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3975</v>
      </c>
    </row>
    <row r="133" spans="1:7" s="40" customFormat="1" ht="12" customHeight="1">
      <c r="A133" s="101"/>
      <c r="B133" s="884"/>
      <c r="C133" s="885"/>
      <c r="D133" s="885"/>
      <c r="E133" s="395" t="s">
        <v>1785</v>
      </c>
      <c r="F133" s="395"/>
      <c r="G133" s="1234" t="s">
        <v>3975</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2883</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3975</v>
      </c>
    </row>
    <row r="140" spans="1:7" s="40" customFormat="1" ht="12" customHeight="1">
      <c r="A140" s="386"/>
      <c r="B140" s="587" t="s">
        <v>3178</v>
      </c>
      <c r="C140" s="404"/>
      <c r="D140" s="391"/>
      <c r="E140" s="392" t="s">
        <v>2373</v>
      </c>
      <c r="F140" s="391"/>
      <c r="G140" s="1234" t="s">
        <v>3975</v>
      </c>
    </row>
    <row r="141" spans="1:7" s="40" customFormat="1" ht="12" customHeight="1">
      <c r="A141" s="101"/>
      <c r="B141" s="239"/>
      <c r="C141" s="391"/>
      <c r="D141" s="391"/>
      <c r="E141" s="391" t="s">
        <v>3092</v>
      </c>
      <c r="F141" s="391"/>
      <c r="G141" s="1234" t="s">
        <v>3975</v>
      </c>
    </row>
    <row r="142" spans="1:7" s="40" customFormat="1" ht="12" customHeight="1">
      <c r="A142" s="101"/>
      <c r="B142" s="391"/>
      <c r="C142" s="391"/>
      <c r="D142" s="391"/>
      <c r="E142" s="391" t="s">
        <v>3608</v>
      </c>
      <c r="F142" s="391"/>
      <c r="G142" s="1234" t="s">
        <v>3975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3975</v>
      </c>
    </row>
    <row r="148" spans="1:7" s="40" customFormat="1" ht="12" customHeight="1">
      <c r="A148" s="101"/>
      <c r="B148" s="395"/>
      <c r="C148" s="395"/>
      <c r="D148" s="414"/>
      <c r="E148" s="395" t="s">
        <v>911</v>
      </c>
      <c r="F148" s="395"/>
      <c r="G148" s="1234" t="s">
        <v>3975</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3975</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3975</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3975</v>
      </c>
    </row>
    <row r="163" spans="1:7" s="40" customFormat="1" ht="12" customHeight="1">
      <c r="A163" s="101"/>
      <c r="B163" s="395"/>
      <c r="C163" s="395"/>
      <c r="D163" s="395"/>
      <c r="E163" s="395" t="s">
        <v>3123</v>
      </c>
      <c r="F163" s="391"/>
      <c r="G163" s="1234" t="s">
        <v>3975</v>
      </c>
    </row>
    <row r="164" spans="1:7" s="40" customFormat="1" ht="12" customHeight="1">
      <c r="A164" s="101"/>
      <c r="B164" s="395"/>
      <c r="C164" s="395"/>
      <c r="D164" s="395"/>
      <c r="E164" s="395" t="s">
        <v>3124</v>
      </c>
      <c r="F164" s="391"/>
      <c r="G164" s="1234" t="s">
        <v>3975</v>
      </c>
    </row>
    <row r="165" spans="1:7" s="40" customFormat="1" ht="12" customHeight="1">
      <c r="A165" s="101"/>
      <c r="B165" s="395"/>
      <c r="C165" s="395"/>
      <c r="D165" s="395"/>
      <c r="E165" s="395" t="s">
        <v>2054</v>
      </c>
      <c r="F165" s="391"/>
      <c r="G165" s="1234" t="s">
        <v>3975</v>
      </c>
    </row>
    <row r="166" spans="1:7" s="40" customFormat="1" ht="12" customHeight="1">
      <c r="A166" s="101"/>
      <c r="B166" s="789"/>
      <c r="C166" s="413"/>
      <c r="D166" s="395"/>
      <c r="E166" s="396" t="s">
        <v>2681</v>
      </c>
      <c r="F166" s="391"/>
      <c r="G166" s="1234" t="s">
        <v>3975</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3975</v>
      </c>
    </row>
    <row r="170" spans="1:7" s="40" customFormat="1" ht="12" customHeight="1">
      <c r="A170" s="101"/>
      <c r="B170" s="239"/>
      <c r="C170" s="789"/>
      <c r="D170" s="1236"/>
      <c r="E170" s="867" t="s">
        <v>807</v>
      </c>
      <c r="F170" s="866"/>
      <c r="G170" s="1234" t="s">
        <v>3975</v>
      </c>
    </row>
    <row r="171" spans="1:7" s="40" customFormat="1" ht="12" customHeight="1">
      <c r="A171" s="101"/>
      <c r="B171" s="400"/>
      <c r="C171" s="1236"/>
      <c r="D171" s="1236"/>
      <c r="E171" s="397" t="s">
        <v>36</v>
      </c>
      <c r="F171" s="391"/>
      <c r="G171" s="1234" t="s">
        <v>3975</v>
      </c>
    </row>
    <row r="172" spans="1:7" s="40" customFormat="1" ht="27" customHeight="1">
      <c r="A172" s="101"/>
      <c r="B172" s="400"/>
      <c r="C172" s="1236"/>
      <c r="D172" s="1236"/>
      <c r="E172" s="867" t="s">
        <v>645</v>
      </c>
      <c r="F172" s="866"/>
      <c r="G172" s="1234" t="s">
        <v>3975</v>
      </c>
    </row>
    <row r="173" spans="1:7" s="40" customFormat="1" ht="37.5" customHeight="1">
      <c r="A173" s="101"/>
      <c r="B173" s="400"/>
      <c r="C173" s="1236"/>
      <c r="D173" s="1236"/>
      <c r="E173" s="881" t="s">
        <v>3700</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3975</v>
      </c>
    </row>
    <row r="176" spans="1:7" s="40" customFormat="1" ht="11.25" customHeight="1">
      <c r="A176" s="386"/>
      <c r="B176" s="1257"/>
      <c r="C176" s="239"/>
      <c r="D176" s="1237"/>
      <c r="E176" s="867" t="s">
        <v>590</v>
      </c>
      <c r="F176" s="866"/>
      <c r="G176" s="1234" t="s">
        <v>3975</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3661</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3975</v>
      </c>
    </row>
    <row r="190" spans="1:7" s="40" customFormat="1" ht="12" customHeight="1">
      <c r="A190" s="101"/>
      <c r="B190" s="1237"/>
      <c r="C190" s="239"/>
      <c r="D190" s="1237"/>
      <c r="E190" s="1236" t="s">
        <v>3676</v>
      </c>
      <c r="G190" s="1234" t="s">
        <v>3975</v>
      </c>
    </row>
    <row r="191" spans="1:7" s="40" customFormat="1" ht="12" customHeight="1">
      <c r="A191" s="386"/>
      <c r="B191" s="1258"/>
      <c r="C191" s="1237"/>
      <c r="D191" s="1237"/>
      <c r="E191" s="867" t="s">
        <v>3913</v>
      </c>
      <c r="F191" s="1167"/>
      <c r="G191" s="1234" t="s">
        <v>3975</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3975</v>
      </c>
    </row>
    <row r="195" spans="1:7" s="40" customFormat="1" ht="26.25" customHeight="1">
      <c r="A195" s="101"/>
      <c r="B195" s="1237"/>
      <c r="C195" s="239"/>
      <c r="D195" s="1237"/>
      <c r="E195" s="1260" t="s">
        <v>3911</v>
      </c>
      <c r="F195" s="1261"/>
      <c r="G195" s="1234" t="s">
        <v>3975</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3975</v>
      </c>
    </row>
    <row r="206" spans="1:7" s="40" customFormat="1" ht="12" customHeight="1">
      <c r="A206" s="101"/>
      <c r="B206" s="239"/>
      <c r="C206" s="1236"/>
      <c r="D206" s="1237"/>
      <c r="E206" s="1236" t="s">
        <v>3165</v>
      </c>
      <c r="F206" s="395"/>
      <c r="G206" s="1234" t="s">
        <v>3975</v>
      </c>
    </row>
    <row r="207" spans="1:7" s="40" customFormat="1" ht="12" customHeight="1">
      <c r="A207" s="101"/>
      <c r="B207" s="1236"/>
      <c r="C207" s="390"/>
      <c r="D207" s="1237"/>
      <c r="E207" s="1236" t="s">
        <v>155</v>
      </c>
      <c r="F207" s="395"/>
      <c r="G207" s="1234" t="s">
        <v>3975</v>
      </c>
    </row>
    <row r="208" spans="1:7" s="40" customFormat="1" ht="12" customHeight="1">
      <c r="A208" s="101"/>
      <c r="B208" s="1236"/>
      <c r="C208" s="1245"/>
      <c r="D208" s="1237"/>
      <c r="E208" s="1236" t="s">
        <v>3609</v>
      </c>
      <c r="F208" s="395"/>
      <c r="G208" s="1234" t="s">
        <v>3975</v>
      </c>
    </row>
    <row r="209" spans="1:7" s="40" customFormat="1" ht="12" customHeight="1">
      <c r="A209" s="101"/>
      <c r="B209" s="789"/>
      <c r="C209" s="1245"/>
      <c r="D209" s="1237"/>
      <c r="E209" s="1236" t="s">
        <v>156</v>
      </c>
      <c r="F209" s="395"/>
      <c r="G209" s="1234" t="s">
        <v>3975</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3975</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4104</v>
      </c>
      <c r="F230" s="1271" t="s">
        <v>3727</v>
      </c>
      <c r="G230" s="1234" t="s">
        <v>3975</v>
      </c>
    </row>
    <row r="231" spans="1:7" s="40" customFormat="1" ht="12.6" customHeight="1">
      <c r="A231" s="101"/>
      <c r="C231" s="1272" t="s">
        <v>946</v>
      </c>
      <c r="D231" s="1167"/>
      <c r="E231" s="1273" t="s">
        <v>4102</v>
      </c>
      <c r="F231" s="1273" t="s">
        <v>3727</v>
      </c>
      <c r="G231" s="1274" t="s">
        <v>3975</v>
      </c>
    </row>
    <row r="232" spans="1:7" s="40" customFormat="1" ht="12.6" customHeight="1">
      <c r="A232" s="101"/>
      <c r="C232" s="1272"/>
      <c r="D232" s="1167"/>
      <c r="E232" s="1273" t="s">
        <v>4103</v>
      </c>
      <c r="F232" s="1273" t="s">
        <v>3727</v>
      </c>
      <c r="G232" s="1274" t="s">
        <v>3975</v>
      </c>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3975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3975</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A10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activeCell="H10" sqref="H10"/>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2012-008 Savannah Gardens Phase IV, Savannah, Chatham County</v>
      </c>
      <c r="B1" s="994"/>
      <c r="C1" s="994"/>
      <c r="D1" s="994"/>
      <c r="E1" s="994"/>
      <c r="F1" s="994"/>
      <c r="G1" s="994"/>
      <c r="H1" s="994"/>
      <c r="I1" s="994"/>
      <c r="J1" s="994"/>
      <c r="K1" s="994"/>
      <c r="L1" s="994"/>
      <c r="M1" s="994"/>
      <c r="N1" s="994"/>
      <c r="O1" s="994"/>
      <c r="P1" s="995"/>
      <c r="T1" s="1103" t="str">
        <f>A1</f>
        <v>PART SIX - PROJECTED REVENUES &amp; EXPENSES  -  2012-008 Savannah Gardens Phase IV, Savannah, Chatham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3983</v>
      </c>
      <c r="J6" s="848" t="s">
        <v>3386</v>
      </c>
      <c r="N6" s="1100" t="str">
        <f>'Part I-Project Information'!$J$26</f>
        <v>Savannah</v>
      </c>
      <c r="O6" s="1100"/>
      <c r="P6" s="672">
        <f>VLOOKUP('Part I-Project Information'!$J$26,'DCA Underwriting Assumptions'!$C$84:$D$194,2)</f>
        <v>33900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3973</v>
      </c>
      <c r="T9" s="976" t="s">
        <v>2717</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3</v>
      </c>
      <c r="F10" s="1517">
        <v>860</v>
      </c>
      <c r="G10" s="1517">
        <v>570</v>
      </c>
      <c r="H10" s="1517">
        <v>562</v>
      </c>
      <c r="I10" s="1517">
        <v>107</v>
      </c>
      <c r="J10" s="1518"/>
      <c r="K10" s="224">
        <f>MAX(0,H10-I10)</f>
        <v>455</v>
      </c>
      <c r="L10" s="224">
        <f t="shared" ref="L10:L47" si="0">MAX(0,E10*K10)</f>
        <v>1365</v>
      </c>
      <c r="M10" s="1519" t="s">
        <v>3983</v>
      </c>
      <c r="N10" s="1519" t="s">
        <v>4039</v>
      </c>
      <c r="O10" s="1519" t="s">
        <v>3213</v>
      </c>
      <c r="P10" s="673">
        <f>IF(H10="","",H10*12/0.3)</f>
        <v>22480</v>
      </c>
      <c r="Q10" s="674">
        <f>IF(H10="","",P10/($P$6*VLOOKUP(C10,'DCA Underwriting Assumptions'!$J$84:$K$89,2,FALSE)))</f>
        <v>0.88416912487708943</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2580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3</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13</v>
      </c>
      <c r="F11" s="1523">
        <v>1031</v>
      </c>
      <c r="G11" s="1523">
        <v>685</v>
      </c>
      <c r="H11" s="1523">
        <v>680</v>
      </c>
      <c r="I11" s="1523">
        <v>125</v>
      </c>
      <c r="J11" s="1524"/>
      <c r="K11" s="225">
        <f t="shared" ref="K11:K27" si="172">MAX(0,H11-I11)</f>
        <v>555</v>
      </c>
      <c r="L11" s="225">
        <f t="shared" si="0"/>
        <v>7215</v>
      </c>
      <c r="M11" s="1525" t="s">
        <v>3983</v>
      </c>
      <c r="N11" s="1525" t="s">
        <v>4039</v>
      </c>
      <c r="O11" s="1525" t="s">
        <v>3213</v>
      </c>
      <c r="P11" s="673">
        <f>IF(H11="","",H11*12/0.3)</f>
        <v>27200</v>
      </c>
      <c r="Q11" s="674">
        <f>IF(H11="","",P11/($P$6*VLOOKUP(C11,'DCA Underwriting Assumptions'!$J$84:$K$89,2,FALSE)))</f>
        <v>0.89151098000655526</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13</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13403</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13</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13</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13</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3</v>
      </c>
      <c r="D12" s="1522">
        <v>2</v>
      </c>
      <c r="E12" s="1523">
        <v>4</v>
      </c>
      <c r="F12" s="1523">
        <v>1225</v>
      </c>
      <c r="G12" s="1523">
        <v>790</v>
      </c>
      <c r="H12" s="1523">
        <v>783</v>
      </c>
      <c r="I12" s="1523">
        <v>157</v>
      </c>
      <c r="J12" s="1524"/>
      <c r="K12" s="225">
        <f t="shared" si="172"/>
        <v>626</v>
      </c>
      <c r="L12" s="225">
        <f t="shared" si="0"/>
        <v>2504</v>
      </c>
      <c r="M12" s="1525" t="s">
        <v>3983</v>
      </c>
      <c r="N12" s="1525" t="s">
        <v>4039</v>
      </c>
      <c r="O12" s="1525" t="s">
        <v>3213</v>
      </c>
      <c r="P12" s="673">
        <f>IF(H12="","",H12*12/0.3)</f>
        <v>31320</v>
      </c>
      <c r="Q12" s="674">
        <f>IF(H12="","",P12/($P$6*VLOOKUP(C12,'DCA Underwriting Assumptions'!$J$84:$K$89,2,FALSE)))</f>
        <v>0.88835942818243707</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4</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4900</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4</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4</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f t="shared" si="144"/>
        <v>4</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127</v>
      </c>
      <c r="C13" s="1521">
        <v>3</v>
      </c>
      <c r="D13" s="1522">
        <v>2</v>
      </c>
      <c r="E13" s="1523">
        <v>3</v>
      </c>
      <c r="F13" s="1523">
        <v>1225</v>
      </c>
      <c r="G13" s="1523">
        <v>790</v>
      </c>
      <c r="H13" s="1523">
        <v>783</v>
      </c>
      <c r="I13" s="1523">
        <v>157</v>
      </c>
      <c r="J13" s="1524"/>
      <c r="K13" s="225">
        <f t="shared" si="172"/>
        <v>626</v>
      </c>
      <c r="L13" s="225">
        <f t="shared" si="0"/>
        <v>1878</v>
      </c>
      <c r="M13" s="1525" t="s">
        <v>3983</v>
      </c>
      <c r="N13" s="1525" t="s">
        <v>803</v>
      </c>
      <c r="O13" s="1525" t="s">
        <v>3213</v>
      </c>
      <c r="P13" s="673">
        <f>IF(H13="","",H13*12/0.3)</f>
        <v>31320</v>
      </c>
      <c r="Q13" s="674">
        <f>IF(H13="","",P13/($P$6*VLOOKUP(C13,'DCA Underwriting Assumptions'!$J$84:$K$89,2,FALSE)))</f>
        <v>0.88835942818243707</v>
      </c>
      <c r="R13" s="820"/>
      <c r="S13" s="674"/>
      <c r="T13" s="1462"/>
      <c r="U13" s="1463"/>
      <c r="V13" s="757" t="str">
        <f t="shared" si="1"/>
        <v/>
      </c>
      <c r="W13" s="757" t="str">
        <f t="shared" si="2"/>
        <v/>
      </c>
      <c r="X13" s="757" t="str">
        <f t="shared" si="3"/>
        <v/>
      </c>
      <c r="Y13" s="757" t="str">
        <f t="shared" si="4"/>
        <v/>
      </c>
      <c r="Z13" s="757" t="str">
        <f t="shared" si="5"/>
        <v/>
      </c>
      <c r="AA13" s="757" t="str">
        <f t="shared" si="6"/>
        <v/>
      </c>
      <c r="AB13" s="757" t="str">
        <f t="shared" si="7"/>
        <v/>
      </c>
      <c r="AC13" s="757" t="str">
        <f t="shared" si="8"/>
        <v/>
      </c>
      <c r="AD13" s="757">
        <f t="shared" si="9"/>
        <v>3</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t="str">
        <f t="shared" si="33"/>
        <v/>
      </c>
      <c r="CG13" s="757">
        <f t="shared" si="34"/>
        <v>3675</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f t="shared" si="59"/>
        <v>3</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f t="shared" si="119"/>
        <v>3</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1</v>
      </c>
      <c r="D14" s="1522">
        <v>1</v>
      </c>
      <c r="E14" s="1523">
        <v>6</v>
      </c>
      <c r="F14" s="1523">
        <v>860</v>
      </c>
      <c r="G14" s="1523">
        <v>684</v>
      </c>
      <c r="H14" s="1523">
        <v>677</v>
      </c>
      <c r="I14" s="1523">
        <v>107</v>
      </c>
      <c r="J14" s="1524"/>
      <c r="K14" s="225">
        <f t="shared" si="172"/>
        <v>570</v>
      </c>
      <c r="L14" s="225">
        <f t="shared" si="0"/>
        <v>3420</v>
      </c>
      <c r="M14" s="1525" t="s">
        <v>3983</v>
      </c>
      <c r="N14" s="1525" t="s">
        <v>4039</v>
      </c>
      <c r="O14" s="1525" t="s">
        <v>3213</v>
      </c>
      <c r="P14" s="673">
        <f>IF(H14="","",H14*12/0.3)</f>
        <v>27080</v>
      </c>
      <c r="Q14" s="674">
        <f>IF(H14="","",P14/($P$6*VLOOKUP(C14,'DCA Underwriting Assumptions'!$J$84:$K$89,2,FALSE)))</f>
        <v>1.0650934119960669</v>
      </c>
      <c r="R14" s="820"/>
      <c r="S14" s="674"/>
      <c r="T14" s="1462"/>
      <c r="U14" s="1463"/>
      <c r="V14" s="757" t="str">
        <f t="shared" si="1"/>
        <v/>
      </c>
      <c r="W14" s="757">
        <f t="shared" si="2"/>
        <v>6</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f t="shared" si="27"/>
        <v>5160</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f t="shared" si="57"/>
        <v>6</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6</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f t="shared" si="142"/>
        <v>6</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2</v>
      </c>
      <c r="D15" s="1522">
        <v>2</v>
      </c>
      <c r="E15" s="1523">
        <v>39</v>
      </c>
      <c r="F15" s="1523">
        <v>1031</v>
      </c>
      <c r="G15" s="1523">
        <v>822</v>
      </c>
      <c r="H15" s="1523">
        <v>815</v>
      </c>
      <c r="I15" s="1523">
        <v>125</v>
      </c>
      <c r="J15" s="1524"/>
      <c r="K15" s="225">
        <f t="shared" si="172"/>
        <v>690</v>
      </c>
      <c r="L15" s="225">
        <f t="shared" si="0"/>
        <v>26910</v>
      </c>
      <c r="M15" s="1525" t="s">
        <v>3983</v>
      </c>
      <c r="N15" s="1525" t="s">
        <v>4039</v>
      </c>
      <c r="O15" s="1525" t="s">
        <v>3213</v>
      </c>
      <c r="P15" s="673">
        <f t="shared" ref="P15:P47" si="203">IF(H15="","",H15*12/0.3)</f>
        <v>32600</v>
      </c>
      <c r="Q15" s="674">
        <f>IF(H15="","",P15/($P$6*VLOOKUP(C15,'DCA Underwriting Assumptions'!$J$84:$K$89,2,FALSE)))</f>
        <v>1.0685021304490332</v>
      </c>
      <c r="R15" s="820"/>
      <c r="S15" s="674"/>
      <c r="T15" s="1462"/>
      <c r="U15" s="1463"/>
      <c r="V15" s="757" t="str">
        <f t="shared" si="1"/>
        <v/>
      </c>
      <c r="W15" s="757" t="str">
        <f t="shared" si="2"/>
        <v/>
      </c>
      <c r="X15" s="757">
        <f t="shared" si="3"/>
        <v>39</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40209</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39</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39</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39</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1670</v>
      </c>
      <c r="C16" s="1521">
        <v>3</v>
      </c>
      <c r="D16" s="1522">
        <v>2</v>
      </c>
      <c r="E16" s="1523">
        <v>11</v>
      </c>
      <c r="F16" s="1523">
        <v>1225</v>
      </c>
      <c r="G16" s="1523">
        <v>948</v>
      </c>
      <c r="H16" s="1523">
        <v>943</v>
      </c>
      <c r="I16" s="1523">
        <v>157</v>
      </c>
      <c r="J16" s="1524"/>
      <c r="K16" s="225">
        <f t="shared" si="172"/>
        <v>786</v>
      </c>
      <c r="L16" s="225">
        <f t="shared" si="0"/>
        <v>8646</v>
      </c>
      <c r="M16" s="1525" t="s">
        <v>3983</v>
      </c>
      <c r="N16" s="1525" t="s">
        <v>4039</v>
      </c>
      <c r="O16" s="1525" t="s">
        <v>3213</v>
      </c>
      <c r="P16" s="673">
        <f t="shared" si="203"/>
        <v>37720</v>
      </c>
      <c r="Q16" s="674">
        <f>IF(H16="","",P16/($P$6*VLOOKUP(C16,'DCA Underwriting Assumptions'!$J$84:$K$89,2,FALSE)))</f>
        <v>1.0698888132516451</v>
      </c>
      <c r="R16" s="820"/>
      <c r="S16" s="674"/>
      <c r="T16" s="1462"/>
      <c r="U16" s="1463"/>
      <c r="V16" s="757" t="str">
        <f t="shared" si="1"/>
        <v/>
      </c>
      <c r="W16" s="757" t="str">
        <f t="shared" si="2"/>
        <v/>
      </c>
      <c r="X16" s="757" t="str">
        <f t="shared" si="3"/>
        <v/>
      </c>
      <c r="Y16" s="757">
        <f t="shared" si="4"/>
        <v>11</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f t="shared" si="29"/>
        <v>13475</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f t="shared" si="59"/>
        <v>11</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f t="shared" si="104"/>
        <v>11</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f t="shared" si="144"/>
        <v>11</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1670</v>
      </c>
      <c r="C17" s="1521">
        <v>3</v>
      </c>
      <c r="D17" s="1522">
        <v>2</v>
      </c>
      <c r="E17" s="1523">
        <v>11</v>
      </c>
      <c r="F17" s="1523">
        <v>1225</v>
      </c>
      <c r="G17" s="1523">
        <v>948</v>
      </c>
      <c r="H17" s="1523">
        <v>943</v>
      </c>
      <c r="I17" s="1523">
        <v>157</v>
      </c>
      <c r="J17" s="1524"/>
      <c r="K17" s="225">
        <f t="shared" si="172"/>
        <v>786</v>
      </c>
      <c r="L17" s="225">
        <f t="shared" si="0"/>
        <v>8646</v>
      </c>
      <c r="M17" s="1525" t="s">
        <v>3983</v>
      </c>
      <c r="N17" s="1525" t="s">
        <v>803</v>
      </c>
      <c r="O17" s="1525" t="s">
        <v>3213</v>
      </c>
      <c r="P17" s="673">
        <f t="shared" si="203"/>
        <v>37720</v>
      </c>
      <c r="Q17" s="674">
        <f>IF(H17="","",P17/($P$6*VLOOKUP(C17,'DCA Underwriting Assumptions'!$J$84:$K$89,2,FALSE)))</f>
        <v>1.0698888132516451</v>
      </c>
      <c r="R17" s="820"/>
      <c r="S17" s="674"/>
      <c r="T17" s="1462"/>
      <c r="U17" s="1463"/>
      <c r="V17" s="757" t="str">
        <f t="shared" si="1"/>
        <v/>
      </c>
      <c r="W17" s="757" t="str">
        <f t="shared" si="2"/>
        <v/>
      </c>
      <c r="X17" s="757" t="str">
        <f t="shared" si="3"/>
        <v/>
      </c>
      <c r="Y17" s="757">
        <f t="shared" si="4"/>
        <v>11</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f t="shared" si="29"/>
        <v>13475</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f t="shared" si="59"/>
        <v>11</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f t="shared" si="119"/>
        <v>11</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370</v>
      </c>
      <c r="C18" s="1521">
        <v>1</v>
      </c>
      <c r="D18" s="1522">
        <v>1</v>
      </c>
      <c r="E18" s="1523">
        <v>3</v>
      </c>
      <c r="F18" s="1523">
        <v>860</v>
      </c>
      <c r="G18" s="1523">
        <v>733</v>
      </c>
      <c r="H18" s="1523">
        <v>675</v>
      </c>
      <c r="I18" s="1523">
        <v>0</v>
      </c>
      <c r="J18" s="1524"/>
      <c r="K18" s="225">
        <f t="shared" si="172"/>
        <v>675</v>
      </c>
      <c r="L18" s="225">
        <f t="shared" si="0"/>
        <v>2025</v>
      </c>
      <c r="M18" s="1525" t="s">
        <v>3983</v>
      </c>
      <c r="N18" s="1525" t="s">
        <v>4039</v>
      </c>
      <c r="O18" s="1525" t="s">
        <v>3213</v>
      </c>
      <c r="P18" s="673">
        <f t="shared" si="203"/>
        <v>27000</v>
      </c>
      <c r="Q18" s="674">
        <f>IF(H18="","",P18/($P$6*VLOOKUP(C18,'DCA Underwriting Assumptions'!$J$84:$K$89,2,FALSE)))</f>
        <v>1.0619469026548674</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f t="shared" si="17"/>
        <v>3</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f t="shared" si="42"/>
        <v>2580</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f t="shared" si="62"/>
        <v>3</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f t="shared" si="102"/>
        <v>3</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f t="shared" si="142"/>
        <v>3</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370</v>
      </c>
      <c r="C19" s="1521">
        <v>2</v>
      </c>
      <c r="D19" s="1522">
        <v>2</v>
      </c>
      <c r="E19" s="1523">
        <v>13</v>
      </c>
      <c r="F19" s="1523">
        <v>1031</v>
      </c>
      <c r="G19" s="1523">
        <v>816</v>
      </c>
      <c r="H19" s="1523">
        <v>775</v>
      </c>
      <c r="I19" s="1523"/>
      <c r="J19" s="1524"/>
      <c r="K19" s="225">
        <f t="shared" si="172"/>
        <v>775</v>
      </c>
      <c r="L19" s="225">
        <f t="shared" si="0"/>
        <v>10075</v>
      </c>
      <c r="M19" s="1525" t="s">
        <v>3983</v>
      </c>
      <c r="N19" s="1525" t="s">
        <v>4039</v>
      </c>
      <c r="O19" s="1525" t="s">
        <v>3213</v>
      </c>
      <c r="P19" s="673">
        <f t="shared" si="203"/>
        <v>31000</v>
      </c>
      <c r="Q19" s="674">
        <f>IF(H19="","",P19/($P$6*VLOOKUP(C19,'DCA Underwriting Assumptions'!$J$84:$K$89,2,FALSE)))</f>
        <v>1.0160603080957062</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f t="shared" si="18"/>
        <v>13</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f t="shared" si="43"/>
        <v>13403</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f t="shared" si="63"/>
        <v>13</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f t="shared" si="103"/>
        <v>13</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f t="shared" si="143"/>
        <v>13</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370</v>
      </c>
      <c r="C20" s="1521">
        <v>3</v>
      </c>
      <c r="D20" s="1522">
        <v>2</v>
      </c>
      <c r="E20" s="1523">
        <v>3</v>
      </c>
      <c r="F20" s="1523">
        <v>1225</v>
      </c>
      <c r="G20" s="1523">
        <v>1083</v>
      </c>
      <c r="H20" s="1523">
        <v>875</v>
      </c>
      <c r="I20" s="1523"/>
      <c r="J20" s="1524"/>
      <c r="K20" s="225">
        <f t="shared" si="172"/>
        <v>875</v>
      </c>
      <c r="L20" s="225">
        <f t="shared" si="0"/>
        <v>2625</v>
      </c>
      <c r="M20" s="1525" t="s">
        <v>3983</v>
      </c>
      <c r="N20" s="1525" t="s">
        <v>4039</v>
      </c>
      <c r="O20" s="1525" t="s">
        <v>3213</v>
      </c>
      <c r="P20" s="673">
        <f t="shared" si="203"/>
        <v>35000</v>
      </c>
      <c r="Q20" s="674">
        <f>IF(H20="","",P20/($P$6*VLOOKUP(C20,'DCA Underwriting Assumptions'!$J$84:$K$89,2,FALSE)))</f>
        <v>0.99273882459723173</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f t="shared" si="19"/>
        <v>3</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f t="shared" si="44"/>
        <v>3675</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f t="shared" si="64"/>
        <v>3</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f t="shared" si="104"/>
        <v>3</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f t="shared" si="144"/>
        <v>3</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370</v>
      </c>
      <c r="C21" s="1521">
        <v>3</v>
      </c>
      <c r="D21" s="1522">
        <v>2</v>
      </c>
      <c r="E21" s="1523">
        <v>4</v>
      </c>
      <c r="F21" s="1523">
        <v>1225</v>
      </c>
      <c r="G21" s="1523">
        <v>1083</v>
      </c>
      <c r="H21" s="1523">
        <v>875</v>
      </c>
      <c r="I21" s="1523"/>
      <c r="J21" s="1524"/>
      <c r="K21" s="225">
        <f t="shared" si="172"/>
        <v>875</v>
      </c>
      <c r="L21" s="225">
        <f t="shared" si="0"/>
        <v>3500</v>
      </c>
      <c r="M21" s="1525" t="s">
        <v>3983</v>
      </c>
      <c r="N21" s="1525" t="s">
        <v>803</v>
      </c>
      <c r="O21" s="1525" t="s">
        <v>3213</v>
      </c>
      <c r="P21" s="673">
        <f t="shared" si="203"/>
        <v>35000</v>
      </c>
      <c r="Q21" s="674">
        <f>IF(H21="","",P21/($P$6*VLOOKUP(C21,'DCA Underwriting Assumptions'!$J$84:$K$89,2,FALSE)))</f>
        <v>0.99273882459723173</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f t="shared" si="19"/>
        <v>4</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f t="shared" si="44"/>
        <v>4900</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f t="shared" si="64"/>
        <v>4</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f t="shared" si="119"/>
        <v>4</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4026</v>
      </c>
      <c r="C22" s="1521">
        <v>2</v>
      </c>
      <c r="D22" s="1522">
        <v>2</v>
      </c>
      <c r="E22" s="1523">
        <v>1</v>
      </c>
      <c r="F22" s="1523">
        <v>1031</v>
      </c>
      <c r="G22" s="1523">
        <v>0</v>
      </c>
      <c r="H22" s="1523">
        <v>0</v>
      </c>
      <c r="I22" s="1523">
        <v>0</v>
      </c>
      <c r="J22" s="1524"/>
      <c r="K22" s="225">
        <f t="shared" si="172"/>
        <v>0</v>
      </c>
      <c r="L22" s="225">
        <f t="shared" si="0"/>
        <v>0</v>
      </c>
      <c r="M22" s="1525" t="s">
        <v>4027</v>
      </c>
      <c r="N22" s="1525" t="s">
        <v>4039</v>
      </c>
      <c r="O22" s="1525" t="s">
        <v>3213</v>
      </c>
      <c r="P22" s="673">
        <f t="shared" si="203"/>
        <v>0</v>
      </c>
      <c r="Q22" s="674">
        <f>IF(H22="","",P22/($P$6*VLOOKUP(C22,'DCA Underwriting Assumptions'!$J$84:$K$89,2,FALSE)))</f>
        <v>0</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f t="shared" si="23"/>
        <v>1</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f t="shared" si="53"/>
        <v>1031</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f t="shared" si="68"/>
        <v>1</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f t="shared" si="103"/>
        <v>1</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f t="shared" si="143"/>
        <v>1</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114</v>
      </c>
      <c r="F48" s="172">
        <f>(E10*F10+E11*F11+E12*F12+E13*F13+E14*F14+E15*F15+E16*F16+E17*F17+E18*F18+E19*F19+E20*F20+E21*F21+E22*F22+E23*F23+E24*F24+E25*F25+E26*F26+E27*F27+E28*F28+E29*F29+E30*F30+E31*F31+E32*F32+E33*F33+E34*F34+E35*F35+E36*F36+E37*F37+E38*F38+E39*F39+E40*F40+E41*F41+E42*F42+E43*F43+E44*F44+E45*F45+E46*F46+E47*F47)</f>
        <v>122466</v>
      </c>
      <c r="G48" s="163"/>
      <c r="H48" s="164"/>
      <c r="I48" s="164"/>
      <c r="J48" s="164"/>
      <c r="K48" s="15" t="s">
        <v>1869</v>
      </c>
      <c r="L48" s="170">
        <f>SUM(L10:L47)</f>
        <v>78809</v>
      </c>
      <c r="M48" s="2"/>
      <c r="N48" s="40"/>
      <c r="O48" s="2"/>
      <c r="P48" s="676"/>
      <c r="Q48" s="676"/>
      <c r="R48" s="676"/>
      <c r="S48" s="676"/>
      <c r="T48" s="675"/>
      <c r="U48" s="677"/>
      <c r="V48" s="779">
        <f t="shared" ref="V48:CK48" si="206">SUM(V10:V47)</f>
        <v>0</v>
      </c>
      <c r="W48" s="779">
        <f t="shared" si="206"/>
        <v>6</v>
      </c>
      <c r="X48" s="779">
        <f t="shared" si="206"/>
        <v>39</v>
      </c>
      <c r="Y48" s="779">
        <f t="shared" si="206"/>
        <v>22</v>
      </c>
      <c r="Z48" s="779">
        <f t="shared" si="206"/>
        <v>0</v>
      </c>
      <c r="AA48" s="779">
        <f t="shared" si="206"/>
        <v>0</v>
      </c>
      <c r="AB48" s="779">
        <f t="shared" si="206"/>
        <v>3</v>
      </c>
      <c r="AC48" s="779">
        <f t="shared" si="206"/>
        <v>13</v>
      </c>
      <c r="AD48" s="779">
        <f t="shared" si="206"/>
        <v>7</v>
      </c>
      <c r="AE48" s="779">
        <f t="shared" si="206"/>
        <v>0</v>
      </c>
      <c r="AF48" s="779">
        <f t="shared" si="206"/>
        <v>0</v>
      </c>
      <c r="AG48" s="779">
        <f t="shared" si="206"/>
        <v>0</v>
      </c>
      <c r="AH48" s="779">
        <f t="shared" si="206"/>
        <v>0</v>
      </c>
      <c r="AI48" s="779">
        <f t="shared" si="206"/>
        <v>0</v>
      </c>
      <c r="AJ48" s="779">
        <f t="shared" si="206"/>
        <v>0</v>
      </c>
      <c r="AK48" s="779">
        <f t="shared" si="206"/>
        <v>0</v>
      </c>
      <c r="AL48" s="779">
        <f t="shared" si="206"/>
        <v>3</v>
      </c>
      <c r="AM48" s="779">
        <f t="shared" si="206"/>
        <v>13</v>
      </c>
      <c r="AN48" s="779">
        <f t="shared" si="206"/>
        <v>7</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1</v>
      </c>
      <c r="BW48" s="779">
        <f t="shared" si="206"/>
        <v>0</v>
      </c>
      <c r="BX48" s="779">
        <f t="shared" si="206"/>
        <v>0</v>
      </c>
      <c r="BY48" s="779">
        <f t="shared" si="206"/>
        <v>0</v>
      </c>
      <c r="BZ48" s="779">
        <f t="shared" si="206"/>
        <v>5160</v>
      </c>
      <c r="CA48" s="779">
        <f t="shared" si="206"/>
        <v>40209</v>
      </c>
      <c r="CB48" s="779">
        <f t="shared" si="206"/>
        <v>26950</v>
      </c>
      <c r="CC48" s="779">
        <f t="shared" si="206"/>
        <v>0</v>
      </c>
      <c r="CD48" s="779">
        <f t="shared" si="206"/>
        <v>0</v>
      </c>
      <c r="CE48" s="779">
        <f t="shared" si="206"/>
        <v>2580</v>
      </c>
      <c r="CF48" s="779">
        <f t="shared" si="206"/>
        <v>13403</v>
      </c>
      <c r="CG48" s="779">
        <f t="shared" si="206"/>
        <v>8575</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2580</v>
      </c>
      <c r="CP48" s="779">
        <f t="shared" si="208"/>
        <v>13403</v>
      </c>
      <c r="CQ48" s="779">
        <f t="shared" si="208"/>
        <v>8575</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1031</v>
      </c>
      <c r="DA48" s="779">
        <f t="shared" si="208"/>
        <v>0</v>
      </c>
      <c r="DB48" s="779">
        <f t="shared" si="208"/>
        <v>0</v>
      </c>
      <c r="DC48" s="779">
        <f t="shared" si="208"/>
        <v>0</v>
      </c>
      <c r="DD48" s="779">
        <f t="shared" si="208"/>
        <v>9</v>
      </c>
      <c r="DE48" s="779">
        <f t="shared" si="208"/>
        <v>52</v>
      </c>
      <c r="DF48" s="779">
        <f t="shared" si="208"/>
        <v>29</v>
      </c>
      <c r="DG48" s="779">
        <f t="shared" si="208"/>
        <v>0</v>
      </c>
      <c r="DH48" s="779">
        <f t="shared" si="208"/>
        <v>0</v>
      </c>
      <c r="DI48" s="779">
        <f t="shared" si="208"/>
        <v>3</v>
      </c>
      <c r="DJ48" s="779">
        <f t="shared" si="208"/>
        <v>13</v>
      </c>
      <c r="DK48" s="779">
        <f t="shared" si="208"/>
        <v>7</v>
      </c>
      <c r="DL48" s="779">
        <f t="shared" si="208"/>
        <v>0</v>
      </c>
      <c r="DM48" s="779">
        <f>SUM(DM10:DM47)</f>
        <v>0</v>
      </c>
      <c r="DN48" s="779">
        <f>SUM(DN10:DN47)</f>
        <v>0</v>
      </c>
      <c r="DO48" s="779">
        <f>SUM(DO10:DO47)</f>
        <v>1</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66</v>
      </c>
      <c r="EY48" s="779">
        <f t="shared" si="209"/>
        <v>18</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18</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12</v>
      </c>
      <c r="GL48" s="779">
        <f t="shared" si="209"/>
        <v>66</v>
      </c>
      <c r="GM48" s="779">
        <f t="shared" si="209"/>
        <v>18</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945708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2717</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6</v>
      </c>
      <c r="J56" s="380">
        <f>X48</f>
        <v>39</v>
      </c>
      <c r="K56" s="380">
        <f>Y48</f>
        <v>22</v>
      </c>
      <c r="L56" s="380">
        <f>Z48</f>
        <v>0</v>
      </c>
      <c r="M56" s="380">
        <f t="shared" ref="M56:M62" si="211">SUM(H56:L56)</f>
        <v>67</v>
      </c>
      <c r="N56" s="1096" t="s">
        <v>1382</v>
      </c>
      <c r="O56" s="1097"/>
      <c r="P56" s="853"/>
      <c r="Q56" s="643">
        <f t="shared" ref="Q56:Q62" si="212">ABS(M56-AF56)</f>
        <v>67</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3</v>
      </c>
      <c r="J57" s="381">
        <f>AC48</f>
        <v>13</v>
      </c>
      <c r="K57" s="381">
        <f>AD48</f>
        <v>7</v>
      </c>
      <c r="L57" s="381">
        <f>AE48</f>
        <v>0</v>
      </c>
      <c r="M57" s="381">
        <f t="shared" si="211"/>
        <v>23</v>
      </c>
      <c r="N57" s="1096"/>
      <c r="O57" s="1097"/>
      <c r="P57" s="853"/>
      <c r="Q57" s="643">
        <f t="shared" si="212"/>
        <v>23</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9</v>
      </c>
      <c r="J58" s="382">
        <f>SUM(J56:J57)</f>
        <v>52</v>
      </c>
      <c r="K58" s="382">
        <f>SUM(K56:K57)</f>
        <v>29</v>
      </c>
      <c r="L58" s="382">
        <f>SUM(L56:L57)</f>
        <v>0</v>
      </c>
      <c r="M58" s="382">
        <f t="shared" si="211"/>
        <v>90</v>
      </c>
      <c r="N58" s="385"/>
      <c r="O58" s="110"/>
      <c r="Q58" s="643">
        <f t="shared" si="212"/>
        <v>90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3</v>
      </c>
      <c r="J59" s="382">
        <f>AM48</f>
        <v>13</v>
      </c>
      <c r="K59" s="382">
        <f>AN48</f>
        <v>7</v>
      </c>
      <c r="L59" s="382">
        <f>AO48</f>
        <v>0</v>
      </c>
      <c r="M59" s="382">
        <f t="shared" si="211"/>
        <v>23</v>
      </c>
      <c r="N59" s="65"/>
      <c r="O59" s="110"/>
      <c r="Q59" s="643">
        <f t="shared" si="212"/>
        <v>23</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12</v>
      </c>
      <c r="J60" s="382">
        <f>SUM(J58:J59)</f>
        <v>65</v>
      </c>
      <c r="K60" s="382">
        <f>SUM(K58:K59)</f>
        <v>36</v>
      </c>
      <c r="L60" s="382">
        <f>SUM(L58:L59)</f>
        <v>0</v>
      </c>
      <c r="M60" s="382">
        <f t="shared" si="211"/>
        <v>113</v>
      </c>
      <c r="N60" s="65"/>
      <c r="O60" s="110"/>
      <c r="Q60" s="643">
        <f t="shared" si="212"/>
        <v>113</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1</v>
      </c>
      <c r="K61" s="382">
        <f>BW48</f>
        <v>0</v>
      </c>
      <c r="L61" s="382">
        <f>BX48</f>
        <v>0</v>
      </c>
      <c r="M61" s="382">
        <f t="shared" si="211"/>
        <v>1</v>
      </c>
      <c r="N61" s="62" t="s">
        <v>3114</v>
      </c>
      <c r="O61" s="110"/>
      <c r="Q61" s="643">
        <f t="shared" si="212"/>
        <v>1</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12</v>
      </c>
      <c r="J62" s="382">
        <f>SUM(J60:J61)</f>
        <v>66</v>
      </c>
      <c r="K62" s="382">
        <f>SUM(K60:K61)</f>
        <v>36</v>
      </c>
      <c r="L62" s="382">
        <f>SUM(L60:L61)</f>
        <v>0</v>
      </c>
      <c r="M62" s="382">
        <f t="shared" si="211"/>
        <v>114</v>
      </c>
      <c r="O62" s="110"/>
      <c r="Q62" s="643">
        <f t="shared" si="212"/>
        <v>114</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9</v>
      </c>
      <c r="J72" s="380">
        <f>DE48</f>
        <v>52</v>
      </c>
      <c r="K72" s="380">
        <f>DF48</f>
        <v>29</v>
      </c>
      <c r="L72" s="380">
        <f>DG48</f>
        <v>0</v>
      </c>
      <c r="M72" s="380">
        <f t="shared" ref="M72:M82" si="213">SUM(H72:L72)</f>
        <v>90</v>
      </c>
      <c r="N72" s="31"/>
      <c r="O72" s="110"/>
      <c r="Q72" s="643">
        <f t="shared" ref="Q72:Q80" si="214">ABS(M72-AF72)</f>
        <v>90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3</v>
      </c>
      <c r="J73" s="384">
        <f>DJ48</f>
        <v>13</v>
      </c>
      <c r="K73" s="384">
        <f>DK48</f>
        <v>7</v>
      </c>
      <c r="L73" s="384">
        <f>DL48</f>
        <v>0</v>
      </c>
      <c r="M73" s="384">
        <f t="shared" si="213"/>
        <v>23</v>
      </c>
      <c r="N73" s="65"/>
      <c r="O73" s="110"/>
      <c r="Q73" s="643">
        <f t="shared" si="214"/>
        <v>23</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12</v>
      </c>
      <c r="J74" s="382">
        <f>SUM(J72:J73)+DO48</f>
        <v>66</v>
      </c>
      <c r="K74" s="382">
        <f>SUM(K72:K73)+DP48</f>
        <v>36</v>
      </c>
      <c r="L74" s="382">
        <f>SUM(L72:L73)+DQ48</f>
        <v>0</v>
      </c>
      <c r="M74" s="382">
        <f t="shared" si="213"/>
        <v>114</v>
      </c>
      <c r="N74" s="62"/>
      <c r="O74" s="110"/>
      <c r="Q74" s="643">
        <f t="shared" si="214"/>
        <v>114</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66</v>
      </c>
      <c r="K84" s="380">
        <f t="shared" si="215"/>
        <v>18</v>
      </c>
      <c r="L84" s="380">
        <f t="shared" si="215"/>
        <v>0</v>
      </c>
      <c r="M84" s="380">
        <f>SUM(H84:L84)</f>
        <v>96</v>
      </c>
      <c r="N84" s="31"/>
      <c r="O84" s="110"/>
      <c r="Q84" s="643">
        <f>ABS(M84-AF84)</f>
        <v>96</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12</v>
      </c>
      <c r="J88" s="383">
        <f t="shared" si="220"/>
        <v>66</v>
      </c>
      <c r="K88" s="383">
        <f t="shared" si="220"/>
        <v>18</v>
      </c>
      <c r="L88" s="383">
        <f t="shared" si="220"/>
        <v>0</v>
      </c>
      <c r="M88" s="383">
        <f t="shared" si="217"/>
        <v>96</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18</v>
      </c>
      <c r="L91" s="381">
        <f>FO48</f>
        <v>0</v>
      </c>
      <c r="M91" s="381">
        <f>SUM(H91:L91)</f>
        <v>18</v>
      </c>
      <c r="N91" s="65"/>
      <c r="O91" s="110"/>
      <c r="Q91" s="643">
        <f>ABS(M91-AF91)</f>
        <v>18</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5160</v>
      </c>
      <c r="J94" s="221">
        <f>CA48</f>
        <v>40209</v>
      </c>
      <c r="K94" s="221">
        <f>CB48</f>
        <v>26950</v>
      </c>
      <c r="L94" s="221">
        <f>CC48</f>
        <v>0</v>
      </c>
      <c r="M94" s="221">
        <f t="shared" ref="M94:M100" si="221">SUM(H94:L94)</f>
        <v>72319</v>
      </c>
      <c r="O94" s="110"/>
      <c r="Q94" s="643">
        <f t="shared" ref="Q94:Q100" si="222">ABS(M94-AF94)</f>
        <v>72319</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2580</v>
      </c>
      <c r="J95" s="223">
        <f>CF48</f>
        <v>13403</v>
      </c>
      <c r="K95" s="223">
        <f>CG48</f>
        <v>8575</v>
      </c>
      <c r="L95" s="223">
        <f>CH48</f>
        <v>0</v>
      </c>
      <c r="M95" s="223">
        <f t="shared" si="221"/>
        <v>24558</v>
      </c>
      <c r="N95" s="6"/>
      <c r="O95" s="110"/>
      <c r="Q95" s="643">
        <f t="shared" si="222"/>
        <v>24558</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7740</v>
      </c>
      <c r="J96" s="220">
        <f>SUM(J94:J95)</f>
        <v>53612</v>
      </c>
      <c r="K96" s="220">
        <f>SUM(K94:K95)</f>
        <v>35525</v>
      </c>
      <c r="L96" s="220">
        <f>SUM(L94:L95)</f>
        <v>0</v>
      </c>
      <c r="M96" s="220">
        <f t="shared" si="221"/>
        <v>96877</v>
      </c>
      <c r="N96" s="6"/>
      <c r="O96" s="110"/>
      <c r="Q96" s="643">
        <f t="shared" si="222"/>
        <v>96877</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2580</v>
      </c>
      <c r="J97" s="220">
        <f>CP48</f>
        <v>13403</v>
      </c>
      <c r="K97" s="220">
        <f>CQ48</f>
        <v>8575</v>
      </c>
      <c r="L97" s="220">
        <f>CR48</f>
        <v>0</v>
      </c>
      <c r="M97" s="220">
        <f t="shared" si="221"/>
        <v>24558</v>
      </c>
      <c r="O97" s="110"/>
      <c r="Q97" s="643">
        <f t="shared" si="222"/>
        <v>24558</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10320</v>
      </c>
      <c r="J98" s="220">
        <f>SUM(J96:J97)</f>
        <v>67015</v>
      </c>
      <c r="K98" s="220">
        <f>SUM(K96:K97)</f>
        <v>44100</v>
      </c>
      <c r="L98" s="220">
        <f>SUM(L96:L97)</f>
        <v>0</v>
      </c>
      <c r="M98" s="220">
        <f t="shared" si="221"/>
        <v>121435</v>
      </c>
      <c r="O98" s="110"/>
      <c r="Q98" s="643">
        <f t="shared" si="222"/>
        <v>121435</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1031</v>
      </c>
      <c r="K99" s="220">
        <f>DA48</f>
        <v>0</v>
      </c>
      <c r="L99" s="220">
        <f>DB48</f>
        <v>0</v>
      </c>
      <c r="M99" s="220">
        <f t="shared" si="221"/>
        <v>1031</v>
      </c>
      <c r="O99" s="110"/>
      <c r="Q99" s="643">
        <f t="shared" si="222"/>
        <v>1031</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10320</v>
      </c>
      <c r="J100" s="220">
        <f>SUM(J98:J99)</f>
        <v>68046</v>
      </c>
      <c r="K100" s="220">
        <f>SUM(K98:K99)</f>
        <v>44100</v>
      </c>
      <c r="L100" s="220">
        <f>SUM(L98:L99)</f>
        <v>0</v>
      </c>
      <c r="M100" s="220">
        <f t="shared" si="221"/>
        <v>122466</v>
      </c>
      <c r="O100" s="110"/>
      <c r="Q100" s="643">
        <f t="shared" si="222"/>
        <v>122466</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5">
        <f>0.02*L49</f>
        <v>18914.16</v>
      </c>
      <c r="H104" s="1536"/>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v>16257</v>
      </c>
      <c r="H114" s="1537">
        <v>16868</v>
      </c>
      <c r="I114" s="1537">
        <v>17498</v>
      </c>
      <c r="J114" s="1537">
        <v>18146</v>
      </c>
      <c r="K114" s="1538">
        <v>18814</v>
      </c>
      <c r="L114" s="1537">
        <v>15602</v>
      </c>
      <c r="M114" s="1537">
        <v>16168</v>
      </c>
      <c r="N114" s="1537">
        <v>12564</v>
      </c>
      <c r="O114" s="1537">
        <v>8677</v>
      </c>
      <c r="P114" s="1537">
        <v>4493</v>
      </c>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16257</v>
      </c>
      <c r="H116" s="39">
        <f t="shared" si="224"/>
        <v>16868</v>
      </c>
      <c r="I116" s="39">
        <f t="shared" si="224"/>
        <v>17498</v>
      </c>
      <c r="J116" s="39">
        <f t="shared" si="224"/>
        <v>18146</v>
      </c>
      <c r="K116" s="39">
        <f t="shared" si="224"/>
        <v>18814</v>
      </c>
      <c r="L116" s="39">
        <f t="shared" si="224"/>
        <v>15602</v>
      </c>
      <c r="M116" s="39">
        <f t="shared" si="224"/>
        <v>16168</v>
      </c>
      <c r="N116" s="39">
        <f t="shared" si="224"/>
        <v>12564</v>
      </c>
      <c r="O116" s="39">
        <f t="shared" si="224"/>
        <v>8677</v>
      </c>
      <c r="P116" s="39">
        <f t="shared" si="224"/>
        <v>4493</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2717</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76010</v>
      </c>
      <c r="G141" s="1545"/>
      <c r="H141" s="2"/>
      <c r="I141" s="2" t="s">
        <v>1946</v>
      </c>
      <c r="J141" s="2"/>
      <c r="K141" s="1544"/>
      <c r="L141" s="1545"/>
      <c r="M141" s="2"/>
      <c r="N141" s="2" t="s">
        <v>1423</v>
      </c>
      <c r="O141" s="2"/>
      <c r="P141" s="1546">
        <v>79784</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62570</v>
      </c>
      <c r="G142" s="1545"/>
      <c r="H142" s="2"/>
      <c r="I142" s="2" t="s">
        <v>1947</v>
      </c>
      <c r="J142" s="2"/>
      <c r="K142" s="1544">
        <v>900</v>
      </c>
      <c r="L142" s="1545"/>
      <c r="M142" s="2"/>
      <c r="N142" s="2" t="s">
        <v>182</v>
      </c>
      <c r="O142" s="2"/>
      <c r="P142" s="1546">
        <v>34870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v>20000</v>
      </c>
      <c r="G143" s="1545"/>
      <c r="H143" s="2"/>
      <c r="I143" s="2"/>
      <c r="J143" s="169" t="s">
        <v>230</v>
      </c>
      <c r="K143" s="1089">
        <f>SUM(K141:L142)</f>
        <v>900</v>
      </c>
      <c r="L143" s="1090"/>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114654</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158580</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49340</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12415</v>
      </c>
      <c r="G148" s="1545"/>
      <c r="H148" s="2"/>
      <c r="I148" s="2" t="s">
        <v>2211</v>
      </c>
      <c r="J148" s="2"/>
      <c r="K148" s="1555">
        <v>1500</v>
      </c>
      <c r="L148" s="1556"/>
      <c r="M148" s="2"/>
      <c r="N148" s="595">
        <f>+P147/(M62*0.93)</f>
        <v>465.38388983210712</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4800</v>
      </c>
      <c r="G149" s="1545"/>
      <c r="H149" s="2"/>
      <c r="I149" s="2" t="s">
        <v>2935</v>
      </c>
      <c r="J149" s="2"/>
      <c r="K149" s="1557">
        <v>25600</v>
      </c>
      <c r="L149" s="1558"/>
      <c r="M149" s="2"/>
      <c r="N149" s="595">
        <f>+P147/(M62*0.93)/12</f>
        <v>38.781990819342262</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1800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v>3000</v>
      </c>
      <c r="G151" s="1545"/>
      <c r="H151" s="2"/>
      <c r="I151" s="1547" t="s">
        <v>57</v>
      </c>
      <c r="J151" s="1548"/>
      <c r="K151" s="1555"/>
      <c r="L151" s="1556"/>
      <c r="M151" s="2"/>
      <c r="N151" s="1083" t="s">
        <v>3465</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11381</v>
      </c>
      <c r="G152" s="1545"/>
      <c r="H152" s="2"/>
      <c r="I152" s="11"/>
      <c r="J152" s="13" t="s">
        <v>230</v>
      </c>
      <c r="K152" s="1087">
        <f>SUM(K148:K151)</f>
        <v>28900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31596</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4700</v>
      </c>
      <c r="G157" s="1560"/>
      <c r="H157" s="2"/>
      <c r="I157" s="2" t="s">
        <v>1936</v>
      </c>
      <c r="J157" s="630">
        <f>K157/12/$M$62</f>
        <v>22.463450292397663</v>
      </c>
      <c r="K157" s="1557">
        <v>30730</v>
      </c>
      <c r="L157" s="1558"/>
      <c r="M157" s="2"/>
      <c r="N157" s="364">
        <f>+$P$157/$M$62</f>
        <v>4400.3508771929828</v>
      </c>
      <c r="O157" s="30" t="s">
        <v>1974</v>
      </c>
      <c r="P157" s="631">
        <f>F145+F154+F165+K143+K152+K162+P144+P147</f>
        <v>501640</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27400</v>
      </c>
      <c r="G159" s="1560"/>
      <c r="H159" s="2"/>
      <c r="I159" s="2" t="s">
        <v>3316</v>
      </c>
      <c r="J159" s="630">
        <f>K159/12/$M$62</f>
        <v>13.304093567251464</v>
      </c>
      <c r="K159" s="1557">
        <v>18200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2640</v>
      </c>
      <c r="G160" s="1545"/>
      <c r="H160" s="2"/>
      <c r="I160" s="2" t="s">
        <v>1939</v>
      </c>
      <c r="J160" s="2"/>
      <c r="K160" s="1557">
        <v>22000</v>
      </c>
      <c r="L160" s="1558"/>
      <c r="M160" s="2"/>
      <c r="N160" s="11" t="s">
        <v>1796</v>
      </c>
      <c r="O160" s="11"/>
      <c r="P160" s="632">
        <f>P161*M62</f>
        <v>43206</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6000</v>
      </c>
      <c r="G161" s="1545"/>
      <c r="H161" s="2"/>
      <c r="I161" s="1547" t="s">
        <v>4040</v>
      </c>
      <c r="J161" s="1548"/>
      <c r="K161" s="1555">
        <v>2400</v>
      </c>
      <c r="L161" s="1556"/>
      <c r="M161" s="2"/>
      <c r="N161" s="30" t="s">
        <v>639</v>
      </c>
      <c r="O161" s="2"/>
      <c r="P161" s="1561">
        <v>379</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087">
        <f>SUM(K157:K161)</f>
        <v>73330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3600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44340</v>
      </c>
      <c r="G165" s="1086"/>
      <c r="H165" s="2"/>
      <c r="I165" s="2"/>
      <c r="J165" s="14"/>
      <c r="K165" s="2"/>
      <c r="L165" s="2"/>
      <c r="M165" s="2"/>
      <c r="N165" s="2"/>
      <c r="O165" s="2"/>
      <c r="P165" s="631">
        <f>P157+P160</f>
        <v>544846</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4108</v>
      </c>
      <c r="B168" s="1361"/>
      <c r="C168" s="1361"/>
      <c r="D168" s="1361"/>
      <c r="E168" s="1361"/>
      <c r="F168" s="1361"/>
      <c r="G168" s="1361"/>
      <c r="H168" s="1361"/>
      <c r="I168" s="1361"/>
      <c r="J168" s="1362"/>
      <c r="K168" s="1363"/>
      <c r="L168" s="1364"/>
      <c r="M168" s="1364"/>
      <c r="N168" s="1364"/>
      <c r="O168" s="1364"/>
      <c r="P168" s="1365"/>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A10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2012-008 Savannah Gardens Phase IV, Savannah, Chatham County</v>
      </c>
      <c r="B1" s="1108"/>
      <c r="C1" s="1108"/>
      <c r="D1" s="1108"/>
      <c r="E1" s="1108"/>
      <c r="F1" s="1108"/>
      <c r="G1" s="1108"/>
      <c r="H1" s="1108"/>
      <c r="I1" s="1108"/>
      <c r="J1" s="1108"/>
      <c r="K1" s="1109"/>
      <c r="L1" s="11"/>
      <c r="M1" s="1105" t="str">
        <f>A1</f>
        <v>PART SEVEN - OPERATING PRO FORMA  -  2012-008 Savannah Gardens Phase IV, Savannah, Chatham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5700</v>
      </c>
      <c r="H5" s="128" t="s">
        <v>2785</v>
      </c>
      <c r="K5" s="133">
        <f>IF(($B$14+$B$15+$B$16+$B$17)=0,"",-B28/($B$14+$B$15+$B$16+$B$17))</f>
        <v>6.353816563849742E-3</v>
      </c>
      <c r="M5" s="1460"/>
      <c r="N5" s="1461"/>
    </row>
    <row r="6" spans="1:15">
      <c r="A6" s="19" t="s">
        <v>3084</v>
      </c>
      <c r="B6" s="105">
        <v>0.03</v>
      </c>
      <c r="C6" s="19"/>
      <c r="D6" s="19" t="s">
        <v>1270</v>
      </c>
      <c r="F6" s="19"/>
      <c r="G6" s="1562"/>
      <c r="H6" s="128" t="s">
        <v>3346</v>
      </c>
      <c r="K6" s="133" t="e">
        <f>IF(($B$14+$B$15+$B$16+$B$17)=0,"",-#REF!/($B$14+$B$15+$B$16+$B$17))</f>
        <v>#REF!</v>
      </c>
      <c r="M6" s="1462"/>
      <c r="N6" s="1463"/>
    </row>
    <row r="7" spans="1:15">
      <c r="A7" s="19" t="s">
        <v>3086</v>
      </c>
      <c r="B7" s="105">
        <v>0.03</v>
      </c>
      <c r="C7" s="19"/>
      <c r="D7" s="107" t="s">
        <v>332</v>
      </c>
      <c r="G7" s="109"/>
      <c r="H7" s="128" t="s">
        <v>3347</v>
      </c>
      <c r="K7" s="133">
        <f>IF(($B$14+$B$15+$B$16+$B$17)=0,"",-B20/($B$14+$B$15+$B$16+$B$17))</f>
        <v>5.4999527940411623E-2</v>
      </c>
      <c r="M7" s="1462"/>
      <c r="N7" s="1463"/>
    </row>
    <row r="8" spans="1:15" ht="13.15" customHeight="1">
      <c r="A8" s="19" t="s">
        <v>3085</v>
      </c>
      <c r="B8" s="1563">
        <v>7.0000000000000007E-2</v>
      </c>
      <c r="C8" s="19"/>
      <c r="D8" s="106" t="s">
        <v>3517</v>
      </c>
      <c r="G8" s="1564" t="s">
        <v>3983</v>
      </c>
      <c r="H8" s="230" t="s">
        <v>2028</v>
      </c>
      <c r="K8" s="1565"/>
      <c r="M8" s="1462"/>
      <c r="N8" s="1463"/>
    </row>
    <row r="9" spans="1:15">
      <c r="A9" s="19" t="s">
        <v>1992</v>
      </c>
      <c r="B9" s="105">
        <v>0.02</v>
      </c>
      <c r="D9" s="106" t="s">
        <v>2570</v>
      </c>
      <c r="G9" s="1564" t="s">
        <v>3975</v>
      </c>
      <c r="H9" s="230" t="s">
        <v>3322</v>
      </c>
      <c r="K9" s="1566">
        <v>5.5E-2</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945708</v>
      </c>
      <c r="C14" s="22">
        <f t="shared" ref="C14:K14" si="1">$B$14*(1+$B$5)^(C13-1)</f>
        <v>964622.16</v>
      </c>
      <c r="D14" s="22">
        <f t="shared" si="1"/>
        <v>983914.60320000001</v>
      </c>
      <c r="E14" s="22">
        <f t="shared" si="1"/>
        <v>1003592.8952639999</v>
      </c>
      <c r="F14" s="22">
        <f t="shared" si="1"/>
        <v>1023664.75316928</v>
      </c>
      <c r="G14" s="22">
        <f t="shared" si="1"/>
        <v>1044138.0482326656</v>
      </c>
      <c r="H14" s="22">
        <f t="shared" si="1"/>
        <v>1065020.809197319</v>
      </c>
      <c r="I14" s="22">
        <f t="shared" si="1"/>
        <v>1086321.2253812652</v>
      </c>
      <c r="J14" s="22">
        <f t="shared" si="1"/>
        <v>1108047.6498888906</v>
      </c>
      <c r="K14" s="23">
        <f t="shared" si="1"/>
        <v>1130208.6028866684</v>
      </c>
      <c r="M14" s="1460"/>
      <c r="N14" s="1461"/>
    </row>
    <row r="15" spans="1:15" ht="13.15" customHeight="1">
      <c r="A15" s="24" t="s">
        <v>1519</v>
      </c>
      <c r="B15" s="25">
        <f>MIN(B14*B9,'Part VI-Revenues &amp; Expenses'!G104)</f>
        <v>18914.16</v>
      </c>
      <c r="C15" s="25">
        <f t="shared" ref="C15:K15" si="2">$B$15*(1+$B$5)^(C13-1)</f>
        <v>19292.443200000002</v>
      </c>
      <c r="D15" s="25">
        <f t="shared" si="2"/>
        <v>19678.292064000001</v>
      </c>
      <c r="E15" s="25">
        <f t="shared" si="2"/>
        <v>20071.857905279998</v>
      </c>
      <c r="F15" s="25">
        <f t="shared" si="2"/>
        <v>20473.295063385598</v>
      </c>
      <c r="G15" s="25">
        <f t="shared" si="2"/>
        <v>20882.760964653313</v>
      </c>
      <c r="H15" s="25">
        <f t="shared" si="2"/>
        <v>21300.416183946378</v>
      </c>
      <c r="I15" s="25">
        <f t="shared" si="2"/>
        <v>21726.424507625303</v>
      </c>
      <c r="J15" s="25">
        <f t="shared" si="2"/>
        <v>22160.952997777811</v>
      </c>
      <c r="K15" s="26">
        <f t="shared" si="2"/>
        <v>22604.172057733365</v>
      </c>
      <c r="M15" s="1462"/>
      <c r="N15" s="1463"/>
    </row>
    <row r="16" spans="1:15" ht="13.15" customHeight="1">
      <c r="A16" s="24" t="s">
        <v>3385</v>
      </c>
      <c r="B16" s="25">
        <f t="shared" ref="B16:K16" si="3">-(B14+B15)*$B$8</f>
        <v>-67523.551200000002</v>
      </c>
      <c r="C16" s="25">
        <f t="shared" si="3"/>
        <v>-68874.022224</v>
      </c>
      <c r="D16" s="25">
        <f t="shared" si="3"/>
        <v>-70251.50266848001</v>
      </c>
      <c r="E16" s="25">
        <f t="shared" si="3"/>
        <v>-71656.532721849595</v>
      </c>
      <c r="F16" s="25">
        <f t="shared" si="3"/>
        <v>-73089.663376286597</v>
      </c>
      <c r="G16" s="25">
        <f t="shared" si="3"/>
        <v>-74551.456643812329</v>
      </c>
      <c r="H16" s="25">
        <f t="shared" si="3"/>
        <v>-76042.485776688583</v>
      </c>
      <c r="I16" s="25">
        <f t="shared" si="3"/>
        <v>-77563.335492222352</v>
      </c>
      <c r="J16" s="25">
        <f t="shared" si="3"/>
        <v>-79114.602202066802</v>
      </c>
      <c r="K16" s="26">
        <f t="shared" si="3"/>
        <v>-80696.894246108131</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16257</v>
      </c>
      <c r="C18" s="25">
        <f>'Part VI-Revenues &amp; Expenses'!H116</f>
        <v>16868</v>
      </c>
      <c r="D18" s="25">
        <f>'Part VI-Revenues &amp; Expenses'!I116</f>
        <v>17498</v>
      </c>
      <c r="E18" s="25">
        <f>'Part VI-Revenues &amp; Expenses'!J116</f>
        <v>18146</v>
      </c>
      <c r="F18" s="25">
        <f>'Part VI-Revenues &amp; Expenses'!K116</f>
        <v>18814</v>
      </c>
      <c r="G18" s="25">
        <f>'Part VI-Revenues &amp; Expenses'!L116</f>
        <v>15602</v>
      </c>
      <c r="H18" s="25">
        <f>'Part VI-Revenues &amp; Expenses'!M116</f>
        <v>16168</v>
      </c>
      <c r="I18" s="25">
        <f>'Part VI-Revenues &amp; Expenses'!N116</f>
        <v>12564</v>
      </c>
      <c r="J18" s="25">
        <f>'Part VI-Revenues &amp; Expenses'!O116</f>
        <v>8677</v>
      </c>
      <c r="K18" s="26">
        <f>'Part VI-Revenues &amp; Expenses'!P116</f>
        <v>4493</v>
      </c>
      <c r="M18" s="1462"/>
      <c r="N18" s="1463"/>
    </row>
    <row r="19" spans="1:14" ht="13.15" customHeight="1">
      <c r="A19" s="24" t="s">
        <v>871</v>
      </c>
      <c r="B19" s="25">
        <f>-('Part VI-Revenues &amp; Expenses'!P157-'Part VI-Revenues &amp; Expenses'!P147)</f>
        <v>-452300</v>
      </c>
      <c r="C19" s="25">
        <f t="shared" ref="C19:K19" si="4">$B$19*(1+$B$6)^(C13-1)</f>
        <v>-465869</v>
      </c>
      <c r="D19" s="25">
        <f t="shared" si="4"/>
        <v>-479845.07</v>
      </c>
      <c r="E19" s="25">
        <f t="shared" si="4"/>
        <v>-494240.42210000003</v>
      </c>
      <c r="F19" s="25">
        <f t="shared" si="4"/>
        <v>-509067.63476299995</v>
      </c>
      <c r="G19" s="25">
        <f t="shared" si="4"/>
        <v>-524339.6638058899</v>
      </c>
      <c r="H19" s="25">
        <f t="shared" si="4"/>
        <v>-540069.8537200666</v>
      </c>
      <c r="I19" s="25">
        <f t="shared" si="4"/>
        <v>-556271.94933166867</v>
      </c>
      <c r="J19" s="25">
        <f t="shared" si="4"/>
        <v>-572960.10781161871</v>
      </c>
      <c r="K19" s="26">
        <f t="shared" si="4"/>
        <v>-590148.91104596725</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-49340</v>
      </c>
      <c r="C20" s="25">
        <f>IF(AND('Part VII-Pro Forma'!$G$8="Yes",'Part VII-Pro Forma'!$G$9="Yes"),"Choose One!",IF('Part VII-Pro Forma'!$G$8="Yes",ROUND((-$K$8*(1+'Part VII-Pro Forma'!$B$6)^('Part VII-Pro Forma'!C13-1)),),IF('Part VII-Pro Forma'!$G$9="Yes",ROUND((-(SUM(C14:C17)*'Part VII-Pro Forma'!$K$9)),),"Choose mgt fee")))</f>
        <v>-50327</v>
      </c>
      <c r="D20" s="25">
        <f>IF(AND('Part VII-Pro Forma'!$G$8="Yes",'Part VII-Pro Forma'!$G$9="Yes"),"Choose One!",IF('Part VII-Pro Forma'!$G$8="Yes",ROUND((-$K$8*(1+'Part VII-Pro Forma'!$B$6)^('Part VII-Pro Forma'!D13-1)),),IF('Part VII-Pro Forma'!$G$9="Yes",ROUND((-(SUM(D14:D17)*'Part VII-Pro Forma'!$K$9)),),"Choose mgt fee")))</f>
        <v>-51334</v>
      </c>
      <c r="E20" s="25">
        <f>IF(AND('Part VII-Pro Forma'!$G$8="Yes",'Part VII-Pro Forma'!$G$9="Yes"),"Choose One!",IF('Part VII-Pro Forma'!$G$8="Yes",ROUND((-$K$8*(1+'Part VII-Pro Forma'!$B$6)^('Part VII-Pro Forma'!E13-1)),),IF('Part VII-Pro Forma'!$G$9="Yes",ROUND((-(SUM(E14:E17)*'Part VII-Pro Forma'!$K$9)),),"Choose mgt fee")))</f>
        <v>-52360</v>
      </c>
      <c r="F20" s="25">
        <f>IF(AND('Part VII-Pro Forma'!$G$8="Yes",'Part VII-Pro Forma'!$G$9="Yes"),"Choose One!",IF('Part VII-Pro Forma'!$G$8="Yes",ROUND((-$K$8*(1+'Part VII-Pro Forma'!$B$6)^('Part VII-Pro Forma'!F13-1)),),IF('Part VII-Pro Forma'!$G$9="Yes",ROUND((-(SUM(F14:F17)*'Part VII-Pro Forma'!$K$9)),),"Choose mgt fee")))</f>
        <v>-53408</v>
      </c>
      <c r="G20" s="25">
        <f>IF(AND('Part VII-Pro Forma'!$G$8="Yes",'Part VII-Pro Forma'!$G$9="Yes"),"Choose One!",IF('Part VII-Pro Forma'!$G$8="Yes",ROUND((-$K$8*(1+'Part VII-Pro Forma'!$B$6)^('Part VII-Pro Forma'!G13-1)),),IF('Part VII-Pro Forma'!$G$9="Yes",ROUND((-(SUM(G14:G17)*'Part VII-Pro Forma'!$K$9)),),"Choose mgt fee")))</f>
        <v>-54476</v>
      </c>
      <c r="H20" s="25">
        <f>IF(AND('Part VII-Pro Forma'!$G$8="Yes",'Part VII-Pro Forma'!$G$9="Yes"),"Choose One!",IF('Part VII-Pro Forma'!$G$8="Yes",ROUND((-$K$8*(1+'Part VII-Pro Forma'!$B$6)^('Part VII-Pro Forma'!H13-1)),),IF('Part VII-Pro Forma'!$G$9="Yes",ROUND((-(SUM(H14:H17)*'Part VII-Pro Forma'!$K$9)),),"Choose mgt fee")))</f>
        <v>-55565</v>
      </c>
      <c r="I20" s="25">
        <f>IF(AND('Part VII-Pro Forma'!$G$8="Yes",'Part VII-Pro Forma'!$G$9="Yes"),"Choose One!",IF('Part VII-Pro Forma'!$G$8="Yes",ROUND((-$K$8*(1+'Part VII-Pro Forma'!$B$6)^('Part VII-Pro Forma'!I13-1)),),IF('Part VII-Pro Forma'!$G$9="Yes",ROUND((-(SUM(I14:I17)*'Part VII-Pro Forma'!$K$9)),),"Choose mgt fee")))</f>
        <v>-56677</v>
      </c>
      <c r="J20" s="25">
        <f>IF(AND('Part VII-Pro Forma'!$G$8="Yes",'Part VII-Pro Forma'!$G$9="Yes"),"Choose One!",IF('Part VII-Pro Forma'!$G$8="Yes",ROUND((-$K$8*(1+'Part VII-Pro Forma'!$B$6)^('Part VII-Pro Forma'!J13-1)),),IF('Part VII-Pro Forma'!$G$9="Yes",ROUND((-(SUM(J14:J17)*'Part VII-Pro Forma'!$K$9)),),"Choose mgt fee")))</f>
        <v>-57810</v>
      </c>
      <c r="K20" s="25">
        <f>IF(AND('Part VII-Pro Forma'!$G$8="Yes",'Part VII-Pro Forma'!$G$9="Yes"),"Choose One!",IF('Part VII-Pro Forma'!$G$8="Yes",ROUND((-$K$8*(1+'Part VII-Pro Forma'!$B$6)^('Part VII-Pro Forma'!K13-1)),),IF('Part VII-Pro Forma'!$G$9="Yes",ROUND((-(SUM(K14:K17)*'Part VII-Pro Forma'!$K$9)),),"Choose mgt fee")))</f>
        <v>-58966</v>
      </c>
      <c r="M20" s="1462"/>
      <c r="N20" s="1463"/>
    </row>
    <row r="21" spans="1:14" ht="13.15" customHeight="1">
      <c r="A21" s="24" t="s">
        <v>1739</v>
      </c>
      <c r="B21" s="25">
        <f>-('Part VI-Revenues &amp; Expenses'!P160)</f>
        <v>-43206</v>
      </c>
      <c r="C21" s="25">
        <f t="shared" ref="C21:K21" si="5">$B$21*(1+$B$7)^(C13-1)</f>
        <v>-44502.18</v>
      </c>
      <c r="D21" s="25">
        <f t="shared" si="5"/>
        <v>-45837.2454</v>
      </c>
      <c r="E21" s="25">
        <f t="shared" si="5"/>
        <v>-47212.362761999997</v>
      </c>
      <c r="F21" s="25">
        <f t="shared" si="5"/>
        <v>-48628.733644859996</v>
      </c>
      <c r="G21" s="25">
        <f t="shared" si="5"/>
        <v>-50087.59565420579</v>
      </c>
      <c r="H21" s="25">
        <f t="shared" si="5"/>
        <v>-51590.22352383197</v>
      </c>
      <c r="I21" s="25">
        <f t="shared" si="5"/>
        <v>-53137.930229546932</v>
      </c>
      <c r="J21" s="25">
        <f t="shared" si="5"/>
        <v>-54732.068136433336</v>
      </c>
      <c r="K21" s="26">
        <f t="shared" si="5"/>
        <v>-56374.030180526337</v>
      </c>
      <c r="M21" s="1462"/>
      <c r="N21" s="1463"/>
    </row>
    <row r="22" spans="1:14" ht="13.15" customHeight="1">
      <c r="A22" s="24" t="s">
        <v>1740</v>
      </c>
      <c r="B22" s="25">
        <f t="shared" ref="B22:K22" si="6">SUM(B14:B21)</f>
        <v>368509.60880000005</v>
      </c>
      <c r="C22" s="25">
        <f t="shared" si="6"/>
        <v>371210.40097600006</v>
      </c>
      <c r="D22" s="25">
        <f t="shared" si="6"/>
        <v>373823.07719551999</v>
      </c>
      <c r="E22" s="25">
        <f t="shared" si="6"/>
        <v>376341.43558543024</v>
      </c>
      <c r="F22" s="25">
        <f t="shared" si="6"/>
        <v>378758.01644851908</v>
      </c>
      <c r="G22" s="25">
        <f t="shared" si="6"/>
        <v>377168.09309341095</v>
      </c>
      <c r="H22" s="25">
        <f t="shared" si="6"/>
        <v>379221.66236067825</v>
      </c>
      <c r="I22" s="25">
        <f t="shared" si="6"/>
        <v>376961.43483545264</v>
      </c>
      <c r="J22" s="25">
        <f t="shared" si="6"/>
        <v>374268.82473654969</v>
      </c>
      <c r="K22" s="26">
        <f t="shared" si="6"/>
        <v>371119.93947180011</v>
      </c>
      <c r="M22" s="1462"/>
      <c r="N22" s="1463"/>
    </row>
    <row r="23" spans="1:14" ht="13.15" customHeight="1">
      <c r="A23" s="678" t="s">
        <v>2195</v>
      </c>
      <c r="B23" s="1567">
        <f>IF('Part III A-Sources of Funds'!$M$32="", 0,-'Part III A-Sources of Funds'!$M$32)</f>
        <v>-299596.27127579704</v>
      </c>
      <c r="C23" s="1567">
        <f>IF('Part III A-Sources of Funds'!$M$32="", 0,-'Part III A-Sources of Funds'!$M$32)</f>
        <v>-299596.27127579704</v>
      </c>
      <c r="D23" s="1567">
        <f>IF('Part III A-Sources of Funds'!$M$32="", 0,-'Part III A-Sources of Funds'!$M$32)</f>
        <v>-299596.27127579704</v>
      </c>
      <c r="E23" s="1567">
        <f>IF('Part III A-Sources of Funds'!$M$32="", 0,-'Part III A-Sources of Funds'!$M$32)</f>
        <v>-299596.27127579704</v>
      </c>
      <c r="F23" s="1567">
        <f>IF('Part III A-Sources of Funds'!$M$32="", 0,-'Part III A-Sources of Funds'!$M$32)</f>
        <v>-299596.27127579704</v>
      </c>
      <c r="G23" s="1567">
        <f>IF('Part III A-Sources of Funds'!$M$32="", 0,-'Part III A-Sources of Funds'!$M$32)</f>
        <v>-299596.27127579704</v>
      </c>
      <c r="H23" s="1567">
        <f>IF('Part III A-Sources of Funds'!$M$32="", 0,-'Part III A-Sources of Funds'!$M$32)</f>
        <v>-299596.27127579704</v>
      </c>
      <c r="I23" s="1567">
        <f>IF('Part III A-Sources of Funds'!$M$32="", 0,-'Part III A-Sources of Funds'!$M$32)</f>
        <v>-299596.27127579704</v>
      </c>
      <c r="J23" s="1567">
        <f>IF('Part III A-Sources of Funds'!$M$32="", 0,-'Part III A-Sources of Funds'!$M$32)</f>
        <v>-299596.27127579704</v>
      </c>
      <c r="K23" s="1567">
        <f>IF('Part III A-Sources of Funds'!$M$32="", 0,-'Part III A-Sources of Funds'!$M$32)</f>
        <v>-299596.27127579704</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-5700</v>
      </c>
      <c r="C28" s="1568">
        <v>-5871</v>
      </c>
      <c r="D28" s="1568">
        <v>-6047</v>
      </c>
      <c r="E28" s="1568">
        <v>-6229</v>
      </c>
      <c r="F28" s="1568">
        <v>-6415</v>
      </c>
      <c r="G28" s="1568">
        <v>-6608</v>
      </c>
      <c r="H28" s="1568">
        <v>-6806</v>
      </c>
      <c r="I28" s="1568">
        <v>-7010</v>
      </c>
      <c r="J28" s="1568">
        <v>-7221</v>
      </c>
      <c r="K28" s="1568">
        <v>-7437</v>
      </c>
      <c r="M28" s="1462"/>
      <c r="N28" s="1463"/>
    </row>
    <row r="29" spans="1:14" ht="13.15" customHeight="1">
      <c r="A29" s="24" t="s">
        <v>1741</v>
      </c>
      <c r="B29" s="1570">
        <v>-63000</v>
      </c>
      <c r="C29" s="1570">
        <v>-65000</v>
      </c>
      <c r="D29" s="1570">
        <v>-68000</v>
      </c>
      <c r="E29" s="1570">
        <v>-70000</v>
      </c>
      <c r="F29" s="1570">
        <v>-72000</v>
      </c>
      <c r="G29" s="1570">
        <v>-70000</v>
      </c>
      <c r="H29" s="1570">
        <v>-21475</v>
      </c>
      <c r="I29" s="1570"/>
      <c r="J29" s="1570"/>
      <c r="K29" s="1570"/>
      <c r="M29" s="1462"/>
      <c r="N29" s="1463"/>
    </row>
    <row r="30" spans="1:14" ht="13.15" customHeight="1">
      <c r="A30" s="24" t="s">
        <v>1687</v>
      </c>
      <c r="B30" s="25">
        <f t="shared" ref="B30:K30" si="7">SUM(B22:B29)</f>
        <v>213.33752420300152</v>
      </c>
      <c r="C30" s="25">
        <f t="shared" si="7"/>
        <v>743.12970020301873</v>
      </c>
      <c r="D30" s="25">
        <f t="shared" si="7"/>
        <v>179.80591972294496</v>
      </c>
      <c r="E30" s="25">
        <f t="shared" si="7"/>
        <v>516.16430963319726</v>
      </c>
      <c r="F30" s="25">
        <f t="shared" si="7"/>
        <v>746.74517272203229</v>
      </c>
      <c r="G30" s="25">
        <f t="shared" si="7"/>
        <v>963.8218176139053</v>
      </c>
      <c r="H30" s="25">
        <f t="shared" si="7"/>
        <v>51344.391084881208</v>
      </c>
      <c r="I30" s="25">
        <f t="shared" si="7"/>
        <v>70355.163559655601</v>
      </c>
      <c r="J30" s="25">
        <f t="shared" si="7"/>
        <v>67451.55346075265</v>
      </c>
      <c r="K30" s="26">
        <f t="shared" si="7"/>
        <v>64086.668196003069</v>
      </c>
      <c r="M30" s="1462"/>
      <c r="N30" s="1463"/>
    </row>
    <row r="31" spans="1:14" ht="13.15" customHeight="1">
      <c r="A31" s="24" t="str">
        <f>IF('Part III A-Sources of Funds'!$E$32 = "Neither", "", "DCR Mortgage A")</f>
        <v>DCR Mortgage A</v>
      </c>
      <c r="B31" s="27">
        <f>IF(B23=0,"",-B22/B23)</f>
        <v>1.2300206782639294</v>
      </c>
      <c r="C31" s="27">
        <f t="shared" ref="C31:K31" si="8">IF(C23=0,"",-C22/C23)</f>
        <v>1.2390354505923664</v>
      </c>
      <c r="D31" s="27">
        <f t="shared" si="8"/>
        <v>1.247756107256063</v>
      </c>
      <c r="E31" s="27">
        <f t="shared" si="8"/>
        <v>1.2561619474862706</v>
      </c>
      <c r="F31" s="27">
        <f t="shared" si="8"/>
        <v>1.2642280721172552</v>
      </c>
      <c r="G31" s="27">
        <f t="shared" si="8"/>
        <v>1.2589211857920761</v>
      </c>
      <c r="H31" s="27">
        <f t="shared" si="8"/>
        <v>1.2657756411513583</v>
      </c>
      <c r="I31" s="27">
        <f t="shared" si="8"/>
        <v>1.2582313966399006</v>
      </c>
      <c r="J31" s="27">
        <f t="shared" si="8"/>
        <v>1.2492439346550208</v>
      </c>
      <c r="K31" s="28">
        <f t="shared" si="8"/>
        <v>1.2387335058992142</v>
      </c>
      <c r="M31" s="1462"/>
      <c r="N31" s="1463"/>
    </row>
    <row r="32" spans="1:14" ht="13.15" customHeight="1">
      <c r="A32" s="24" t="str">
        <f>IF('Part III A-Sources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62"/>
      <c r="N32" s="1463"/>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62"/>
      <c r="N33" s="1463"/>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62"/>
      <c r="N34" s="1463"/>
    </row>
    <row r="35" spans="1:14" ht="13.15" customHeight="1">
      <c r="A35" s="24" t="s">
        <v>1250</v>
      </c>
      <c r="B35" s="378">
        <f>IF(OR(B20="Choose mgt fee",B20="Choose One!"),"",(B14+B15+B16+B17+B18) / -(B19+B20+B21))</f>
        <v>1.6763555367938832</v>
      </c>
      <c r="C35" s="378">
        <f t="shared" ref="C35:K35" si="12">IF(OR(C20="Choose mgt fee",C20="Choose One!"),"",(C14+C15+C16+C17+C18) / -(C19+C20+C21))</f>
        <v>1.6620503048110482</v>
      </c>
      <c r="D35" s="378">
        <f t="shared" si="12"/>
        <v>1.647855298400666</v>
      </c>
      <c r="E35" s="378">
        <f t="shared" si="12"/>
        <v>1.6337711904820147</v>
      </c>
      <c r="F35" s="378">
        <f t="shared" si="12"/>
        <v>1.6197926835890828</v>
      </c>
      <c r="G35" s="378">
        <f t="shared" si="12"/>
        <v>1.5997235463800972</v>
      </c>
      <c r="H35" s="378">
        <f t="shared" si="12"/>
        <v>1.5859192971563021</v>
      </c>
      <c r="I35" s="378">
        <f t="shared" si="12"/>
        <v>1.5659343343976024</v>
      </c>
      <c r="J35" s="378">
        <f t="shared" si="12"/>
        <v>1.545977588209599</v>
      </c>
      <c r="K35" s="379">
        <f t="shared" si="12"/>
        <v>1.5260464307585142</v>
      </c>
      <c r="M35" s="1462"/>
      <c r="N35" s="1463"/>
    </row>
    <row r="36" spans="1:14" ht="13.15" customHeight="1">
      <c r="A36" s="678" t="s">
        <v>3666</v>
      </c>
      <c r="B36" s="1571">
        <f>IF('Part III A-Sources of Funds'!$H$32="","",-FV('Part III A-Sources of Funds'!$J$32/12,12,B23/12,'Part III A-Sources of Funds'!$H$32))</f>
        <v>5541663.2775419373</v>
      </c>
      <c r="C36" s="1571">
        <f>IF('Part III A-Sources of Funds'!$H$32="","",-FV('Part III A-Sources of Funds'!$J$32/12,12,C23/12,B36))</f>
        <v>5487576.7286180397</v>
      </c>
      <c r="D36" s="1571">
        <f>IF('Part III A-Sources of Funds'!$H$32="","",-FV('Part III A-Sources of Funds'!$J$32/12,12,D23/12,C36))</f>
        <v>5431033.626629536</v>
      </c>
      <c r="E36" s="1571">
        <f>IF('Part III A-Sources of Funds'!$H$32="","",-FV('Part III A-Sources of Funds'!$J$32/12,12,E23/12,D36))</f>
        <v>5371922.3975699628</v>
      </c>
      <c r="F36" s="1571">
        <f>IF('Part III A-Sources of Funds'!$H$32="","",-FV('Part III A-Sources of Funds'!$J$32/12,12,F23/12,E36))</f>
        <v>5310126.3998611039</v>
      </c>
      <c r="G36" s="1571">
        <f>IF('Part III A-Sources of Funds'!$H$32="","",-FV('Part III A-Sources of Funds'!$J$32/12,12,G23/12,F36))</f>
        <v>5245523.6941893147</v>
      </c>
      <c r="H36" s="1571">
        <f>IF('Part III A-Sources of Funds'!$H$32="","",-FV('Part III A-Sources of Funds'!$J$32/12,12,H23/12,G36))</f>
        <v>5177986.80288806</v>
      </c>
      <c r="I36" s="1571">
        <f>IF('Part III A-Sources of Funds'!$H$32="","",-FV('Part III A-Sources of Funds'!$J$32/12,12,I23/12,H36))</f>
        <v>5107382.458391862</v>
      </c>
      <c r="J36" s="1571">
        <f>IF('Part III A-Sources of Funds'!$H$32="","",-FV('Part III A-Sources of Funds'!$J$32/12,12,J23/12,I36))</f>
        <v>5033571.3402652983</v>
      </c>
      <c r="K36" s="1571">
        <f>IF('Part III A-Sources of Funds'!$H$32="","",-FV('Part III A-Sources of Funds'!$J$32/12,12,K23/12,J36))</f>
        <v>4956407.800288138</v>
      </c>
      <c r="M36" s="1462"/>
      <c r="N36" s="1463"/>
    </row>
    <row r="37" spans="1:14" ht="13.15" customHeight="1">
      <c r="A37" s="678" t="s">
        <v>3667</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3">C40</f>
        <v>0</v>
      </c>
      <c r="E40" s="1568">
        <f t="shared" si="13"/>
        <v>0</v>
      </c>
      <c r="F40" s="1568">
        <f t="shared" si="13"/>
        <v>0</v>
      </c>
      <c r="G40" s="1568">
        <f t="shared" si="13"/>
        <v>0</v>
      </c>
      <c r="H40" s="1568">
        <f t="shared" si="13"/>
        <v>0</v>
      </c>
      <c r="I40" s="1568">
        <f t="shared" si="13"/>
        <v>0</v>
      </c>
      <c r="J40" s="1568">
        <f t="shared" si="13"/>
        <v>0</v>
      </c>
      <c r="K40" s="1568">
        <f t="shared" si="13"/>
        <v>0</v>
      </c>
      <c r="M40" s="1462"/>
      <c r="N40" s="1463"/>
    </row>
    <row r="41" spans="1:14" ht="13.15" customHeight="1">
      <c r="A41" s="29" t="s">
        <v>1776</v>
      </c>
      <c r="B41" s="1570">
        <f>IF('Part III A-Sources of Funds'!$H$37="","",-FV('Part III A-Sources of Funds'!$J$37/12,12,B29/12,'Part III A-Sources of Funds'!$H$37))</f>
        <v>366475</v>
      </c>
      <c r="C41" s="1570">
        <f>IF('Part III A-Sources of Funds'!$H$37="","",-FV('Part III A-Sources of Funds'!$J$37/12,12,C29/12,B41))</f>
        <v>301475</v>
      </c>
      <c r="D41" s="1570">
        <f>IF('Part III A-Sources of Funds'!$H$37="","",-FV('Part III A-Sources of Funds'!$J$37/12,12,D29/12,C41))</f>
        <v>233475</v>
      </c>
      <c r="E41" s="1570">
        <f>IF('Part III A-Sources of Funds'!$H$37="","",-FV('Part III A-Sources of Funds'!$J$37/12,12,E29/12,D41))</f>
        <v>163475</v>
      </c>
      <c r="F41" s="1570">
        <f>IF('Part III A-Sources of Funds'!$H$37="","",-FV('Part III A-Sources of Funds'!$J$37/12,12,F29/12,E41))</f>
        <v>91475</v>
      </c>
      <c r="G41" s="1570">
        <f>IF('Part III A-Sources of Funds'!$H$37="","",-FV('Part III A-Sources of Funds'!$J$37/12,12,G29/12,F41))</f>
        <v>21475</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76" t="s">
        <v>3672</v>
      </c>
      <c r="N43" s="976"/>
    </row>
    <row r="44" spans="1:14" ht="13.15" customHeight="1">
      <c r="A44" s="21" t="s">
        <v>3384</v>
      </c>
      <c r="B44" s="22">
        <f t="shared" ref="B44:K44" si="15">$B$14*(1+$B$5)^(B43-1)</f>
        <v>1152812.7749444018</v>
      </c>
      <c r="C44" s="22">
        <f t="shared" si="15"/>
        <v>1175869.0304432896</v>
      </c>
      <c r="D44" s="22">
        <f t="shared" si="15"/>
        <v>1199386.4110521555</v>
      </c>
      <c r="E44" s="22">
        <f t="shared" si="15"/>
        <v>1223374.1392731986</v>
      </c>
      <c r="F44" s="22">
        <f t="shared" si="15"/>
        <v>1247841.6220586626</v>
      </c>
      <c r="G44" s="22">
        <f t="shared" si="15"/>
        <v>1272798.4544998356</v>
      </c>
      <c r="H44" s="22">
        <f t="shared" si="15"/>
        <v>1298254.4235898326</v>
      </c>
      <c r="I44" s="22">
        <f t="shared" si="15"/>
        <v>1324219.5120616292</v>
      </c>
      <c r="J44" s="22">
        <f t="shared" si="15"/>
        <v>1350703.9023028617</v>
      </c>
      <c r="K44" s="23">
        <f t="shared" si="15"/>
        <v>1377717.9803489188</v>
      </c>
      <c r="M44" s="1460"/>
      <c r="N44" s="1461"/>
    </row>
    <row r="45" spans="1:14" ht="13.15" customHeight="1">
      <c r="A45" s="24" t="s">
        <v>1519</v>
      </c>
      <c r="B45" s="25">
        <f t="shared" ref="B45:K45" si="16">$B$15*(1+$B$5)^(B43-1)</f>
        <v>23056.255498888037</v>
      </c>
      <c r="C45" s="25">
        <f t="shared" si="16"/>
        <v>23517.380608865791</v>
      </c>
      <c r="D45" s="25">
        <f t="shared" si="16"/>
        <v>23987.728221043111</v>
      </c>
      <c r="E45" s="25">
        <f t="shared" si="16"/>
        <v>24467.482785463973</v>
      </c>
      <c r="F45" s="25">
        <f t="shared" si="16"/>
        <v>24956.832441173254</v>
      </c>
      <c r="G45" s="25">
        <f t="shared" si="16"/>
        <v>25455.96908999671</v>
      </c>
      <c r="H45" s="25">
        <f t="shared" si="16"/>
        <v>25965.088471796651</v>
      </c>
      <c r="I45" s="25">
        <f t="shared" si="16"/>
        <v>26484.390241232584</v>
      </c>
      <c r="J45" s="25">
        <f t="shared" si="16"/>
        <v>27014.078046057235</v>
      </c>
      <c r="K45" s="26">
        <f t="shared" si="16"/>
        <v>27554.359606978378</v>
      </c>
      <c r="M45" s="1462"/>
      <c r="N45" s="1463"/>
    </row>
    <row r="46" spans="1:14" ht="13.15" customHeight="1">
      <c r="A46" s="24" t="s">
        <v>3385</v>
      </c>
      <c r="B46" s="25">
        <f t="shared" ref="B46:K46" si="17">-(B44+B45)*$B$8</f>
        <v>-82310.832131030285</v>
      </c>
      <c r="C46" s="25">
        <f t="shared" si="17"/>
        <v>-83957.04877365088</v>
      </c>
      <c r="D46" s="25">
        <f t="shared" si="17"/>
        <v>-85636.189749123907</v>
      </c>
      <c r="E46" s="25">
        <f t="shared" si="17"/>
        <v>-87348.913544106385</v>
      </c>
      <c r="F46" s="25">
        <f t="shared" si="17"/>
        <v>-89095.891814988514</v>
      </c>
      <c r="G46" s="25">
        <f t="shared" si="17"/>
        <v>-90877.809651288277</v>
      </c>
      <c r="H46" s="25">
        <f t="shared" si="17"/>
        <v>-92695.365844314059</v>
      </c>
      <c r="I46" s="25">
        <f t="shared" si="17"/>
        <v>-94549.273161200326</v>
      </c>
      <c r="J46" s="25">
        <f t="shared" si="17"/>
        <v>-96440.258624424328</v>
      </c>
      <c r="K46" s="26">
        <f t="shared" si="17"/>
        <v>-98369.063796912815</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8">$B$19*(1+$B$6)^(B43-1)</f>
        <v>-607853.37837734632</v>
      </c>
      <c r="C49" s="25">
        <f t="shared" si="18"/>
        <v>-626088.97972866672</v>
      </c>
      <c r="D49" s="25">
        <f t="shared" si="18"/>
        <v>-644871.64912052662</v>
      </c>
      <c r="E49" s="25">
        <f t="shared" si="18"/>
        <v>-664217.79859414231</v>
      </c>
      <c r="F49" s="25">
        <f t="shared" si="18"/>
        <v>-684144.33255196665</v>
      </c>
      <c r="G49" s="25">
        <f t="shared" si="18"/>
        <v>-704668.66252852581</v>
      </c>
      <c r="H49" s="25">
        <f t="shared" si="18"/>
        <v>-725808.72240438138</v>
      </c>
      <c r="I49" s="25">
        <f t="shared" si="18"/>
        <v>-747582.98407651286</v>
      </c>
      <c r="J49" s="25">
        <f t="shared" si="18"/>
        <v>-770010.47359880828</v>
      </c>
      <c r="K49" s="26">
        <f t="shared" si="18"/>
        <v>-793110.78780677251</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-60146</v>
      </c>
      <c r="C50" s="25">
        <f>IF(AND('Part VII-Pro Forma'!$G$8="Yes",'Part VII-Pro Forma'!$G$9="Yes"),"Choose One!",IF('Part VII-Pro Forma'!$G$8="Yes",ROUND((-$K$8*(1+'Part VII-Pro Forma'!$B$6)^('Part VII-Pro Forma'!C43-1)),),IF('Part VII-Pro Forma'!$G$9="Yes",ROUND((-(SUM(C44:C47)*'Part VII-Pro Forma'!$K$9)),),"Choose mgt fee")))</f>
        <v>-61349</v>
      </c>
      <c r="D50" s="25">
        <f>IF(AND('Part VII-Pro Forma'!$G$8="Yes",'Part VII-Pro Forma'!$G$9="Yes"),"Choose One!",IF('Part VII-Pro Forma'!$G$8="Yes",ROUND((-$K$8*(1+'Part VII-Pro Forma'!$B$6)^('Part VII-Pro Forma'!D43-1)),),IF('Part VII-Pro Forma'!$G$9="Yes",ROUND((-(SUM(D44:D47)*'Part VII-Pro Forma'!$K$9)),),"Choose mgt fee")))</f>
        <v>-62576</v>
      </c>
      <c r="E50" s="25">
        <f>IF(AND('Part VII-Pro Forma'!$G$8="Yes",'Part VII-Pro Forma'!$G$9="Yes"),"Choose One!",IF('Part VII-Pro Forma'!$G$8="Yes",ROUND((-$K$8*(1+'Part VII-Pro Forma'!$B$6)^('Part VII-Pro Forma'!E43-1)),),IF('Part VII-Pro Forma'!$G$9="Yes",ROUND((-(SUM(E44:E47)*'Part VII-Pro Forma'!$K$9)),),"Choose mgt fee")))</f>
        <v>-63827</v>
      </c>
      <c r="F50" s="25">
        <f>IF(AND('Part VII-Pro Forma'!$G$8="Yes",'Part VII-Pro Forma'!$G$9="Yes"),"Choose One!",IF('Part VII-Pro Forma'!$G$8="Yes",ROUND((-$K$8*(1+'Part VII-Pro Forma'!$B$6)^('Part VII-Pro Forma'!F43-1)),),IF('Part VII-Pro Forma'!$G$9="Yes",ROUND((-(SUM(F44:F47)*'Part VII-Pro Forma'!$K$9)),),"Choose mgt fee")))</f>
        <v>-65104</v>
      </c>
      <c r="G50" s="25">
        <f>IF(AND('Part VII-Pro Forma'!$G$8="Yes",'Part VII-Pro Forma'!$G$9="Yes"),"Choose One!",IF('Part VII-Pro Forma'!$G$8="Yes",ROUND((-$K$8*(1+'Part VII-Pro Forma'!$B$6)^('Part VII-Pro Forma'!G43-1)),),IF('Part VII-Pro Forma'!$G$9="Yes",ROUND((-(SUM(G44:G47)*'Part VII-Pro Forma'!$K$9)),),"Choose mgt fee")))</f>
        <v>-66406</v>
      </c>
      <c r="H50" s="25">
        <f>IF(AND('Part VII-Pro Forma'!$G$8="Yes",'Part VII-Pro Forma'!$G$9="Yes"),"Choose One!",IF('Part VII-Pro Forma'!$G$8="Yes",ROUND((-$K$8*(1+'Part VII-Pro Forma'!$B$6)^('Part VII-Pro Forma'!H43-1)),),IF('Part VII-Pro Forma'!$G$9="Yes",ROUND((-(SUM(H44:H47)*'Part VII-Pro Forma'!$K$9)),),"Choose mgt fee")))</f>
        <v>-67734</v>
      </c>
      <c r="I50" s="25">
        <f>IF(AND('Part VII-Pro Forma'!$G$8="Yes",'Part VII-Pro Forma'!$G$9="Yes"),"Choose One!",IF('Part VII-Pro Forma'!$G$8="Yes",ROUND((-$K$8*(1+'Part VII-Pro Forma'!$B$6)^('Part VII-Pro Forma'!I43-1)),),IF('Part VII-Pro Forma'!$G$9="Yes",ROUND((-(SUM(I44:I47)*'Part VII-Pro Forma'!$K$9)),),"Choose mgt fee")))</f>
        <v>-69089</v>
      </c>
      <c r="J50" s="25">
        <f>IF(AND('Part VII-Pro Forma'!$G$8="Yes",'Part VII-Pro Forma'!$G$9="Yes"),"Choose One!",IF('Part VII-Pro Forma'!$G$8="Yes",ROUND((-$K$8*(1+'Part VII-Pro Forma'!$B$6)^('Part VII-Pro Forma'!J43-1)),),IF('Part VII-Pro Forma'!$G$9="Yes",ROUND((-(SUM(J44:J47)*'Part VII-Pro Forma'!$K$9)),),"Choose mgt fee")))</f>
        <v>-70470</v>
      </c>
      <c r="K50" s="25">
        <f>IF(AND('Part VII-Pro Forma'!$G$8="Yes",'Part VII-Pro Forma'!$G$9="Yes"),"Choose One!",IF('Part VII-Pro Forma'!$G$8="Yes",ROUND((-$K$8*(1+'Part VII-Pro Forma'!$B$6)^('Part VII-Pro Forma'!K43-1)),),IF('Part VII-Pro Forma'!$G$9="Yes",ROUND((-(SUM(K44:K47)*'Part VII-Pro Forma'!$K$9)),),"Choose mgt fee")))</f>
        <v>-71880</v>
      </c>
      <c r="M50" s="1462"/>
      <c r="N50" s="1463"/>
    </row>
    <row r="51" spans="1:14" ht="13.15" customHeight="1">
      <c r="A51" s="24" t="s">
        <v>1739</v>
      </c>
      <c r="B51" s="25">
        <f t="shared" ref="B51:K51" si="19">$B$21*(1+$B$7)^(B43-1)</f>
        <v>-58065.251085942124</v>
      </c>
      <c r="C51" s="25">
        <f t="shared" si="19"/>
        <v>-59807.208618520388</v>
      </c>
      <c r="D51" s="25">
        <f t="shared" si="19"/>
        <v>-61601.424877075995</v>
      </c>
      <c r="E51" s="25">
        <f t="shared" si="19"/>
        <v>-63449.467623388271</v>
      </c>
      <c r="F51" s="25">
        <f t="shared" si="19"/>
        <v>-65352.951652089927</v>
      </c>
      <c r="G51" s="25">
        <f t="shared" si="19"/>
        <v>-67313.540201652635</v>
      </c>
      <c r="H51" s="25">
        <f t="shared" si="19"/>
        <v>-69332.946407702198</v>
      </c>
      <c r="I51" s="25">
        <f t="shared" si="19"/>
        <v>-71412.934799933253</v>
      </c>
      <c r="J51" s="25">
        <f t="shared" si="19"/>
        <v>-73555.322843931266</v>
      </c>
      <c r="K51" s="26">
        <f t="shared" si="19"/>
        <v>-75761.982529249188</v>
      </c>
      <c r="M51" s="1462"/>
      <c r="N51" s="1463"/>
    </row>
    <row r="52" spans="1:14" ht="13.15" customHeight="1">
      <c r="A52" s="24" t="s">
        <v>1740</v>
      </c>
      <c r="B52" s="25">
        <f t="shared" ref="B52:K52" si="20">SUM(B44:B51)</f>
        <v>367493.56884897104</v>
      </c>
      <c r="C52" s="25">
        <f t="shared" si="20"/>
        <v>368184.1739313174</v>
      </c>
      <c r="D52" s="25">
        <f t="shared" si="20"/>
        <v>368688.87552647194</v>
      </c>
      <c r="E52" s="25">
        <f t="shared" si="20"/>
        <v>368998.4422970257</v>
      </c>
      <c r="F52" s="25">
        <f t="shared" si="20"/>
        <v>369101.27848079067</v>
      </c>
      <c r="G52" s="25">
        <f t="shared" si="20"/>
        <v>368988.41120836575</v>
      </c>
      <c r="H52" s="25">
        <f t="shared" si="20"/>
        <v>368648.47740523168</v>
      </c>
      <c r="I52" s="25">
        <f t="shared" si="20"/>
        <v>368069.71026521525</v>
      </c>
      <c r="J52" s="25">
        <f t="shared" si="20"/>
        <v>367241.92528175504</v>
      </c>
      <c r="K52" s="26">
        <f t="shared" si="20"/>
        <v>366150.50582296285</v>
      </c>
      <c r="M52" s="1462"/>
      <c r="N52" s="1463"/>
    </row>
    <row r="53" spans="1:14" ht="13.15" customHeight="1">
      <c r="A53" s="24" t="str">
        <f>$A23</f>
        <v>Mortgage A</v>
      </c>
      <c r="B53" s="1567">
        <f>IF('Part III A-Sources of Funds'!$M$32="", 0,-'Part III A-Sources of Funds'!$M$32)</f>
        <v>-299596.27127579704</v>
      </c>
      <c r="C53" s="1567">
        <f>IF('Part III A-Sources of Funds'!$M$32="", 0,-'Part III A-Sources of Funds'!$M$32)</f>
        <v>-299596.27127579704</v>
      </c>
      <c r="D53" s="1567">
        <f>IF('Part III A-Sources of Funds'!$M$32="", 0,-'Part III A-Sources of Funds'!$M$32)</f>
        <v>-299596.27127579704</v>
      </c>
      <c r="E53" s="1567">
        <f>IF('Part III A-Sources of Funds'!$M$32="", 0,-'Part III A-Sources of Funds'!$M$32)</f>
        <v>-299596.27127579704</v>
      </c>
      <c r="F53" s="1567">
        <f>IF('Part III A-Sources of Funds'!$M$32="", 0,-'Part III A-Sources of Funds'!$M$32)</f>
        <v>-299596.27127579704</v>
      </c>
      <c r="G53" s="1567">
        <f>IF('Part III A-Sources of Funds'!$M$32="", 0,-'Part III A-Sources of Funds'!$M$32)</f>
        <v>-299596.27127579704</v>
      </c>
      <c r="H53" s="1567">
        <f>IF('Part III A-Sources of Funds'!$M$32="", 0,-'Part III A-Sources of Funds'!$M$32)</f>
        <v>-299596.27127579704</v>
      </c>
      <c r="I53" s="1567">
        <f>IF('Part III A-Sources of Funds'!$M$32="", 0,-'Part III A-Sources of Funds'!$M$32)</f>
        <v>-299596.27127579704</v>
      </c>
      <c r="J53" s="1567">
        <f>IF('Part III A-Sources of Funds'!$M$32="", 0,-'Part III A-Sources of Funds'!$M$32)</f>
        <v>-299596.27127579704</v>
      </c>
      <c r="K53" s="1567">
        <f>IF('Part III A-Sources of Funds'!$M$32="", 0,-'Part III A-Sources of Funds'!$M$32)</f>
        <v>-299596.27127579704</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v>-7660</v>
      </c>
      <c r="C58" s="1568">
        <v>-7890</v>
      </c>
      <c r="D58" s="1568">
        <v>-8127</v>
      </c>
      <c r="E58" s="1568">
        <v>-8371</v>
      </c>
      <c r="F58" s="1568">
        <v>-8622</v>
      </c>
      <c r="G58" s="1568"/>
      <c r="H58" s="1568">
        <f t="shared" ref="H58:K58" si="21">+G58</f>
        <v>0</v>
      </c>
      <c r="I58" s="1568">
        <f t="shared" si="21"/>
        <v>0</v>
      </c>
      <c r="J58" s="1568">
        <f t="shared" si="21"/>
        <v>0</v>
      </c>
      <c r="K58" s="1568">
        <f t="shared" si="21"/>
        <v>0</v>
      </c>
      <c r="M58" s="1462"/>
      <c r="N58" s="1463"/>
    </row>
    <row r="59" spans="1:14" ht="13.15" customHeight="1">
      <c r="A59" s="24" t="s">
        <v>1741</v>
      </c>
      <c r="B59" s="1570"/>
      <c r="C59" s="1570"/>
      <c r="D59" s="1570"/>
      <c r="E59" s="1570"/>
      <c r="F59" s="1570"/>
      <c r="G59" s="1570"/>
      <c r="H59" s="1570"/>
      <c r="I59" s="1570"/>
      <c r="J59" s="1570"/>
      <c r="K59" s="1568"/>
      <c r="M59" s="1462"/>
      <c r="N59" s="1463"/>
    </row>
    <row r="60" spans="1:14" ht="13.15" customHeight="1">
      <c r="A60" s="24" t="s">
        <v>1687</v>
      </c>
      <c r="B60" s="25">
        <f t="shared" ref="B60:K60" si="22">SUM(B52:B59)</f>
        <v>60237.297573174001</v>
      </c>
      <c r="C60" s="25">
        <f t="shared" si="22"/>
        <v>60697.90265552036</v>
      </c>
      <c r="D60" s="25">
        <f t="shared" si="22"/>
        <v>60965.604250674893</v>
      </c>
      <c r="E60" s="25">
        <f t="shared" si="22"/>
        <v>61031.171021228656</v>
      </c>
      <c r="F60" s="25">
        <f t="shared" si="22"/>
        <v>60883.007204993628</v>
      </c>
      <c r="G60" s="25">
        <f t="shared" si="22"/>
        <v>69392.139932568709</v>
      </c>
      <c r="H60" s="25">
        <f t="shared" si="22"/>
        <v>69052.206129434635</v>
      </c>
      <c r="I60" s="25">
        <f t="shared" si="22"/>
        <v>68473.43898941821</v>
      </c>
      <c r="J60" s="25">
        <f t="shared" si="22"/>
        <v>67645.654005958</v>
      </c>
      <c r="K60" s="23">
        <f t="shared" si="22"/>
        <v>66554.234547165805</v>
      </c>
      <c r="M60" s="1462"/>
      <c r="N60" s="1463"/>
    </row>
    <row r="61" spans="1:14" ht="13.15" customHeight="1">
      <c r="A61" s="24" t="str">
        <f>$A31</f>
        <v>DCR Mortgage A</v>
      </c>
      <c r="B61" s="27">
        <f>IF(B53=0,"",-B52/B53)</f>
        <v>1.2266293144572227</v>
      </c>
      <c r="C61" s="27">
        <f t="shared" ref="C61:K61" si="23">IF(C53=0,"",-C52/C53)</f>
        <v>1.228934433541</v>
      </c>
      <c r="D61" s="27">
        <f t="shared" si="23"/>
        <v>1.2306190392705885</v>
      </c>
      <c r="E61" s="27">
        <f t="shared" si="23"/>
        <v>1.2316523190548645</v>
      </c>
      <c r="F61" s="27">
        <f t="shared" si="23"/>
        <v>1.231995568265968</v>
      </c>
      <c r="G61" s="27">
        <f t="shared" si="23"/>
        <v>1.2316188370338192</v>
      </c>
      <c r="H61" s="27">
        <f t="shared" si="23"/>
        <v>1.2304841974013347</v>
      </c>
      <c r="I61" s="27">
        <f t="shared" si="23"/>
        <v>1.2285523738257214</v>
      </c>
      <c r="J61" s="27">
        <f t="shared" si="23"/>
        <v>1.225789372203788</v>
      </c>
      <c r="K61" s="28">
        <f t="shared" si="23"/>
        <v>1.222146404772503</v>
      </c>
      <c r="M61" s="1462"/>
      <c r="N61" s="1463"/>
    </row>
    <row r="62" spans="1:14" ht="13.15" customHeight="1">
      <c r="A62" s="24" t="str">
        <f>$A32</f>
        <v>DCR Mortgage B</v>
      </c>
      <c r="B62" s="27" t="str">
        <f>IF(OR(B54=0,AND(B54=0,B53=0)),"",-B52/(B53+B54))</f>
        <v/>
      </c>
      <c r="C62" s="27" t="str">
        <f t="shared" ref="C62:K62" si="24">IF(OR(C54=0,AND(C54=0,C53=0)),"",-C52/(C53+C54))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462"/>
      <c r="N62" s="1463"/>
    </row>
    <row r="63" spans="1:14" ht="13.15" customHeight="1">
      <c r="A63" s="24" t="str">
        <f>$A33</f>
        <v>DCR Mortgage C</v>
      </c>
      <c r="B63" s="27" t="str">
        <f>IF(OR(B55=0,AND(B55=0,B54=0,B53=0)),"",-B52/(B53+B54+B55))</f>
        <v/>
      </c>
      <c r="C63" s="27" t="str">
        <f t="shared" ref="C63:K63" si="25">IF(OR(C55=0,AND(C55=0,C54=0,C53=0)),"",-C52/(C53+C54+C55))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462"/>
      <c r="N63" s="1463"/>
    </row>
    <row r="64" spans="1:14" ht="13.15" customHeight="1">
      <c r="A64" s="24" t="str">
        <f>$A34</f>
        <v>DCR Other Source</v>
      </c>
      <c r="B64" s="27" t="str">
        <f>IF(OR(B56=0,AND(B53=0,B54=0,B55=0,B56=0)),"",-B52/(B53+B54+B55+B56))</f>
        <v/>
      </c>
      <c r="C64" s="27" t="str">
        <f t="shared" ref="C64:K64" si="26">IF(OR(C56=0,AND(C53=0,C54=0,C55=0,C56=0)),"",-C52/(C53+C54+C55+C56))</f>
        <v/>
      </c>
      <c r="D64" s="27" t="str">
        <f t="shared" si="26"/>
        <v/>
      </c>
      <c r="E64" s="27" t="str">
        <f t="shared" si="26"/>
        <v/>
      </c>
      <c r="F64" s="27" t="str">
        <f t="shared" si="26"/>
        <v/>
      </c>
      <c r="G64" s="27" t="str">
        <f t="shared" si="26"/>
        <v/>
      </c>
      <c r="H64" s="27" t="str">
        <f t="shared" si="26"/>
        <v/>
      </c>
      <c r="I64" s="27" t="str">
        <f t="shared" si="26"/>
        <v/>
      </c>
      <c r="J64" s="27" t="str">
        <f t="shared" si="26"/>
        <v/>
      </c>
      <c r="K64" s="28" t="str">
        <f t="shared" si="26"/>
        <v/>
      </c>
      <c r="M64" s="1462"/>
      <c r="N64" s="1463"/>
    </row>
    <row r="65" spans="1:14" ht="13.15" customHeight="1">
      <c r="A65" s="24" t="s">
        <v>1250</v>
      </c>
      <c r="B65" s="378">
        <f>IF(OR(B50="Choose mgt fee",B50="Choose One!"),"",(B44+B45+B46+B47+B48) / -(B49+B50+B51))</f>
        <v>1.5061444311377963</v>
      </c>
      <c r="C65" s="378">
        <f t="shared" ref="C65:K65" si="27">IF(OR(C50="Choose mgt fee",C50="Choose One!"),"",(C44+C45+C46+C47+C48) / -(C49+C50+C51))</f>
        <v>1.492722040466657</v>
      </c>
      <c r="D65" s="378">
        <f t="shared" si="27"/>
        <v>1.4794087763606374</v>
      </c>
      <c r="E65" s="378">
        <f t="shared" si="27"/>
        <v>1.4662048204852212</v>
      </c>
      <c r="F65" s="378">
        <f t="shared" si="27"/>
        <v>1.4531066739496219</v>
      </c>
      <c r="G65" s="378">
        <f t="shared" si="27"/>
        <v>1.4401164162458027</v>
      </c>
      <c r="H65" s="378">
        <f t="shared" si="27"/>
        <v>1.4272324400023333</v>
      </c>
      <c r="I65" s="378">
        <f t="shared" si="27"/>
        <v>1.4144532830608991</v>
      </c>
      <c r="J65" s="378">
        <f t="shared" si="27"/>
        <v>1.4017806815783294</v>
      </c>
      <c r="K65" s="379">
        <f t="shared" si="27"/>
        <v>1.3892101276429722</v>
      </c>
      <c r="M65" s="1462"/>
      <c r="N65" s="1463"/>
    </row>
    <row r="66" spans="1:14" ht="13.15" customHeight="1">
      <c r="A66" s="678" t="s">
        <v>3666</v>
      </c>
      <c r="B66" s="1571">
        <f>IF('Part III A-Sources of Funds'!$H$32="","",-FV('Part III A-Sources of Funds'!$J$32/12,12,B53/12,K36))</f>
        <v>4875739.5750541408</v>
      </c>
      <c r="C66" s="1571">
        <f>IF('Part III A-Sources of Funds'!$H$32="","",-FV('Part III A-Sources of Funds'!$J$32/12,12,C53/12,B66))</f>
        <v>4791407.485516401</v>
      </c>
      <c r="D66" s="1571">
        <f>IF('Part III A-Sources of Funds'!$H$32="","",-FV('Part III A-Sources of Funds'!$J$32/12,12,D53/12,C66))</f>
        <v>4703245.1228863606</v>
      </c>
      <c r="E66" s="1571">
        <f>IF('Part III A-Sources of Funds'!$H$32="","",-FV('Part III A-Sources of Funds'!$J$32/12,12,E53/12,D66))</f>
        <v>4611078.5202666977</v>
      </c>
      <c r="F66" s="1571">
        <f>IF('Part III A-Sources of Funds'!$H$32="","",-FV('Part III A-Sources of Funds'!$J$32/12,12,F53/12,E66))</f>
        <v>4514725.8093701275</v>
      </c>
      <c r="G66" s="1571">
        <f>IF('Part III A-Sources of Funds'!$H$32="","",-FV('Part III A-Sources of Funds'!$J$32/12,12,G53/12,F66))</f>
        <v>4413996.8616467426</v>
      </c>
      <c r="H66" s="1571">
        <f>IF('Part III A-Sources of Funds'!$H$32="","",-FV('Part III A-Sources of Funds'!$J$32/12,12,H53/12,G66))</f>
        <v>4308692.9131117398</v>
      </c>
      <c r="I66" s="1571">
        <f>IF('Part III A-Sources of Funds'!$H$32="","",-FV('Part III A-Sources of Funds'!$J$32/12,12,I53/12,H66))</f>
        <v>4198606.1721332259</v>
      </c>
      <c r="J66" s="1571">
        <f>IF('Part III A-Sources of Funds'!$H$32="","",-FV('Part III A-Sources of Funds'!$J$32/12,12,J53/12,I66))</f>
        <v>4083519.4094061665</v>
      </c>
      <c r="K66" s="1571">
        <f>IF('Part III A-Sources of Funds'!$H$32="","",-FV('Part III A-Sources of Funds'!$J$32/12,12,K53/12,J66))</f>
        <v>3963205.5293033877</v>
      </c>
      <c r="M66" s="1462"/>
      <c r="N66" s="1463"/>
    </row>
    <row r="67" spans="1:14" ht="13.15" customHeight="1">
      <c r="A67" s="678" t="s">
        <v>3667</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8">C70</f>
        <v>0</v>
      </c>
      <c r="E70" s="1568">
        <f t="shared" si="28"/>
        <v>0</v>
      </c>
      <c r="F70" s="1568">
        <f t="shared" si="28"/>
        <v>0</v>
      </c>
      <c r="G70" s="1568">
        <f t="shared" si="28"/>
        <v>0</v>
      </c>
      <c r="H70" s="1568">
        <f t="shared" si="28"/>
        <v>0</v>
      </c>
      <c r="I70" s="1568">
        <f t="shared" si="28"/>
        <v>0</v>
      </c>
      <c r="J70" s="1568">
        <f t="shared" si="28"/>
        <v>0</v>
      </c>
      <c r="K70" s="1568">
        <f t="shared" si="28"/>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29">B73+1</f>
        <v>22</v>
      </c>
      <c r="D73" s="18">
        <f t="shared" si="29"/>
        <v>23</v>
      </c>
      <c r="E73" s="18">
        <f t="shared" si="29"/>
        <v>24</v>
      </c>
      <c r="F73" s="18">
        <f t="shared" si="29"/>
        <v>25</v>
      </c>
      <c r="G73" s="18">
        <f t="shared" si="29"/>
        <v>26</v>
      </c>
      <c r="H73" s="18">
        <f t="shared" si="29"/>
        <v>27</v>
      </c>
      <c r="I73" s="18">
        <f t="shared" si="29"/>
        <v>28</v>
      </c>
      <c r="J73" s="18">
        <f t="shared" si="29"/>
        <v>29</v>
      </c>
      <c r="K73" s="18">
        <f t="shared" si="29"/>
        <v>30</v>
      </c>
      <c r="M73" s="976" t="s">
        <v>3673</v>
      </c>
      <c r="N73" s="976"/>
    </row>
    <row r="74" spans="1:14" ht="13.15" customHeight="1">
      <c r="A74" s="21" t="s">
        <v>3384</v>
      </c>
      <c r="B74" s="22">
        <f t="shared" ref="B74:K74" si="30">$B$14*(1+$B$5)^(B73-1)</f>
        <v>1405272.3399558975</v>
      </c>
      <c r="C74" s="22">
        <f t="shared" si="30"/>
        <v>1433377.7867550154</v>
      </c>
      <c r="D74" s="22">
        <f t="shared" si="30"/>
        <v>1462045.3424901157</v>
      </c>
      <c r="E74" s="22">
        <f t="shared" si="30"/>
        <v>1491286.2493399177</v>
      </c>
      <c r="F74" s="22">
        <f t="shared" si="30"/>
        <v>1521111.974326716</v>
      </c>
      <c r="G74" s="22">
        <f t="shared" si="30"/>
        <v>1551534.2138132504</v>
      </c>
      <c r="H74" s="22">
        <f t="shared" si="30"/>
        <v>1582564.8980895157</v>
      </c>
      <c r="I74" s="22">
        <f t="shared" si="30"/>
        <v>1614216.1960513056</v>
      </c>
      <c r="J74" s="22">
        <f t="shared" si="30"/>
        <v>1646500.5199723321</v>
      </c>
      <c r="K74" s="23">
        <f t="shared" si="30"/>
        <v>1679430.5303717784</v>
      </c>
      <c r="M74" s="1460"/>
      <c r="N74" s="1461"/>
    </row>
    <row r="75" spans="1:14" ht="13.15" customHeight="1">
      <c r="A75" s="24" t="s">
        <v>1519</v>
      </c>
      <c r="B75" s="25">
        <f t="shared" ref="B75:K75" si="31">$B$15*(1+$B$5)^(B73-1)</f>
        <v>28105.446799117948</v>
      </c>
      <c r="C75" s="25">
        <f t="shared" si="31"/>
        <v>28667.555735100304</v>
      </c>
      <c r="D75" s="25">
        <f t="shared" si="31"/>
        <v>29240.906849802312</v>
      </c>
      <c r="E75" s="25">
        <f t="shared" si="31"/>
        <v>29825.724986798356</v>
      </c>
      <c r="F75" s="25">
        <f t="shared" si="31"/>
        <v>30422.239486534323</v>
      </c>
      <c r="G75" s="25">
        <f t="shared" si="31"/>
        <v>31030.684276265009</v>
      </c>
      <c r="H75" s="25">
        <f t="shared" si="31"/>
        <v>31651.297961790311</v>
      </c>
      <c r="I75" s="25">
        <f t="shared" si="31"/>
        <v>32284.323921026113</v>
      </c>
      <c r="J75" s="25">
        <f t="shared" si="31"/>
        <v>32930.010399446641</v>
      </c>
      <c r="K75" s="26">
        <f t="shared" si="31"/>
        <v>33588.61060743557</v>
      </c>
      <c r="M75" s="1462"/>
      <c r="N75" s="1463"/>
    </row>
    <row r="76" spans="1:14" ht="13.15" customHeight="1">
      <c r="A76" s="24" t="s">
        <v>3385</v>
      </c>
      <c r="B76" s="25">
        <f t="shared" ref="B76:K76" si="32">-(B74+B75)*$B$8</f>
        <v>-100336.44507285109</v>
      </c>
      <c r="C76" s="25">
        <f t="shared" si="32"/>
        <v>-102343.17397430811</v>
      </c>
      <c r="D76" s="25">
        <f t="shared" si="32"/>
        <v>-104390.03745379427</v>
      </c>
      <c r="E76" s="25">
        <f t="shared" si="32"/>
        <v>-106477.83820287013</v>
      </c>
      <c r="F76" s="25">
        <f t="shared" si="32"/>
        <v>-108607.39496692755</v>
      </c>
      <c r="G76" s="25">
        <f t="shared" si="32"/>
        <v>-110779.5428662661</v>
      </c>
      <c r="H76" s="25">
        <f t="shared" si="32"/>
        <v>-112995.13372359144</v>
      </c>
      <c r="I76" s="25">
        <f t="shared" si="32"/>
        <v>-115255.03639806324</v>
      </c>
      <c r="J76" s="25">
        <f t="shared" si="32"/>
        <v>-117560.13712602452</v>
      </c>
      <c r="K76" s="26">
        <f t="shared" si="32"/>
        <v>-119911.33986854498</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3">$B$19*(1+$B$6)^(B73-1)</f>
        <v>-816904.11144097557</v>
      </c>
      <c r="C79" s="25">
        <f t="shared" si="33"/>
        <v>-841411.23478420475</v>
      </c>
      <c r="D79" s="25">
        <f t="shared" si="33"/>
        <v>-866653.57182773098</v>
      </c>
      <c r="E79" s="25">
        <f t="shared" si="33"/>
        <v>-892653.17898256297</v>
      </c>
      <c r="F79" s="25">
        <f t="shared" si="33"/>
        <v>-919432.77435203979</v>
      </c>
      <c r="G79" s="25">
        <f t="shared" si="33"/>
        <v>-947015.75758260093</v>
      </c>
      <c r="H79" s="25">
        <f t="shared" si="33"/>
        <v>-975426.23031007906</v>
      </c>
      <c r="I79" s="25">
        <f t="shared" si="33"/>
        <v>-1004689.0172193813</v>
      </c>
      <c r="J79" s="25">
        <f t="shared" si="33"/>
        <v>-1034829.6877359628</v>
      </c>
      <c r="K79" s="26">
        <f t="shared" si="33"/>
        <v>-1065874.5783680417</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-73317</v>
      </c>
      <c r="C80" s="25">
        <f>IF(AND('Part VII-Pro Forma'!$G$8="Yes",'Part VII-Pro Forma'!$G$9="Yes"),"Choose One!",IF('Part VII-Pro Forma'!$G$8="Yes",ROUND((-$K$8*(1+'Part VII-Pro Forma'!$B$6)^('Part VII-Pro Forma'!C73-1)),),IF('Part VII-Pro Forma'!$G$9="Yes",ROUND((-(SUM(C74:C77)*'Part VII-Pro Forma'!$K$9)),),"Choose mgt fee")))</f>
        <v>-74784</v>
      </c>
      <c r="D80" s="25">
        <f>IF(AND('Part VII-Pro Forma'!$G$8="Yes",'Part VII-Pro Forma'!$G$9="Yes"),"Choose One!",IF('Part VII-Pro Forma'!$G$8="Yes",ROUND((-$K$8*(1+'Part VII-Pro Forma'!$B$6)^('Part VII-Pro Forma'!D73-1)),),IF('Part VII-Pro Forma'!$G$9="Yes",ROUND((-(SUM(D74:D77)*'Part VII-Pro Forma'!$K$9)),),"Choose mgt fee")))</f>
        <v>-76279</v>
      </c>
      <c r="E80" s="25">
        <f>IF(AND('Part VII-Pro Forma'!$G$8="Yes",'Part VII-Pro Forma'!$G$9="Yes"),"Choose One!",IF('Part VII-Pro Forma'!$G$8="Yes",ROUND((-$K$8*(1+'Part VII-Pro Forma'!$B$6)^('Part VII-Pro Forma'!E73-1)),),IF('Part VII-Pro Forma'!$G$9="Yes",ROUND((-(SUM(E74:E77)*'Part VII-Pro Forma'!$K$9)),),"Choose mgt fee")))</f>
        <v>-77805</v>
      </c>
      <c r="F80" s="25">
        <f>IF(AND('Part VII-Pro Forma'!$G$8="Yes",'Part VII-Pro Forma'!$G$9="Yes"),"Choose One!",IF('Part VII-Pro Forma'!$G$8="Yes",ROUND((-$K$8*(1+'Part VII-Pro Forma'!$B$6)^('Part VII-Pro Forma'!F73-1)),),IF('Part VII-Pro Forma'!$G$9="Yes",ROUND((-(SUM(F74:F77)*'Part VII-Pro Forma'!$K$9)),),"Choose mgt fee")))</f>
        <v>-79361</v>
      </c>
      <c r="G80" s="25">
        <f>IF(AND('Part VII-Pro Forma'!$G$8="Yes",'Part VII-Pro Forma'!$G$9="Yes"),"Choose One!",IF('Part VII-Pro Forma'!$G$8="Yes",ROUND((-$K$8*(1+'Part VII-Pro Forma'!$B$6)^('Part VII-Pro Forma'!G73-1)),),IF('Part VII-Pro Forma'!$G$9="Yes",ROUND((-(SUM(G74:G77)*'Part VII-Pro Forma'!$K$9)),),"Choose mgt fee")))</f>
        <v>-80948</v>
      </c>
      <c r="H80" s="25">
        <f>IF(AND('Part VII-Pro Forma'!$G$8="Yes",'Part VII-Pro Forma'!$G$9="Yes"),"Choose One!",IF('Part VII-Pro Forma'!$G$8="Yes",ROUND((-$K$8*(1+'Part VII-Pro Forma'!$B$6)^('Part VII-Pro Forma'!H73-1)),),IF('Part VII-Pro Forma'!$G$9="Yes",ROUND((-(SUM(H74:H77)*'Part VII-Pro Forma'!$K$9)),),"Choose mgt fee")))</f>
        <v>-82567</v>
      </c>
      <c r="I80" s="25">
        <f>IF(AND('Part VII-Pro Forma'!$G$8="Yes",'Part VII-Pro Forma'!$G$9="Yes"),"Choose One!",IF('Part VII-Pro Forma'!$G$8="Yes",ROUND((-$K$8*(1+'Part VII-Pro Forma'!$B$6)^('Part VII-Pro Forma'!I73-1)),),IF('Part VII-Pro Forma'!$G$9="Yes",ROUND((-(SUM(I74:I77)*'Part VII-Pro Forma'!$K$9)),),"Choose mgt fee")))</f>
        <v>-84219</v>
      </c>
      <c r="J80" s="25">
        <f>IF(AND('Part VII-Pro Forma'!$G$8="Yes",'Part VII-Pro Forma'!$G$9="Yes"),"Choose One!",IF('Part VII-Pro Forma'!$G$8="Yes",ROUND((-$K$8*(1+'Part VII-Pro Forma'!$B$6)^('Part VII-Pro Forma'!J73-1)),),IF('Part VII-Pro Forma'!$G$9="Yes",ROUND((-(SUM(J74:J77)*'Part VII-Pro Forma'!$K$9)),),"Choose mgt fee")))</f>
        <v>-85903</v>
      </c>
      <c r="K80" s="25">
        <f>IF(AND('Part VII-Pro Forma'!$G$8="Yes",'Part VII-Pro Forma'!$G$9="Yes"),"Choose One!",IF('Part VII-Pro Forma'!$G$8="Yes",ROUND((-$K$8*(1+'Part VII-Pro Forma'!$B$6)^('Part VII-Pro Forma'!K73-1)),),IF('Part VII-Pro Forma'!$G$9="Yes",ROUND((-(SUM(K74:K77)*'Part VII-Pro Forma'!$K$9)),),"Choose mgt fee")))</f>
        <v>-87621</v>
      </c>
      <c r="M80" s="1462"/>
      <c r="N80" s="1463"/>
    </row>
    <row r="81" spans="1:14" ht="13.15" customHeight="1">
      <c r="A81" s="24" t="s">
        <v>1739</v>
      </c>
      <c r="B81" s="25">
        <f t="shared" ref="B81:K81" si="34">$B$21*(1+$B$7)^(B73-1)</f>
        <v>-78034.842005126673</v>
      </c>
      <c r="C81" s="25">
        <f t="shared" si="34"/>
        <v>-80375.887265280457</v>
      </c>
      <c r="D81" s="25">
        <f t="shared" si="34"/>
        <v>-82787.163883238885</v>
      </c>
      <c r="E81" s="25">
        <f t="shared" si="34"/>
        <v>-85270.778799736057</v>
      </c>
      <c r="F81" s="25">
        <f t="shared" si="34"/>
        <v>-87828.902163728126</v>
      </c>
      <c r="G81" s="25">
        <f t="shared" si="34"/>
        <v>-90463.769228639969</v>
      </c>
      <c r="H81" s="25">
        <f t="shared" si="34"/>
        <v>-93177.682305499169</v>
      </c>
      <c r="I81" s="25">
        <f t="shared" si="34"/>
        <v>-95973.012774664137</v>
      </c>
      <c r="J81" s="25">
        <f t="shared" si="34"/>
        <v>-98852.203157904063</v>
      </c>
      <c r="K81" s="26">
        <f t="shared" si="34"/>
        <v>-101817.76925264117</v>
      </c>
      <c r="M81" s="1462"/>
      <c r="N81" s="1463"/>
    </row>
    <row r="82" spans="1:14" ht="13.15" customHeight="1">
      <c r="A82" s="24" t="s">
        <v>1740</v>
      </c>
      <c r="B82" s="25">
        <f t="shared" ref="B82:K82" si="35">SUM(B74:B81)</f>
        <v>364785.38823606202</v>
      </c>
      <c r="C82" s="25">
        <f t="shared" si="35"/>
        <v>363131.04646632227</v>
      </c>
      <c r="D82" s="25">
        <f t="shared" si="35"/>
        <v>361176.47617515386</v>
      </c>
      <c r="E82" s="25">
        <f t="shared" si="35"/>
        <v>358905.17834154679</v>
      </c>
      <c r="F82" s="25">
        <f t="shared" si="35"/>
        <v>356304.1423305549</v>
      </c>
      <c r="G82" s="25">
        <f t="shared" si="35"/>
        <v>353357.82841200853</v>
      </c>
      <c r="H82" s="25">
        <f t="shared" si="35"/>
        <v>350050.14971213642</v>
      </c>
      <c r="I82" s="25">
        <f t="shared" si="35"/>
        <v>346364.4535802232</v>
      </c>
      <c r="J82" s="25">
        <f t="shared" si="35"/>
        <v>342285.50235188717</v>
      </c>
      <c r="K82" s="26">
        <f t="shared" si="35"/>
        <v>337794.45348998596</v>
      </c>
      <c r="M82" s="1462"/>
      <c r="N82" s="1463"/>
    </row>
    <row r="83" spans="1:14" ht="13.15" customHeight="1">
      <c r="A83" s="24" t="str">
        <f>$A53</f>
        <v>Mortgage A</v>
      </c>
      <c r="B83" s="1567">
        <f>IF('Part III A-Sources of Funds'!$M$32="", 0,-'Part III A-Sources of Funds'!$M$32)</f>
        <v>-299596.27127579704</v>
      </c>
      <c r="C83" s="1567">
        <f>IF('Part III A-Sources of Funds'!$M$32="", 0,-'Part III A-Sources of Funds'!$M$32)</f>
        <v>-299596.27127579704</v>
      </c>
      <c r="D83" s="1567">
        <f>IF('Part III A-Sources of Funds'!$M$32="", 0,-'Part III A-Sources of Funds'!$M$32)</f>
        <v>-299596.27127579704</v>
      </c>
      <c r="E83" s="1567">
        <f>IF('Part III A-Sources of Funds'!$M$32="", 0,-'Part III A-Sources of Funds'!$M$32)</f>
        <v>-299596.27127579704</v>
      </c>
      <c r="F83" s="1567">
        <f>IF('Part III A-Sources of Funds'!$M$32="", 0,-'Part III A-Sources of Funds'!$M$32)</f>
        <v>-299596.27127579704</v>
      </c>
      <c r="G83" s="1567">
        <f>IF('Part III A-Sources of Funds'!$M$32="", 0,-'Part III A-Sources of Funds'!$M$32)</f>
        <v>-299596.27127579704</v>
      </c>
      <c r="H83" s="1567">
        <f>IF('Part III A-Sources of Funds'!$M$32="", 0,-'Part III A-Sources of Funds'!$M$32)</f>
        <v>-299596.27127579704</v>
      </c>
      <c r="I83" s="1567">
        <f>IF('Part III A-Sources of Funds'!$M$32="", 0,-'Part III A-Sources of Funds'!$M$32)</f>
        <v>-299596.27127579704</v>
      </c>
      <c r="J83" s="1567">
        <f>IF('Part III A-Sources of Funds'!$M$32="", 0,-'Part III A-Sources of Funds'!$M$32)</f>
        <v>-299596.27127579704</v>
      </c>
      <c r="K83" s="1567">
        <f>IF('Part III A-Sources of Funds'!$M$32="", 0,-'Part III A-Sources of Funds'!$M$32)</f>
        <v>-299596.27127579704</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0</v>
      </c>
      <c r="C88" s="1568">
        <f t="shared" ref="C88:K88" si="36">+B88</f>
        <v>0</v>
      </c>
      <c r="D88" s="1568">
        <f t="shared" si="36"/>
        <v>0</v>
      </c>
      <c r="E88" s="1568">
        <f t="shared" si="36"/>
        <v>0</v>
      </c>
      <c r="F88" s="1568">
        <f t="shared" si="36"/>
        <v>0</v>
      </c>
      <c r="G88" s="1568">
        <f t="shared" si="36"/>
        <v>0</v>
      </c>
      <c r="H88" s="1568">
        <f t="shared" si="36"/>
        <v>0</v>
      </c>
      <c r="I88" s="1568">
        <f t="shared" si="36"/>
        <v>0</v>
      </c>
      <c r="J88" s="1568">
        <f t="shared" si="36"/>
        <v>0</v>
      </c>
      <c r="K88" s="1568">
        <f t="shared" si="36"/>
        <v>0</v>
      </c>
      <c r="M88" s="1462"/>
      <c r="N88" s="1463"/>
    </row>
    <row r="89" spans="1:14" ht="13.15" customHeight="1">
      <c r="A89" s="24" t="s">
        <v>1741</v>
      </c>
      <c r="B89" s="1570"/>
      <c r="C89" s="1570"/>
      <c r="D89" s="1570"/>
      <c r="E89" s="1570"/>
      <c r="F89" s="1570"/>
      <c r="G89" s="1570"/>
      <c r="H89" s="1570"/>
      <c r="I89" s="1570"/>
      <c r="J89" s="1570"/>
      <c r="K89" s="1568"/>
      <c r="M89" s="1462"/>
      <c r="N89" s="1463"/>
    </row>
    <row r="90" spans="1:14" ht="13.15" customHeight="1">
      <c r="A90" s="24" t="s">
        <v>1687</v>
      </c>
      <c r="B90" s="25">
        <f t="shared" ref="B90:K90" si="37">SUM(B82:B89)</f>
        <v>65189.116960264975</v>
      </c>
      <c r="C90" s="25">
        <f t="shared" si="37"/>
        <v>63534.775190525223</v>
      </c>
      <c r="D90" s="25">
        <f t="shared" si="37"/>
        <v>61580.204899356817</v>
      </c>
      <c r="E90" s="25">
        <f t="shared" si="37"/>
        <v>59308.90706574975</v>
      </c>
      <c r="F90" s="25">
        <f t="shared" si="37"/>
        <v>56707.871054757852</v>
      </c>
      <c r="G90" s="25">
        <f t="shared" si="37"/>
        <v>53761.557136211486</v>
      </c>
      <c r="H90" s="25">
        <f t="shared" si="37"/>
        <v>50453.878436339379</v>
      </c>
      <c r="I90" s="25">
        <f t="shared" si="37"/>
        <v>46768.182304426155</v>
      </c>
      <c r="J90" s="25">
        <f t="shared" si="37"/>
        <v>42689.231076090131</v>
      </c>
      <c r="K90" s="23">
        <f t="shared" si="37"/>
        <v>38198.182214188913</v>
      </c>
      <c r="M90" s="1462"/>
      <c r="N90" s="1463"/>
    </row>
    <row r="91" spans="1:14" ht="13.15" customHeight="1">
      <c r="A91" s="24" t="str">
        <f>$A61</f>
        <v>DCR Mortgage A</v>
      </c>
      <c r="B91" s="27">
        <f>IF(B83=0,"",-B82/B83)</f>
        <v>1.2175898808174896</v>
      </c>
      <c r="C91" s="27">
        <f t="shared" ref="C91:K91" si="38">IF(C83=0,"",-C82/C83)</f>
        <v>1.2120679770811884</v>
      </c>
      <c r="D91" s="27">
        <f t="shared" si="38"/>
        <v>1.2055439630043607</v>
      </c>
      <c r="E91" s="27">
        <f t="shared" si="38"/>
        <v>1.1979627677380278</v>
      </c>
      <c r="F91" s="27">
        <f t="shared" si="38"/>
        <v>1.1892809640563073</v>
      </c>
      <c r="G91" s="27">
        <f t="shared" si="38"/>
        <v>1.1794466830554129</v>
      </c>
      <c r="H91" s="27">
        <f t="shared" si="38"/>
        <v>1.1684062295618274</v>
      </c>
      <c r="I91" s="27">
        <f t="shared" si="38"/>
        <v>1.1561040199374615</v>
      </c>
      <c r="J91" s="27">
        <f t="shared" si="38"/>
        <v>1.1424891935213441</v>
      </c>
      <c r="K91" s="28">
        <f t="shared" si="38"/>
        <v>1.1274988572171685</v>
      </c>
      <c r="M91" s="1462"/>
      <c r="N91" s="1463"/>
    </row>
    <row r="92" spans="1:14" ht="13.15" customHeight="1">
      <c r="A92" s="24" t="str">
        <f>$A62</f>
        <v>DCR Mortgage B</v>
      </c>
      <c r="B92" s="27" t="str">
        <f>IF(OR(B84=0,AND(B84=0,B83=0)),"",-B82/(B83+B84))</f>
        <v/>
      </c>
      <c r="C92" s="27" t="str">
        <f t="shared" ref="C92:K92" si="39">IF(OR(C84=0,AND(C84=0,C83=0)),"",-C82/(C83+C84))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462"/>
      <c r="N92" s="1463"/>
    </row>
    <row r="93" spans="1:14" ht="13.15" customHeight="1">
      <c r="A93" s="24" t="str">
        <f>$A63</f>
        <v>DCR Mortgage C</v>
      </c>
      <c r="B93" s="27" t="str">
        <f>IF(OR(B85=0,AND(B85=0,B84=0,B83=0)),"",-B82/(B83+B84+B85))</f>
        <v/>
      </c>
      <c r="C93" s="27" t="str">
        <f t="shared" ref="C93:K93" si="40">IF(OR(C85=0,AND(C85=0,C84=0,C83=0)),"",-C82/(C83+C84+C85))</f>
        <v/>
      </c>
      <c r="D93" s="27" t="str">
        <f t="shared" si="40"/>
        <v/>
      </c>
      <c r="E93" s="27" t="str">
        <f t="shared" si="40"/>
        <v/>
      </c>
      <c r="F93" s="27" t="str">
        <f t="shared" si="40"/>
        <v/>
      </c>
      <c r="G93" s="27" t="str">
        <f t="shared" si="40"/>
        <v/>
      </c>
      <c r="H93" s="27" t="str">
        <f t="shared" si="40"/>
        <v/>
      </c>
      <c r="I93" s="27" t="str">
        <f t="shared" si="40"/>
        <v/>
      </c>
      <c r="J93" s="27" t="str">
        <f t="shared" si="40"/>
        <v/>
      </c>
      <c r="K93" s="28" t="str">
        <f t="shared" si="40"/>
        <v/>
      </c>
      <c r="M93" s="1462"/>
      <c r="N93" s="1463"/>
    </row>
    <row r="94" spans="1:14" ht="13.15" customHeight="1">
      <c r="A94" s="24" t="str">
        <f>$A64</f>
        <v>DCR Other Source</v>
      </c>
      <c r="B94" s="27" t="str">
        <f>IF(OR(B86=0,AND(B83=0,B84=0,B85=0,B86=0)),"",-B82/(B83+B84+B85+B86))</f>
        <v/>
      </c>
      <c r="C94" s="27" t="str">
        <f t="shared" ref="C94:K94" si="41">IF(OR(C86=0,AND(C83=0,C84=0,C85=0,C86=0)),"",-C82/(C83+C84+C85+C86))</f>
        <v/>
      </c>
      <c r="D94" s="27" t="str">
        <f t="shared" si="41"/>
        <v/>
      </c>
      <c r="E94" s="27" t="str">
        <f t="shared" si="41"/>
        <v/>
      </c>
      <c r="F94" s="27" t="str">
        <f t="shared" si="41"/>
        <v/>
      </c>
      <c r="G94" s="27" t="str">
        <f t="shared" si="41"/>
        <v/>
      </c>
      <c r="H94" s="27" t="str">
        <f t="shared" si="41"/>
        <v/>
      </c>
      <c r="I94" s="27" t="str">
        <f t="shared" si="41"/>
        <v/>
      </c>
      <c r="J94" s="27" t="str">
        <f t="shared" si="41"/>
        <v/>
      </c>
      <c r="K94" s="28" t="str">
        <f t="shared" si="41"/>
        <v/>
      </c>
      <c r="M94" s="1462"/>
      <c r="N94" s="1463"/>
    </row>
    <row r="95" spans="1:14" ht="13.15" customHeight="1">
      <c r="A95" s="24" t="s">
        <v>1250</v>
      </c>
      <c r="B95" s="378">
        <f>IF(OR(B80="Choose mgt fee",B80="Choose One!"),"",(B74+B75+B76+B77+B78) / -(B79+B80+B81))</f>
        <v>1.3767447924670755</v>
      </c>
      <c r="C95" s="378">
        <f t="shared" ref="C95:K95" si="42">IF(OR(C80="Choose mgt fee",C80="Choose One!"),"",(C74+C75+C76+C77+C78) / -(C79+C80+C81))</f>
        <v>1.3643804626001301</v>
      </c>
      <c r="D95" s="378">
        <f t="shared" si="42"/>
        <v>1.352120041762487</v>
      </c>
      <c r="E95" s="378">
        <f t="shared" si="42"/>
        <v>1.339959584982376</v>
      </c>
      <c r="F95" s="378">
        <f t="shared" si="42"/>
        <v>1.327900521525132</v>
      </c>
      <c r="G95" s="378">
        <f t="shared" si="42"/>
        <v>1.3159416412250422</v>
      </c>
      <c r="H95" s="378">
        <f t="shared" si="42"/>
        <v>1.3040818230168676</v>
      </c>
      <c r="I95" s="378">
        <f t="shared" si="42"/>
        <v>1.2923200260721228</v>
      </c>
      <c r="J95" s="378">
        <f t="shared" si="42"/>
        <v>1.2806573817924367</v>
      </c>
      <c r="K95" s="379">
        <f t="shared" si="42"/>
        <v>1.2690917404250028</v>
      </c>
      <c r="M95" s="1462"/>
      <c r="N95" s="1463"/>
    </row>
    <row r="96" spans="1:14" ht="13.15" customHeight="1">
      <c r="A96" s="678" t="s">
        <v>3666</v>
      </c>
      <c r="B96" s="1571">
        <f>IF('Part III A-Sources of Funds'!$H$32="","",-FV('Part III A-Sources of Funds'!$J$32/12,12,B83/12,K66))</f>
        <v>3837427.1217578063</v>
      </c>
      <c r="C96" s="1571">
        <f>IF('Part III A-Sources of Funds'!$H$32="","",-FV('Part III A-Sources of Funds'!$J$32/12,12,C83/12,B96))</f>
        <v>3705935.9937916235</v>
      </c>
      <c r="D96" s="1571">
        <f>IF('Part III A-Sources of Funds'!$H$32="","",-FV('Part III A-Sources of Funds'!$J$32/12,12,D83/12,C96))</f>
        <v>3568472.6797680841</v>
      </c>
      <c r="E96" s="1571">
        <f>IF('Part III A-Sources of Funds'!$H$32="","",-FV('Part III A-Sources of Funds'!$J$32/12,12,E83/12,D96))</f>
        <v>3424765.9293993898</v>
      </c>
      <c r="F96" s="1571">
        <f>IF('Part III A-Sources of Funds'!$H$32="","",-FV('Part III A-Sources of Funds'!$J$32/12,12,F83/12,E96))</f>
        <v>3274532.1725004851</v>
      </c>
      <c r="G96" s="1571">
        <f>IF('Part III A-Sources of Funds'!$H$32="","",-FV('Part III A-Sources of Funds'!$J$32/12,12,G83/12,F96))</f>
        <v>3117474.9594325321</v>
      </c>
      <c r="H96" s="1571">
        <f>IF('Part III A-Sources of Funds'!$H$32="","",-FV('Part III A-Sources of Funds'!$J$32/12,12,H83/12,G96))</f>
        <v>2953284.3761319271</v>
      </c>
      <c r="I96" s="1571">
        <f>IF('Part III A-Sources of Funds'!$H$32="","",-FV('Part III A-Sources of Funds'!$J$32/12,12,I83/12,H96))</f>
        <v>2781636.432570565</v>
      </c>
      <c r="J96" s="1571">
        <f>IF('Part III A-Sources of Funds'!$H$32="","",-FV('Part III A-Sources of Funds'!$J$32/12,12,J83/12,I96))</f>
        <v>2602192.4234406208</v>
      </c>
      <c r="K96" s="1571">
        <f>IF('Part III A-Sources of Funds'!$H$32="","",-FV('Part III A-Sources of Funds'!$J$32/12,12,K83/12,J96))</f>
        <v>2414598.2598023228</v>
      </c>
      <c r="M96" s="1462"/>
      <c r="N96" s="1463"/>
    </row>
    <row r="97" spans="1:14" ht="13.15" customHeight="1">
      <c r="A97" s="678" t="s">
        <v>3667</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3">C100</f>
        <v>0</v>
      </c>
      <c r="E100" s="1568">
        <f t="shared" si="43"/>
        <v>0</v>
      </c>
      <c r="F100" s="1568">
        <f t="shared" si="43"/>
        <v>0</v>
      </c>
      <c r="G100" s="1568">
        <f t="shared" si="43"/>
        <v>0</v>
      </c>
      <c r="H100" s="1568">
        <f t="shared" si="43"/>
        <v>0</v>
      </c>
      <c r="I100" s="1568">
        <f t="shared" si="43"/>
        <v>0</v>
      </c>
      <c r="J100" s="1568">
        <f t="shared" si="43"/>
        <v>0</v>
      </c>
      <c r="K100" s="1568">
        <f t="shared" si="43"/>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A10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2012-008 Savannah Gardens Phase IV, Savannah, Chatham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2913</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2900</v>
      </c>
      <c r="B15" s="1141"/>
      <c r="C15" s="1141"/>
      <c r="D15" s="1141"/>
      <c r="E15" s="1141"/>
      <c r="F15" s="1141"/>
      <c r="G15" s="1141"/>
      <c r="H15" s="1141"/>
      <c r="I15" s="1141"/>
      <c r="J15" s="1141"/>
      <c r="K15" s="1141"/>
      <c r="L15" s="1141"/>
      <c r="M15" s="1141"/>
      <c r="N15" s="1141"/>
      <c r="O15" s="1141"/>
      <c r="P15" s="1141"/>
      <c r="Q15" s="1142"/>
      <c r="R15" s="886" t="s">
        <v>2913</v>
      </c>
      <c r="S15" s="886"/>
    </row>
    <row r="16" spans="1:32" ht="24.6" customHeight="1">
      <c r="A16" s="1140" t="s">
        <v>2901</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2902</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2903</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2904</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2905</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2906</v>
      </c>
      <c r="B21" s="1141"/>
      <c r="C21" s="1141"/>
      <c r="D21" s="1141"/>
      <c r="E21" s="1141"/>
      <c r="F21" s="1141"/>
      <c r="G21" s="1141"/>
      <c r="H21" s="1141"/>
      <c r="I21" s="1141"/>
      <c r="J21" s="1141"/>
      <c r="K21" s="1141"/>
      <c r="L21" s="1141"/>
      <c r="M21" s="1141"/>
      <c r="N21" s="1141"/>
      <c r="O21" s="1141"/>
      <c r="P21" s="1141"/>
      <c r="Q21" s="1142"/>
    </row>
    <row r="22" spans="1:19" ht="24.6" customHeight="1">
      <c r="A22" s="1140" t="s">
        <v>2907</v>
      </c>
      <c r="B22" s="1141"/>
      <c r="C22" s="1141"/>
      <c r="D22" s="1141"/>
      <c r="E22" s="1141"/>
      <c r="F22" s="1141"/>
      <c r="G22" s="1141"/>
      <c r="H22" s="1141"/>
      <c r="I22" s="1141"/>
      <c r="J22" s="1141"/>
      <c r="K22" s="1141"/>
      <c r="L22" s="1141"/>
      <c r="M22" s="1141"/>
      <c r="N22" s="1141"/>
      <c r="O22" s="1141"/>
      <c r="P22" s="1141"/>
      <c r="Q22" s="1142"/>
      <c r="R22" s="886" t="s">
        <v>2913</v>
      </c>
      <c r="S22" s="886"/>
    </row>
    <row r="23" spans="1:19" ht="24.6" customHeight="1">
      <c r="A23" s="1140" t="s">
        <v>2908</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2909</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2910</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2911</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2912</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2740</v>
      </c>
      <c r="P29" s="1114"/>
      <c r="Q29" s="1119"/>
    </row>
    <row r="30" spans="1:19" ht="3" customHeight="1"/>
    <row r="31" spans="1:19" ht="12" customHeight="1">
      <c r="B31" s="192" t="s">
        <v>2863</v>
      </c>
      <c r="C31" s="62" t="s">
        <v>3868</v>
      </c>
      <c r="E31" s="38"/>
      <c r="F31" s="38"/>
      <c r="G31" s="38"/>
      <c r="H31" s="38"/>
      <c r="I31" s="50"/>
      <c r="J31" s="40"/>
      <c r="K31" s="50"/>
      <c r="L31" s="40"/>
      <c r="M31" s="40"/>
      <c r="O31" s="79" t="s">
        <v>849</v>
      </c>
      <c r="P31" s="1574" t="s">
        <v>3975</v>
      </c>
      <c r="Q31" s="232"/>
    </row>
    <row r="32" spans="1:19" ht="12" customHeight="1">
      <c r="B32" s="55" t="s">
        <v>2866</v>
      </c>
      <c r="C32" s="62" t="s">
        <v>994</v>
      </c>
      <c r="E32" s="38"/>
      <c r="F32" s="38"/>
      <c r="G32" s="38"/>
      <c r="H32" s="38"/>
      <c r="J32" s="1575" t="s">
        <v>4056</v>
      </c>
      <c r="K32" s="1576"/>
      <c r="L32" s="1576"/>
      <c r="M32" s="1576"/>
      <c r="N32" s="1577"/>
      <c r="O32" s="79"/>
      <c r="P32" s="79"/>
      <c r="Q32" s="79"/>
    </row>
    <row r="33" spans="1:31" ht="11.25" customHeight="1">
      <c r="B33" s="80" t="s">
        <v>2738</v>
      </c>
      <c r="C33" s="80"/>
      <c r="D33" s="80"/>
      <c r="E33" s="80"/>
      <c r="F33" s="80"/>
      <c r="G33" s="180"/>
      <c r="H33" s="180"/>
      <c r="I33" s="180"/>
      <c r="J33" s="180"/>
      <c r="K33" s="848"/>
      <c r="L33" s="848"/>
      <c r="M33" s="848"/>
      <c r="N33" s="848"/>
      <c r="O33" s="848"/>
      <c r="P33" s="60"/>
      <c r="S33" s="215"/>
      <c r="T33" s="215"/>
    </row>
    <row r="34" spans="1:31" ht="12" customHeight="1">
      <c r="A34" s="1578" t="s">
        <v>4082</v>
      </c>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2739</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2740</v>
      </c>
      <c r="P41" s="1114"/>
      <c r="Q41" s="1119"/>
    </row>
    <row r="42" spans="1:31" ht="3" customHeight="1"/>
    <row r="43" spans="1:31" ht="11.45" customHeight="1">
      <c r="A43" s="189"/>
      <c r="C43" s="190" t="s">
        <v>108</v>
      </c>
      <c r="D43" s="190"/>
      <c r="E43" s="190"/>
      <c r="F43" s="190"/>
      <c r="G43" s="190"/>
      <c r="H43" s="190"/>
      <c r="J43" s="1581" t="str">
        <f>'Part I-Project Information'!$H$65</f>
        <v>Family</v>
      </c>
      <c r="K43" s="1582"/>
      <c r="L43" s="1583"/>
      <c r="M43" s="856"/>
      <c r="N43" s="856"/>
      <c r="P43" s="1574" t="s">
        <v>3975</v>
      </c>
      <c r="Q43" s="232"/>
    </row>
    <row r="44" spans="1:31" ht="11.25" customHeight="1">
      <c r="B44" s="127" t="s">
        <v>2738</v>
      </c>
      <c r="D44" s="127"/>
      <c r="E44" s="127"/>
      <c r="F44" s="127"/>
      <c r="G44" s="127"/>
      <c r="H44" s="48"/>
      <c r="I44" s="180"/>
      <c r="J44" s="180"/>
      <c r="K44" s="187" t="s">
        <v>2739</v>
      </c>
      <c r="L44" s="848"/>
      <c r="M44" s="848"/>
      <c r="N44" s="848"/>
      <c r="O44" s="848"/>
      <c r="P44" s="848"/>
      <c r="Q44" s="60"/>
    </row>
    <row r="45" spans="1:31" ht="11.45" customHeight="1">
      <c r="A45" s="1578"/>
      <c r="B45" s="1579"/>
      <c r="C45" s="1579"/>
      <c r="D45" s="1579"/>
      <c r="E45" s="1579"/>
      <c r="F45" s="1579"/>
      <c r="G45" s="1579"/>
      <c r="H45" s="1579"/>
      <c r="I45" s="1579"/>
      <c r="J45" s="1580"/>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2740</v>
      </c>
      <c r="P47" s="1114"/>
      <c r="Q47" s="1119"/>
    </row>
    <row r="48" spans="1:31" ht="3" customHeight="1"/>
    <row r="49" spans="1:31" ht="12.6" customHeight="1">
      <c r="B49" s="192" t="s">
        <v>2863</v>
      </c>
      <c r="C49" s="1146" t="s">
        <v>373</v>
      </c>
      <c r="D49" s="1146"/>
      <c r="E49" s="1146"/>
      <c r="F49" s="1146"/>
      <c r="G49" s="1146"/>
      <c r="H49" s="1146"/>
      <c r="I49" s="1146"/>
      <c r="J49" s="1146"/>
      <c r="K49" s="1146"/>
      <c r="L49" s="1146"/>
      <c r="M49" s="1146"/>
      <c r="O49" s="193"/>
      <c r="P49" s="1574" t="s">
        <v>4031</v>
      </c>
      <c r="Q49" s="232"/>
    </row>
    <row r="50" spans="1:31" ht="12" customHeight="1">
      <c r="B50" s="55" t="s">
        <v>2866</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4" t="s">
        <v>3975</v>
      </c>
      <c r="Q51" s="232"/>
    </row>
    <row r="52" spans="1:31" ht="10.9" customHeight="1">
      <c r="A52" s="194"/>
      <c r="B52" s="50"/>
      <c r="C52" s="79" t="s">
        <v>2591</v>
      </c>
      <c r="D52" s="38" t="s">
        <v>2669</v>
      </c>
      <c r="E52" s="853"/>
      <c r="F52" s="853"/>
      <c r="G52" s="853"/>
      <c r="H52" s="40"/>
      <c r="I52" s="50"/>
      <c r="J52" s="50"/>
      <c r="O52" s="79" t="s">
        <v>2591</v>
      </c>
      <c r="P52" s="1574" t="s">
        <v>3983</v>
      </c>
      <c r="Q52" s="232"/>
    </row>
    <row r="53" spans="1:31" ht="10.9" customHeight="1">
      <c r="A53" s="194"/>
      <c r="B53" s="50"/>
      <c r="C53" s="79" t="s">
        <v>2592</v>
      </c>
      <c r="D53" s="38" t="s">
        <v>374</v>
      </c>
      <c r="E53" s="853"/>
      <c r="J53" s="79"/>
      <c r="K53" s="79" t="s">
        <v>2592</v>
      </c>
      <c r="L53" s="1584"/>
      <c r="M53" s="1585"/>
      <c r="N53" s="1585"/>
      <c r="O53" s="1585"/>
      <c r="P53" s="1586"/>
      <c r="Q53" s="232"/>
    </row>
    <row r="54" spans="1:31" ht="11.25" customHeight="1">
      <c r="B54" s="127" t="s">
        <v>2738</v>
      </c>
      <c r="D54" s="127"/>
      <c r="E54" s="127"/>
      <c r="F54" s="127"/>
      <c r="G54" s="127"/>
      <c r="H54" s="48"/>
      <c r="I54" s="180"/>
      <c r="J54" s="180"/>
      <c r="K54" s="180"/>
      <c r="L54" s="848"/>
      <c r="M54" s="848"/>
      <c r="N54" s="848"/>
      <c r="O54" s="848"/>
      <c r="P54" s="848"/>
      <c r="Q54" s="60"/>
    </row>
    <row r="55" spans="1:31" ht="12" customHeight="1">
      <c r="A55" s="1578"/>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2739</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2740</v>
      </c>
      <c r="P59" s="1114"/>
      <c r="Q59" s="1119"/>
    </row>
    <row r="60" spans="1:31" ht="3" customHeight="1"/>
    <row r="61" spans="1:31" ht="12" customHeight="1">
      <c r="B61" s="55" t="s">
        <v>2863</v>
      </c>
      <c r="C61" s="195" t="s">
        <v>3462</v>
      </c>
      <c r="D61" s="183"/>
      <c r="E61" s="183"/>
      <c r="F61" s="183"/>
      <c r="G61" s="183"/>
      <c r="H61" s="183"/>
      <c r="I61" s="50"/>
      <c r="J61" s="50"/>
      <c r="K61" s="50"/>
      <c r="L61" s="803" t="s">
        <v>2863</v>
      </c>
      <c r="M61" s="1584" t="s">
        <v>4043</v>
      </c>
      <c r="N61" s="1585"/>
      <c r="O61" s="1585"/>
      <c r="P61" s="1587"/>
      <c r="Q61" s="232"/>
    </row>
    <row r="62" spans="1:31" ht="12" customHeight="1">
      <c r="B62" s="55" t="s">
        <v>2866</v>
      </c>
      <c r="C62" s="62" t="s">
        <v>2919</v>
      </c>
      <c r="D62" s="183"/>
      <c r="E62" s="183"/>
      <c r="F62" s="183"/>
      <c r="L62" s="803" t="s">
        <v>2866</v>
      </c>
      <c r="M62" s="1584" t="s">
        <v>4055</v>
      </c>
      <c r="N62" s="1585"/>
      <c r="O62" s="1585"/>
      <c r="P62" s="1587"/>
      <c r="Q62" s="232"/>
    </row>
    <row r="63" spans="1:31" ht="12" customHeight="1">
      <c r="B63" s="55" t="s">
        <v>1145</v>
      </c>
      <c r="C63" s="62" t="s">
        <v>3463</v>
      </c>
      <c r="D63" s="183"/>
      <c r="E63" s="183"/>
      <c r="F63" s="183"/>
      <c r="L63" s="803" t="s">
        <v>1145</v>
      </c>
      <c r="M63" s="1584" t="s">
        <v>4055</v>
      </c>
      <c r="N63" s="1585"/>
      <c r="O63" s="1585"/>
      <c r="P63" s="1587"/>
      <c r="Q63" s="352"/>
    </row>
    <row r="64" spans="1:31" ht="12" customHeight="1">
      <c r="B64" s="55" t="s">
        <v>3005</v>
      </c>
      <c r="C64" s="62" t="s">
        <v>3464</v>
      </c>
      <c r="D64" s="183"/>
      <c r="E64" s="183"/>
      <c r="F64" s="183"/>
      <c r="L64" s="803" t="s">
        <v>3005</v>
      </c>
      <c r="M64" s="1588">
        <v>0.05</v>
      </c>
      <c r="N64" s="1585"/>
      <c r="O64" s="1585"/>
      <c r="P64" s="1587"/>
      <c r="Q64" s="232"/>
    </row>
    <row r="65" spans="1:31" ht="22.15" customHeight="1">
      <c r="B65" s="192" t="s">
        <v>2588</v>
      </c>
      <c r="C65" s="1118" t="s">
        <v>3869</v>
      </c>
      <c r="D65" s="1118"/>
      <c r="E65" s="1118"/>
      <c r="F65" s="1118"/>
      <c r="G65" s="1118"/>
      <c r="H65" s="1118"/>
      <c r="I65" s="1118"/>
      <c r="J65" s="1118"/>
      <c r="K65" s="1118"/>
      <c r="L65" s="1118"/>
      <c r="M65" s="853"/>
      <c r="O65" s="803" t="s">
        <v>2588</v>
      </c>
      <c r="P65" s="1574" t="s">
        <v>3975</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589" t="s">
        <v>4044</v>
      </c>
      <c r="E67" s="1590" t="s">
        <v>4045</v>
      </c>
      <c r="F67" s="1590"/>
      <c r="G67" s="1590"/>
      <c r="H67" s="62">
        <v>3</v>
      </c>
      <c r="I67" s="1589"/>
      <c r="J67" s="1590"/>
      <c r="K67" s="1590"/>
      <c r="L67" s="1590"/>
      <c r="M67" s="62">
        <v>5</v>
      </c>
      <c r="N67" s="1589"/>
      <c r="O67" s="1590"/>
      <c r="P67" s="1590"/>
      <c r="Q67" s="1590"/>
    </row>
    <row r="68" spans="1:31" ht="12" customHeight="1">
      <c r="B68" s="55"/>
      <c r="C68" s="62">
        <v>2</v>
      </c>
      <c r="D68" s="1589" t="s">
        <v>4046</v>
      </c>
      <c r="E68" s="1590" t="s">
        <v>4047</v>
      </c>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3"/>
      <c r="M69" s="853"/>
      <c r="O69" s="803" t="s">
        <v>2589</v>
      </c>
      <c r="P69" s="1591" t="s">
        <v>3975</v>
      </c>
      <c r="Q69" s="352"/>
    </row>
    <row r="70" spans="1:31" ht="11.25" customHeight="1">
      <c r="B70" s="191" t="s">
        <v>2738</v>
      </c>
      <c r="D70" s="191"/>
      <c r="E70" s="191"/>
      <c r="F70" s="191"/>
      <c r="G70" s="191"/>
      <c r="H70" s="48"/>
      <c r="I70" s="180"/>
      <c r="J70" s="180"/>
      <c r="K70" s="180"/>
      <c r="L70" s="848"/>
      <c r="M70" s="848"/>
      <c r="N70" s="848"/>
      <c r="O70" s="848"/>
      <c r="P70" s="848"/>
      <c r="Q70" s="60"/>
    </row>
    <row r="71" spans="1:31" ht="22.9" customHeight="1">
      <c r="A71" s="1578" t="s">
        <v>4109</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2739</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2740</v>
      </c>
      <c r="P74" s="1114"/>
      <c r="Q74" s="1119"/>
    </row>
    <row r="75" spans="1:31" ht="3" customHeight="1"/>
    <row r="76" spans="1:31" ht="12" customHeight="1">
      <c r="B76" s="55" t="s">
        <v>2863</v>
      </c>
      <c r="C76" s="62" t="s">
        <v>684</v>
      </c>
      <c r="D76" s="62"/>
      <c r="E76" s="62"/>
      <c r="F76" s="62"/>
      <c r="G76" s="62"/>
      <c r="H76" s="62"/>
      <c r="I76" s="62"/>
      <c r="J76" s="62"/>
      <c r="K76" s="62"/>
      <c r="L76" s="62"/>
      <c r="M76" s="62"/>
      <c r="O76" s="803" t="s">
        <v>2863</v>
      </c>
      <c r="P76" s="1574" t="s">
        <v>3983</v>
      </c>
      <c r="Q76" s="232"/>
    </row>
    <row r="77" spans="1:31" ht="12" customHeight="1">
      <c r="B77" s="55" t="s">
        <v>2866</v>
      </c>
      <c r="C77" s="62" t="s">
        <v>1871</v>
      </c>
      <c r="D77" s="62"/>
      <c r="E77" s="62"/>
      <c r="F77" s="62"/>
      <c r="G77" s="62"/>
      <c r="H77" s="62"/>
      <c r="I77" s="62"/>
      <c r="J77" s="62"/>
      <c r="K77" s="62"/>
      <c r="L77" s="38"/>
      <c r="M77" s="38"/>
      <c r="O77" s="803" t="s">
        <v>2866</v>
      </c>
      <c r="P77" s="1574" t="s">
        <v>3983</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7" t="s">
        <v>638</v>
      </c>
      <c r="E79" s="1595"/>
      <c r="F79" s="1595"/>
      <c r="G79" s="1595"/>
      <c r="H79" s="1595"/>
      <c r="I79" s="1595"/>
      <c r="J79" s="1595"/>
      <c r="K79" s="1595"/>
      <c r="L79" s="1595"/>
      <c r="M79" s="1595"/>
      <c r="N79" s="1595"/>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c r="Q84" s="232"/>
    </row>
    <row r="85" spans="1:32" ht="12" customHeight="1">
      <c r="B85" s="55"/>
      <c r="C85" s="79" t="s">
        <v>2591</v>
      </c>
      <c r="D85" s="62" t="s">
        <v>2011</v>
      </c>
      <c r="E85" s="62"/>
      <c r="F85" s="62"/>
      <c r="G85" s="62"/>
      <c r="H85" s="62"/>
      <c r="I85" s="62"/>
      <c r="J85" s="62"/>
      <c r="K85" s="62"/>
      <c r="L85" s="38"/>
      <c r="M85" s="38"/>
      <c r="O85" s="79" t="s">
        <v>2591</v>
      </c>
      <c r="P85" s="1574"/>
      <c r="Q85" s="232"/>
    </row>
    <row r="86" spans="1:32" ht="12" customHeight="1">
      <c r="B86" s="55"/>
      <c r="C86" s="79" t="s">
        <v>2592</v>
      </c>
      <c r="D86" s="62" t="s">
        <v>2012</v>
      </c>
      <c r="E86" s="62"/>
      <c r="F86" s="62"/>
      <c r="G86" s="62"/>
      <c r="H86" s="62"/>
      <c r="I86" s="62"/>
      <c r="J86" s="62"/>
      <c r="K86" s="62"/>
      <c r="L86" s="38"/>
      <c r="M86" s="38"/>
      <c r="O86" s="79" t="s">
        <v>2592</v>
      </c>
      <c r="P86" s="1574"/>
      <c r="Q86" s="232"/>
    </row>
    <row r="87" spans="1:32" ht="11.25" customHeight="1">
      <c r="B87" s="191" t="s">
        <v>2738</v>
      </c>
      <c r="D87" s="191"/>
      <c r="E87" s="191"/>
      <c r="F87" s="191"/>
      <c r="G87" s="191"/>
      <c r="H87" s="48"/>
      <c r="I87" s="180"/>
      <c r="J87" s="180"/>
      <c r="K87" s="180"/>
      <c r="L87" s="848"/>
      <c r="M87" s="848"/>
      <c r="N87" s="848"/>
      <c r="O87" s="848"/>
      <c r="P87" s="848"/>
      <c r="Q87" s="60"/>
    </row>
    <row r="88" spans="1:32" ht="13.15" customHeight="1">
      <c r="A88" s="1578" t="s">
        <v>4110</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2739</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2740</v>
      </c>
      <c r="P92" s="1114"/>
      <c r="Q92" s="1119"/>
    </row>
    <row r="93" spans="1:32" ht="6.6" customHeight="1"/>
    <row r="94" spans="1:32" ht="12" customHeight="1">
      <c r="B94" s="55" t="s">
        <v>2863</v>
      </c>
      <c r="C94" s="62" t="s">
        <v>3936</v>
      </c>
      <c r="D94" s="183"/>
      <c r="E94" s="183"/>
      <c r="F94" s="183"/>
      <c r="G94" s="183"/>
      <c r="H94" s="183"/>
      <c r="I94" s="50"/>
      <c r="J94" s="50"/>
      <c r="K94" s="50"/>
      <c r="L94" s="803" t="s">
        <v>2863</v>
      </c>
      <c r="M94" s="1584" t="s">
        <v>4057</v>
      </c>
      <c r="N94" s="1585"/>
      <c r="O94" s="1585"/>
      <c r="P94" s="1586"/>
      <c r="Q94" s="232"/>
    </row>
    <row r="95" spans="1:32" ht="12" customHeight="1">
      <c r="B95" s="55" t="s">
        <v>2866</v>
      </c>
      <c r="C95" s="62" t="s">
        <v>2141</v>
      </c>
      <c r="D95" s="183"/>
      <c r="E95" s="183"/>
      <c r="F95" s="183"/>
      <c r="G95" s="183"/>
      <c r="H95" s="183"/>
      <c r="I95" s="50"/>
      <c r="J95" s="50"/>
      <c r="K95" s="183"/>
      <c r="L95" s="183"/>
      <c r="M95" s="853"/>
      <c r="O95" s="803" t="s">
        <v>2866</v>
      </c>
      <c r="P95" s="1574" t="s">
        <v>3983</v>
      </c>
      <c r="Q95" s="352"/>
    </row>
    <row r="96" spans="1:32" ht="12" customHeight="1">
      <c r="B96" s="55" t="s">
        <v>1145</v>
      </c>
      <c r="C96" s="62" t="s">
        <v>186</v>
      </c>
      <c r="D96" s="183"/>
      <c r="E96" s="183"/>
      <c r="F96" s="183"/>
      <c r="G96" s="183"/>
      <c r="H96" s="183"/>
      <c r="I96" s="50"/>
      <c r="J96" s="50"/>
      <c r="K96" s="183"/>
      <c r="L96" s="853"/>
      <c r="M96" s="853"/>
      <c r="O96" s="803" t="s">
        <v>1145</v>
      </c>
      <c r="P96" s="1574" t="s">
        <v>3975</v>
      </c>
      <c r="Q96" s="232"/>
    </row>
    <row r="97" spans="2:17" ht="12" customHeight="1">
      <c r="B97" s="55"/>
      <c r="C97" s="78" t="s">
        <v>2590</v>
      </c>
      <c r="D97" s="62" t="s">
        <v>3937</v>
      </c>
      <c r="E97" s="183"/>
      <c r="F97" s="183"/>
      <c r="G97" s="183"/>
      <c r="H97" s="183"/>
      <c r="I97" s="50"/>
      <c r="J97" s="50"/>
      <c r="K97" s="183"/>
      <c r="L97" s="79" t="s">
        <v>2590</v>
      </c>
      <c r="M97" s="1584" t="s">
        <v>4057</v>
      </c>
      <c r="N97" s="1585"/>
      <c r="O97" s="1585"/>
      <c r="P97" s="1586"/>
      <c r="Q97" s="352"/>
    </row>
    <row r="98" spans="2:17" ht="12" customHeight="1">
      <c r="B98" s="189"/>
      <c r="C98" s="79" t="s">
        <v>2591</v>
      </c>
      <c r="D98" s="44" t="s">
        <v>3644</v>
      </c>
      <c r="E98" s="50"/>
      <c r="F98" s="50"/>
      <c r="G98" s="50"/>
      <c r="H98" s="62"/>
      <c r="I98" s="50"/>
      <c r="J98" s="50"/>
      <c r="K98" s="183"/>
      <c r="L98" s="853"/>
      <c r="M98" s="853"/>
      <c r="O98" s="803" t="s">
        <v>2591</v>
      </c>
      <c r="P98" s="1591" t="s">
        <v>4059</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7" t="s">
        <v>4058</v>
      </c>
      <c r="E100" s="1598"/>
      <c r="F100" s="1598"/>
      <c r="G100" s="1598"/>
      <c r="H100" s="1598"/>
      <c r="I100" s="1598"/>
      <c r="J100" s="1598"/>
      <c r="K100" s="1598"/>
      <c r="L100" s="1598"/>
      <c r="M100" s="1598"/>
      <c r="N100" s="1598"/>
      <c r="O100" s="1599"/>
      <c r="P100" s="856"/>
      <c r="Q100" s="848"/>
    </row>
    <row r="101" spans="2:17" ht="12" customHeight="1">
      <c r="B101" s="55" t="s">
        <v>3005</v>
      </c>
      <c r="C101" s="62" t="s">
        <v>1815</v>
      </c>
      <c r="D101" s="183"/>
      <c r="E101" s="183"/>
      <c r="F101" s="183"/>
      <c r="G101" s="183"/>
      <c r="H101" s="183"/>
      <c r="I101" s="50"/>
      <c r="J101" s="50"/>
      <c r="K101" s="183"/>
      <c r="L101" s="853"/>
      <c r="M101" s="853"/>
      <c r="N101" s="853"/>
      <c r="O101" s="803" t="s">
        <v>3005</v>
      </c>
    </row>
    <row r="102" spans="2:17" ht="12" customHeight="1">
      <c r="B102" s="55"/>
      <c r="C102" s="79" t="s">
        <v>2590</v>
      </c>
      <c r="D102" s="62" t="s">
        <v>184</v>
      </c>
      <c r="E102" s="183"/>
      <c r="F102" s="183"/>
      <c r="G102" s="183"/>
      <c r="H102" s="183"/>
      <c r="I102" s="50"/>
      <c r="J102" s="50"/>
      <c r="K102" s="183"/>
      <c r="L102" s="853"/>
      <c r="M102" s="853"/>
      <c r="O102" s="79" t="s">
        <v>2590</v>
      </c>
      <c r="P102" s="1574" t="s">
        <v>3983</v>
      </c>
      <c r="Q102" s="232"/>
    </row>
    <row r="103" spans="2:17" ht="12" customHeight="1">
      <c r="B103" s="55"/>
      <c r="C103" s="79" t="s">
        <v>2591</v>
      </c>
      <c r="D103" s="62" t="s">
        <v>1816</v>
      </c>
      <c r="E103" s="183"/>
      <c r="F103" s="183"/>
      <c r="G103" s="183"/>
      <c r="H103" s="50"/>
      <c r="I103" s="50"/>
      <c r="J103" s="50"/>
      <c r="K103" s="183"/>
      <c r="L103" s="853"/>
      <c r="M103" s="853"/>
      <c r="O103" s="79" t="s">
        <v>2591</v>
      </c>
      <c r="P103" s="1591" t="s">
        <v>3983</v>
      </c>
      <c r="Q103" s="352"/>
    </row>
    <row r="104" spans="2:17" ht="12" customHeight="1">
      <c r="B104" s="55"/>
      <c r="C104" s="79"/>
      <c r="D104" s="62" t="s">
        <v>3764</v>
      </c>
      <c r="E104" s="728" t="s">
        <v>3419</v>
      </c>
      <c r="F104" s="62" t="s">
        <v>3765</v>
      </c>
      <c r="G104" s="50"/>
      <c r="H104" s="62"/>
      <c r="I104" s="50"/>
      <c r="J104" s="50"/>
      <c r="K104" s="183"/>
      <c r="L104" s="853"/>
      <c r="M104" s="853"/>
      <c r="O104" s="728" t="s">
        <v>3419</v>
      </c>
      <c r="P104" s="1600"/>
      <c r="Q104" s="448"/>
    </row>
    <row r="105" spans="2:17" ht="12" customHeight="1">
      <c r="B105" s="55"/>
      <c r="C105" s="79"/>
      <c r="E105" s="728" t="s">
        <v>3420</v>
      </c>
      <c r="F105" s="62" t="s">
        <v>3766</v>
      </c>
      <c r="G105" s="50"/>
      <c r="H105" s="62"/>
      <c r="I105" s="50"/>
      <c r="J105" s="50"/>
      <c r="K105" s="183"/>
      <c r="L105" s="853"/>
      <c r="M105" s="853"/>
      <c r="O105" s="728" t="s">
        <v>3420</v>
      </c>
      <c r="P105" s="1591"/>
      <c r="Q105" s="352"/>
    </row>
    <row r="106" spans="2:17" ht="12" customHeight="1">
      <c r="B106" s="55"/>
      <c r="C106" s="79"/>
      <c r="E106" s="728" t="s">
        <v>3421</v>
      </c>
      <c r="F106" s="62" t="s">
        <v>3767</v>
      </c>
      <c r="G106" s="50"/>
      <c r="H106" s="62"/>
      <c r="I106" s="50"/>
      <c r="J106" s="50"/>
      <c r="K106" s="183"/>
      <c r="L106" s="853"/>
      <c r="M106" s="853"/>
      <c r="O106" s="728" t="s">
        <v>3421</v>
      </c>
      <c r="P106" s="1591"/>
      <c r="Q106" s="352"/>
    </row>
    <row r="107" spans="2:17" ht="12" customHeight="1">
      <c r="B107" s="55"/>
      <c r="C107" s="79" t="s">
        <v>2592</v>
      </c>
      <c r="D107" s="62" t="s">
        <v>1817</v>
      </c>
      <c r="E107" s="183"/>
      <c r="F107" s="183"/>
      <c r="G107" s="183"/>
      <c r="H107" s="62"/>
      <c r="I107" s="50"/>
      <c r="J107" s="50"/>
      <c r="K107" s="183"/>
      <c r="L107" s="853"/>
      <c r="M107" s="853"/>
      <c r="O107" s="79" t="s">
        <v>2592</v>
      </c>
      <c r="P107" s="1574" t="s">
        <v>3983</v>
      </c>
      <c r="Q107" s="232"/>
    </row>
    <row r="108" spans="2:17" ht="12" customHeight="1">
      <c r="B108" s="55"/>
      <c r="C108" s="79"/>
      <c r="D108" s="62" t="s">
        <v>3764</v>
      </c>
      <c r="E108" s="728" t="s">
        <v>3419</v>
      </c>
      <c r="F108" s="62" t="s">
        <v>3768</v>
      </c>
      <c r="G108" s="50"/>
      <c r="H108" s="62"/>
      <c r="I108" s="50"/>
      <c r="J108" s="50"/>
      <c r="K108" s="183"/>
      <c r="L108" s="853"/>
      <c r="O108" s="728" t="s">
        <v>3419</v>
      </c>
      <c r="P108" s="1600"/>
      <c r="Q108" s="353"/>
    </row>
    <row r="109" spans="2:17" ht="12" customHeight="1">
      <c r="B109" s="55"/>
      <c r="C109" s="79"/>
      <c r="E109" s="728" t="s">
        <v>3420</v>
      </c>
      <c r="F109" s="62" t="s">
        <v>3769</v>
      </c>
      <c r="G109" s="50"/>
      <c r="H109" s="62"/>
      <c r="I109" s="50"/>
      <c r="J109" s="50"/>
      <c r="K109" s="183"/>
      <c r="L109" s="853"/>
      <c r="O109" s="728" t="s">
        <v>3420</v>
      </c>
      <c r="P109" s="1591"/>
      <c r="Q109" s="352"/>
    </row>
    <row r="110" spans="2:17" ht="12" customHeight="1">
      <c r="B110" s="55"/>
      <c r="C110" s="79"/>
      <c r="E110" s="728" t="s">
        <v>3421</v>
      </c>
      <c r="F110" s="62" t="s">
        <v>3767</v>
      </c>
      <c r="G110" s="50"/>
      <c r="H110" s="62"/>
      <c r="I110" s="50"/>
      <c r="J110" s="50"/>
      <c r="K110" s="183"/>
      <c r="L110" s="853"/>
      <c r="O110" s="728" t="s">
        <v>3421</v>
      </c>
      <c r="P110" s="1591"/>
      <c r="Q110" s="352"/>
    </row>
    <row r="111" spans="2:17" ht="12" customHeight="1">
      <c r="B111" s="44"/>
      <c r="C111" s="79" t="s">
        <v>3331</v>
      </c>
      <c r="D111" s="62" t="s">
        <v>3770</v>
      </c>
      <c r="E111" s="183"/>
      <c r="F111" s="183"/>
      <c r="G111" s="183"/>
      <c r="H111" s="183"/>
      <c r="I111" s="50"/>
      <c r="J111" s="50"/>
      <c r="K111" s="183"/>
      <c r="L111" s="853"/>
      <c r="M111" s="853"/>
      <c r="O111" s="79" t="s">
        <v>3331</v>
      </c>
      <c r="P111" s="1574" t="s">
        <v>3983</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74" t="s">
        <v>3975</v>
      </c>
      <c r="G113" s="232"/>
      <c r="H113" s="79" t="s">
        <v>3331</v>
      </c>
      <c r="I113" s="62" t="s">
        <v>2156</v>
      </c>
      <c r="J113" s="1574" t="s">
        <v>3983</v>
      </c>
      <c r="K113" s="232"/>
      <c r="L113" s="803" t="s">
        <v>107</v>
      </c>
      <c r="M113" s="62" t="s">
        <v>2157</v>
      </c>
      <c r="O113" s="1574" t="s">
        <v>3983</v>
      </c>
      <c r="P113" s="232"/>
    </row>
    <row r="114" spans="1:31" ht="12" customHeight="1">
      <c r="B114" s="44"/>
      <c r="C114" s="79" t="s">
        <v>2591</v>
      </c>
      <c r="D114" s="62" t="s">
        <v>3502</v>
      </c>
      <c r="E114" s="183"/>
      <c r="F114" s="1574" t="s">
        <v>3975</v>
      </c>
      <c r="G114" s="232"/>
      <c r="H114" s="79" t="s">
        <v>2153</v>
      </c>
      <c r="I114" s="62" t="s">
        <v>3772</v>
      </c>
      <c r="J114" s="1601" t="s">
        <v>3983</v>
      </c>
      <c r="K114" s="663"/>
      <c r="L114" s="803" t="s">
        <v>743</v>
      </c>
      <c r="M114" s="65" t="s">
        <v>3773</v>
      </c>
      <c r="O114" s="1601" t="s">
        <v>3983</v>
      </c>
      <c r="P114" s="663"/>
    </row>
    <row r="115" spans="1:31" ht="12" customHeight="1">
      <c r="B115" s="44"/>
      <c r="C115" s="79" t="s">
        <v>2592</v>
      </c>
      <c r="D115" s="62" t="s">
        <v>3771</v>
      </c>
      <c r="E115" s="183"/>
      <c r="F115" s="1574" t="s">
        <v>3983</v>
      </c>
      <c r="G115" s="232"/>
      <c r="H115" s="79" t="s">
        <v>2154</v>
      </c>
      <c r="I115" s="62" t="s">
        <v>2155</v>
      </c>
      <c r="J115" s="1601" t="s">
        <v>3983</v>
      </c>
      <c r="K115" s="663"/>
      <c r="L115" s="803" t="s">
        <v>744</v>
      </c>
      <c r="M115" s="65" t="s">
        <v>3774</v>
      </c>
      <c r="O115" s="1601" t="s">
        <v>3983</v>
      </c>
      <c r="P115" s="663"/>
    </row>
    <row r="116" spans="1:31" ht="12" customHeight="1">
      <c r="B116" s="44"/>
      <c r="C116" s="803" t="s">
        <v>745</v>
      </c>
      <c r="D116" s="62" t="s">
        <v>3775</v>
      </c>
      <c r="E116" s="183"/>
      <c r="F116" s="183"/>
      <c r="G116" s="183"/>
      <c r="H116" s="183"/>
      <c r="J116" s="1584"/>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3"/>
      <c r="O117" s="803" t="s">
        <v>2589</v>
      </c>
      <c r="P117" s="1574" t="s">
        <v>3975</v>
      </c>
      <c r="Q117" s="232"/>
    </row>
    <row r="118" spans="1:31" ht="12" customHeight="1">
      <c r="A118" s="194"/>
      <c r="B118" s="50"/>
      <c r="C118" s="79" t="s">
        <v>2590</v>
      </c>
      <c r="D118" s="62" t="s">
        <v>995</v>
      </c>
      <c r="E118" s="183"/>
      <c r="F118" s="183"/>
      <c r="G118" s="183"/>
      <c r="H118" s="183"/>
      <c r="O118" s="79" t="s">
        <v>2590</v>
      </c>
      <c r="P118" s="1574" t="s">
        <v>3983</v>
      </c>
      <c r="Q118" s="232"/>
    </row>
    <row r="119" spans="1:31" ht="12" customHeight="1">
      <c r="A119" s="194"/>
      <c r="B119" s="180"/>
      <c r="C119" s="79" t="s">
        <v>2591</v>
      </c>
      <c r="D119" s="62" t="s">
        <v>681</v>
      </c>
      <c r="E119" s="62"/>
      <c r="F119" s="62"/>
      <c r="G119" s="62"/>
      <c r="H119" s="62"/>
      <c r="I119" s="50"/>
      <c r="J119" s="50"/>
      <c r="K119" s="62"/>
      <c r="L119" s="62"/>
      <c r="M119" s="62"/>
      <c r="O119" s="79" t="s">
        <v>2591</v>
      </c>
      <c r="P119" s="1574" t="s">
        <v>3975</v>
      </c>
      <c r="Q119" s="232"/>
    </row>
    <row r="120" spans="1:31" ht="12" customHeight="1">
      <c r="A120" s="194"/>
      <c r="B120" s="180"/>
      <c r="C120" s="79" t="s">
        <v>2592</v>
      </c>
      <c r="D120" s="62" t="s">
        <v>951</v>
      </c>
      <c r="E120" s="62"/>
      <c r="F120" s="62"/>
      <c r="G120" s="62"/>
      <c r="H120" s="62"/>
      <c r="I120" s="50"/>
      <c r="J120" s="50"/>
      <c r="K120" s="62"/>
      <c r="L120" s="62"/>
      <c r="M120" s="62"/>
      <c r="O120" s="79" t="s">
        <v>2592</v>
      </c>
      <c r="P120" s="1574" t="s">
        <v>3975</v>
      </c>
      <c r="Q120" s="232"/>
    </row>
    <row r="121" spans="1:31" ht="12" customHeight="1">
      <c r="B121" s="55" t="s">
        <v>2826</v>
      </c>
      <c r="C121" s="62" t="s">
        <v>2607</v>
      </c>
      <c r="D121" s="183"/>
      <c r="E121" s="183"/>
      <c r="F121" s="183"/>
      <c r="G121" s="183"/>
      <c r="H121" s="183"/>
      <c r="I121" s="50"/>
      <c r="J121" s="50"/>
      <c r="K121" s="183"/>
      <c r="L121" s="183"/>
      <c r="M121" s="853"/>
      <c r="O121" s="803" t="s">
        <v>2826</v>
      </c>
      <c r="P121" s="1574" t="s">
        <v>3975</v>
      </c>
      <c r="Q121" s="232"/>
    </row>
    <row r="122" spans="1:31" ht="4.9000000000000004" customHeight="1"/>
    <row r="123" spans="1:31" ht="11.25" customHeight="1">
      <c r="B123" s="191" t="s">
        <v>2738</v>
      </c>
      <c r="D123" s="191"/>
      <c r="E123" s="191"/>
      <c r="F123" s="191"/>
      <c r="G123" s="191"/>
      <c r="H123" s="48"/>
      <c r="I123" s="180"/>
      <c r="J123" s="180"/>
      <c r="K123" s="180"/>
      <c r="L123" s="848"/>
      <c r="M123" s="848"/>
      <c r="N123" s="848"/>
      <c r="O123" s="848"/>
      <c r="P123" s="848"/>
      <c r="Q123" s="60"/>
    </row>
    <row r="124" spans="1:31" ht="21.75" customHeight="1">
      <c r="A124" s="1578" t="s">
        <v>4083</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2739</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2740</v>
      </c>
      <c r="P128" s="1114"/>
      <c r="Q128" s="1119"/>
    </row>
    <row r="129" spans="1:31" ht="10.9" customHeight="1">
      <c r="B129" s="55" t="s">
        <v>2863</v>
      </c>
      <c r="C129" s="62" t="s">
        <v>3776</v>
      </c>
      <c r="D129" s="62"/>
      <c r="E129" s="62"/>
      <c r="F129" s="62"/>
      <c r="G129" s="62"/>
      <c r="H129" s="62"/>
      <c r="N129" s="62"/>
      <c r="O129" s="803" t="s">
        <v>2863</v>
      </c>
      <c r="P129" s="1574" t="s">
        <v>3975</v>
      </c>
      <c r="Q129" s="232"/>
    </row>
    <row r="130" spans="1:31" ht="12" customHeight="1">
      <c r="A130" s="189"/>
      <c r="B130" s="55" t="s">
        <v>2866</v>
      </c>
      <c r="C130" s="190" t="s">
        <v>185</v>
      </c>
      <c r="D130" s="190"/>
      <c r="E130" s="190"/>
      <c r="F130" s="190"/>
      <c r="G130" s="190"/>
      <c r="H130" s="190"/>
      <c r="M130" s="803" t="s">
        <v>2866</v>
      </c>
      <c r="N130" s="1602" t="s">
        <v>4032</v>
      </c>
      <c r="O130" s="1603"/>
      <c r="P130" s="1130"/>
      <c r="Q130" s="1131"/>
    </row>
    <row r="131" spans="1:31" ht="12" customHeight="1">
      <c r="A131" s="189"/>
      <c r="B131" s="55" t="s">
        <v>1145</v>
      </c>
      <c r="C131" s="190" t="s">
        <v>952</v>
      </c>
      <c r="D131" s="190"/>
      <c r="E131" s="190"/>
      <c r="F131" s="190"/>
      <c r="G131" s="190"/>
      <c r="H131" s="190"/>
      <c r="J131" s="803" t="s">
        <v>1145</v>
      </c>
      <c r="K131" s="1604" t="s">
        <v>3988</v>
      </c>
      <c r="L131" s="1605"/>
      <c r="M131" s="1605"/>
      <c r="N131" s="1605"/>
      <c r="O131" s="1605"/>
      <c r="P131" s="1606"/>
      <c r="Q131" s="232"/>
    </row>
    <row r="132" spans="1:31" ht="12" customHeight="1">
      <c r="B132" s="191" t="s">
        <v>2738</v>
      </c>
      <c r="D132" s="191"/>
      <c r="E132" s="191"/>
      <c r="F132" s="191"/>
      <c r="G132" s="191"/>
      <c r="H132" s="48"/>
      <c r="I132" s="180"/>
      <c r="J132" s="180"/>
      <c r="K132" s="180"/>
      <c r="L132" s="848"/>
      <c r="M132" s="848"/>
      <c r="N132" s="848"/>
      <c r="O132" s="848"/>
      <c r="P132" s="848"/>
      <c r="Q132" s="60"/>
    </row>
    <row r="133" spans="1:31" ht="11.45" customHeight="1">
      <c r="A133" s="1578" t="s">
        <v>4048</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2739</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2740</v>
      </c>
      <c r="P137" s="1114"/>
      <c r="Q137" s="1119"/>
    </row>
    <row r="138" spans="1:31" ht="12" customHeight="1">
      <c r="B138" s="192" t="s">
        <v>2863</v>
      </c>
      <c r="C138" s="190" t="s">
        <v>104</v>
      </c>
      <c r="D138" s="190"/>
      <c r="E138" s="190"/>
      <c r="F138" s="190"/>
      <c r="G138" s="190"/>
      <c r="H138" s="190"/>
      <c r="I138" s="190"/>
      <c r="J138" s="190"/>
      <c r="K138" s="190"/>
      <c r="L138" s="197"/>
      <c r="M138" s="197"/>
      <c r="N138" s="197"/>
      <c r="O138" s="219" t="s">
        <v>2863</v>
      </c>
      <c r="P138" s="1574" t="s">
        <v>3975</v>
      </c>
      <c r="Q138" s="232"/>
    </row>
    <row r="139" spans="1:31" ht="22.15" customHeight="1">
      <c r="B139" s="192" t="s">
        <v>2866</v>
      </c>
      <c r="C139" s="1118" t="s">
        <v>3518</v>
      </c>
      <c r="D139" s="1118"/>
      <c r="E139" s="1118"/>
      <c r="F139" s="1118"/>
      <c r="G139" s="1118"/>
      <c r="H139" s="1118"/>
      <c r="I139" s="1118"/>
      <c r="J139" s="1118"/>
      <c r="K139" s="1118"/>
      <c r="L139" s="1118"/>
      <c r="M139" s="1118"/>
      <c r="N139" s="1118"/>
      <c r="O139" s="219" t="s">
        <v>2866</v>
      </c>
      <c r="P139" s="1574" t="s">
        <v>3975</v>
      </c>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74" t="s">
        <v>3975</v>
      </c>
      <c r="Q140" s="232"/>
    </row>
    <row r="141" spans="1:31" ht="12" customHeight="1">
      <c r="B141" s="191" t="s">
        <v>2738</v>
      </c>
      <c r="D141" s="191"/>
      <c r="E141" s="191"/>
      <c r="F141" s="191"/>
      <c r="G141" s="191"/>
      <c r="H141" s="48"/>
      <c r="I141" s="180"/>
      <c r="J141" s="180"/>
      <c r="K141" s="180"/>
      <c r="L141" s="848"/>
      <c r="M141" s="848"/>
      <c r="N141" s="848"/>
      <c r="O141" s="848"/>
      <c r="P141" s="848"/>
      <c r="Q141" s="60"/>
    </row>
    <row r="142" spans="1:31" ht="22.5" customHeight="1">
      <c r="A142" s="1578" t="s">
        <v>4084</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2739</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2740</v>
      </c>
      <c r="P146" s="1114"/>
      <c r="Q146" s="1119"/>
    </row>
    <row r="147" spans="1:32" ht="12" customHeight="1">
      <c r="B147" s="192" t="s">
        <v>2863</v>
      </c>
      <c r="C147" s="197" t="s">
        <v>653</v>
      </c>
      <c r="D147" s="197"/>
      <c r="E147" s="197"/>
      <c r="F147" s="197"/>
      <c r="G147" s="197"/>
      <c r="H147" s="197"/>
      <c r="I147" s="197"/>
      <c r="J147" s="197"/>
      <c r="K147" s="197"/>
      <c r="L147" s="197"/>
      <c r="M147" s="197"/>
      <c r="O147" s="219" t="s">
        <v>2863</v>
      </c>
      <c r="P147" s="1574" t="s">
        <v>3975</v>
      </c>
      <c r="Q147" s="232"/>
    </row>
    <row r="148" spans="1:32" ht="12" customHeight="1">
      <c r="B148" s="192" t="s">
        <v>2866</v>
      </c>
      <c r="C148" s="197" t="s">
        <v>3779</v>
      </c>
      <c r="D148" s="197"/>
      <c r="E148" s="197"/>
      <c r="F148" s="197"/>
      <c r="G148" s="197"/>
      <c r="H148" s="197"/>
      <c r="I148" s="197"/>
      <c r="J148" s="197"/>
      <c r="K148" s="197"/>
      <c r="L148" s="197"/>
      <c r="M148" s="197"/>
      <c r="O148" s="219" t="s">
        <v>2866</v>
      </c>
      <c r="P148" s="1574" t="s">
        <v>3975</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3975</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3975</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3975</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596" t="s">
        <v>3975</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3975</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596" t="s">
        <v>3975</v>
      </c>
      <c r="Q154" s="354"/>
      <c r="AE154" s="806"/>
      <c r="AF154" s="806"/>
    </row>
    <row r="155" spans="1:32" ht="21.75" customHeight="1">
      <c r="B155" s="192" t="s">
        <v>3005</v>
      </c>
      <c r="C155" s="1118" t="s">
        <v>3786</v>
      </c>
      <c r="D155" s="1118"/>
      <c r="E155" s="1118"/>
      <c r="F155" s="1118"/>
      <c r="G155" s="1118"/>
      <c r="H155" s="1118"/>
      <c r="I155" s="1118"/>
      <c r="J155" s="1118"/>
      <c r="K155" s="1118"/>
      <c r="L155" s="1118"/>
      <c r="M155" s="1118"/>
      <c r="N155" s="1118"/>
      <c r="O155" s="219" t="s">
        <v>3005</v>
      </c>
      <c r="P155" s="1574" t="s">
        <v>3975</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3975</v>
      </c>
      <c r="Q156" s="232"/>
    </row>
    <row r="157" spans="1:32" ht="12" customHeight="1">
      <c r="B157" s="191" t="s">
        <v>2738</v>
      </c>
      <c r="D157" s="191"/>
      <c r="E157" s="191"/>
      <c r="F157" s="191"/>
      <c r="G157" s="191"/>
      <c r="H157" s="48"/>
      <c r="I157" s="180"/>
      <c r="J157" s="180"/>
      <c r="K157" s="180"/>
      <c r="L157" s="848"/>
      <c r="M157" s="848"/>
      <c r="N157" s="848"/>
      <c r="O157" s="848"/>
      <c r="P157" s="848"/>
      <c r="Q157" s="60"/>
    </row>
    <row r="158" spans="1:32" ht="22.5" customHeight="1">
      <c r="A158" s="1578" t="s">
        <v>4049</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2739</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2740</v>
      </c>
      <c r="P162" s="1114"/>
      <c r="Q162" s="1119"/>
    </row>
    <row r="163" spans="1:31" ht="12" customHeight="1">
      <c r="A163" s="189"/>
      <c r="B163" s="55" t="s">
        <v>2863</v>
      </c>
      <c r="C163" s="1118" t="s">
        <v>105</v>
      </c>
      <c r="D163" s="1118"/>
      <c r="E163" s="1118"/>
      <c r="F163" s="1118"/>
      <c r="G163" s="1118"/>
      <c r="H163" s="79" t="s">
        <v>2590</v>
      </c>
      <c r="I163" s="62" t="s">
        <v>187</v>
      </c>
      <c r="J163" s="1584" t="s">
        <v>2711</v>
      </c>
      <c r="K163" s="1585"/>
      <c r="L163" s="1585"/>
      <c r="M163" s="1585"/>
      <c r="N163" s="1586"/>
      <c r="O163" s="79" t="s">
        <v>2590</v>
      </c>
      <c r="P163" s="1574" t="s">
        <v>3983</v>
      </c>
      <c r="Q163" s="232"/>
    </row>
    <row r="164" spans="1:31" ht="12" customHeight="1">
      <c r="A164" s="189"/>
      <c r="B164" s="180"/>
      <c r="C164" s="143"/>
      <c r="D164" s="143"/>
      <c r="E164" s="143"/>
      <c r="F164" s="143"/>
      <c r="H164" s="79" t="s">
        <v>2591</v>
      </c>
      <c r="I164" s="62" t="s">
        <v>2204</v>
      </c>
      <c r="J164" s="1584" t="s">
        <v>4033</v>
      </c>
      <c r="K164" s="1585"/>
      <c r="L164" s="1585"/>
      <c r="M164" s="1585"/>
      <c r="N164" s="1586"/>
      <c r="O164" s="79" t="s">
        <v>2591</v>
      </c>
      <c r="P164" s="1574" t="s">
        <v>3975</v>
      </c>
      <c r="Q164" s="232"/>
    </row>
    <row r="165" spans="1:31" ht="12" customHeight="1">
      <c r="B165" s="191" t="s">
        <v>2738</v>
      </c>
      <c r="D165" s="191"/>
      <c r="E165" s="191"/>
      <c r="F165" s="191"/>
      <c r="G165" s="191"/>
      <c r="J165" s="180"/>
      <c r="K165" s="180"/>
      <c r="L165" s="848"/>
      <c r="M165" s="848"/>
      <c r="N165" s="848"/>
      <c r="O165" s="848"/>
      <c r="P165" s="848"/>
      <c r="Q165" s="60"/>
    </row>
    <row r="166" spans="1:31" ht="11.45" customHeight="1">
      <c r="A166" s="1578" t="s">
        <v>4050</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2739</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2740</v>
      </c>
      <c r="P170" s="1114"/>
      <c r="Q170" s="1119"/>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74" t="s">
        <v>3983</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2866</v>
      </c>
      <c r="C174" s="1118" t="s">
        <v>2721</v>
      </c>
      <c r="D174" s="1118"/>
      <c r="E174" s="1118"/>
      <c r="F174" s="1118"/>
      <c r="G174" s="1118"/>
      <c r="H174" s="79" t="s">
        <v>2590</v>
      </c>
      <c r="I174" s="62" t="s">
        <v>894</v>
      </c>
      <c r="J174" s="1584" t="s">
        <v>3985</v>
      </c>
      <c r="K174" s="1585"/>
      <c r="L174" s="1585"/>
      <c r="M174" s="1585"/>
      <c r="N174" s="1586"/>
      <c r="O174" s="79" t="s">
        <v>2030</v>
      </c>
      <c r="P174" s="1574" t="s">
        <v>3975</v>
      </c>
      <c r="Q174" s="232"/>
    </row>
    <row r="175" spans="1:31" ht="11.45" customHeight="1">
      <c r="A175" s="189"/>
      <c r="B175" s="859"/>
      <c r="C175" s="1118"/>
      <c r="D175" s="1118"/>
      <c r="E175" s="1118"/>
      <c r="F175" s="1118"/>
      <c r="G175" s="1118"/>
      <c r="H175" s="79" t="s">
        <v>2591</v>
      </c>
      <c r="I175" s="62" t="s">
        <v>125</v>
      </c>
      <c r="J175" s="1584" t="s">
        <v>3985</v>
      </c>
      <c r="K175" s="1585"/>
      <c r="L175" s="1585"/>
      <c r="M175" s="1585"/>
      <c r="N175" s="1586"/>
      <c r="O175" s="79" t="s">
        <v>2591</v>
      </c>
      <c r="P175" s="1574" t="s">
        <v>3975</v>
      </c>
      <c r="Q175" s="232"/>
    </row>
    <row r="176" spans="1:31" ht="11.25" customHeight="1">
      <c r="B176" s="191" t="s">
        <v>2738</v>
      </c>
      <c r="D176" s="191"/>
      <c r="E176" s="191"/>
      <c r="F176" s="191"/>
      <c r="G176" s="191"/>
      <c r="H176" s="48"/>
      <c r="I176" s="180"/>
      <c r="J176" s="180"/>
      <c r="K176" s="180"/>
      <c r="L176" s="848"/>
      <c r="M176" s="848"/>
      <c r="N176" s="848"/>
      <c r="O176" s="848"/>
      <c r="P176" s="848"/>
      <c r="Q176" s="60"/>
    </row>
    <row r="177" spans="1:32" ht="21.75" customHeight="1">
      <c r="A177" s="1578" t="s">
        <v>4051</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2739</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2740</v>
      </c>
      <c r="P181" s="1114"/>
      <c r="Q181" s="1119"/>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4" t="s">
        <v>3975</v>
      </c>
      <c r="Q183" s="232"/>
    </row>
    <row r="184" spans="1:32" ht="11.45" customHeight="1">
      <c r="B184" s="55" t="s">
        <v>2866</v>
      </c>
      <c r="C184" s="62" t="s">
        <v>176</v>
      </c>
      <c r="D184" s="62"/>
      <c r="E184" s="62"/>
      <c r="F184" s="62"/>
      <c r="G184" s="62"/>
      <c r="H184" s="62"/>
      <c r="I184" s="50"/>
      <c r="J184" s="50"/>
      <c r="K184" s="50"/>
      <c r="L184" s="190"/>
      <c r="M184" s="190"/>
      <c r="O184" s="219" t="s">
        <v>2866</v>
      </c>
      <c r="P184" s="1574" t="s">
        <v>3975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3975</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4" t="s">
        <v>3975</v>
      </c>
      <c r="Q186" s="232"/>
      <c r="AE186" s="807"/>
      <c r="AF186" s="807"/>
    </row>
    <row r="187" spans="1:32" ht="11.25" customHeight="1">
      <c r="B187" s="191" t="s">
        <v>2738</v>
      </c>
      <c r="D187" s="191"/>
      <c r="E187" s="191"/>
      <c r="F187" s="191"/>
      <c r="G187" s="191"/>
      <c r="H187" s="48"/>
      <c r="I187" s="180"/>
      <c r="J187" s="180"/>
      <c r="K187" s="180"/>
      <c r="L187" s="848"/>
      <c r="M187" s="848"/>
      <c r="N187" s="848"/>
      <c r="O187" s="848"/>
      <c r="P187" s="848"/>
      <c r="Q187" s="60"/>
    </row>
    <row r="188" spans="1:32" ht="25.5" customHeight="1">
      <c r="A188" s="1578" t="s">
        <v>4085</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2740</v>
      </c>
      <c r="P193" s="1114"/>
      <c r="Q193" s="1119"/>
    </row>
    <row r="194" spans="1:32" s="31" customFormat="1" ht="11.45" customHeight="1">
      <c r="B194" s="195" t="s">
        <v>1716</v>
      </c>
      <c r="N194" s="166"/>
      <c r="P194" s="1574" t="s">
        <v>3983</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584" t="s">
        <v>4034</v>
      </c>
      <c r="N196" s="1585"/>
      <c r="O196" s="1586"/>
      <c r="P196" s="1574" t="s">
        <v>4031</v>
      </c>
      <c r="Q196" s="232"/>
    </row>
    <row r="197" spans="1:32" ht="11.45" customHeight="1">
      <c r="B197" s="55"/>
      <c r="C197" s="79" t="s">
        <v>2591</v>
      </c>
      <c r="D197" s="38" t="s">
        <v>180</v>
      </c>
      <c r="E197" s="38"/>
      <c r="F197" s="38"/>
      <c r="G197" s="38"/>
      <c r="H197" s="38"/>
      <c r="I197" s="50"/>
      <c r="J197" s="50"/>
      <c r="K197" s="50"/>
      <c r="L197" s="79" t="s">
        <v>2082</v>
      </c>
      <c r="M197" s="1584" t="s">
        <v>4052</v>
      </c>
      <c r="N197" s="1585"/>
      <c r="O197" s="1586"/>
      <c r="P197" s="1574" t="s">
        <v>4031</v>
      </c>
      <c r="Q197" s="232"/>
    </row>
    <row r="198" spans="1:32" ht="11.45" customHeight="1">
      <c r="B198" s="55"/>
      <c r="C198" s="79" t="s">
        <v>2592</v>
      </c>
      <c r="D198" s="38" t="s">
        <v>796</v>
      </c>
      <c r="E198" s="38"/>
      <c r="F198" s="38"/>
      <c r="G198" s="38"/>
      <c r="H198" s="38"/>
      <c r="I198" s="50"/>
      <c r="J198" s="50"/>
      <c r="K198" s="50"/>
      <c r="L198" s="79" t="s">
        <v>2083</v>
      </c>
      <c r="M198" s="1607" t="s">
        <v>4035</v>
      </c>
      <c r="N198" s="1608"/>
      <c r="O198" s="1609"/>
      <c r="P198" s="1574" t="s">
        <v>4031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3520</v>
      </c>
      <c r="D200" s="62"/>
      <c r="E200" s="62"/>
      <c r="F200" s="62"/>
      <c r="G200" s="62"/>
      <c r="H200" s="62"/>
      <c r="I200" s="62"/>
      <c r="J200" s="62"/>
      <c r="K200" s="50"/>
      <c r="L200" s="50"/>
      <c r="M200" s="50"/>
      <c r="N200" s="50"/>
      <c r="O200" s="803" t="s">
        <v>2866</v>
      </c>
      <c r="P200" s="1574" t="s">
        <v>4031</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4053</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2486</v>
      </c>
      <c r="E204" s="1614"/>
      <c r="F204" s="1614"/>
      <c r="G204" s="1614"/>
      <c r="H204" s="1615"/>
      <c r="I204" s="652"/>
      <c r="J204" s="293"/>
      <c r="K204" s="79" t="s">
        <v>3331</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4031</v>
      </c>
      <c r="Q206" s="232"/>
    </row>
    <row r="207" spans="1:32" ht="11.45" customHeight="1">
      <c r="B207" s="55"/>
      <c r="C207" s="79" t="s">
        <v>2590</v>
      </c>
      <c r="D207" s="62" t="s">
        <v>188</v>
      </c>
      <c r="E207" s="62"/>
      <c r="F207" s="62"/>
      <c r="G207" s="62"/>
      <c r="H207" s="62"/>
      <c r="I207" s="50"/>
      <c r="J207" s="40"/>
      <c r="K207" s="50"/>
      <c r="L207" s="40"/>
      <c r="M207" s="40"/>
      <c r="O207" s="79" t="s">
        <v>2590</v>
      </c>
      <c r="P207" s="1574" t="s">
        <v>3975</v>
      </c>
      <c r="Q207" s="232"/>
    </row>
    <row r="208" spans="1:32" ht="11.45" customHeight="1">
      <c r="C208" s="79" t="s">
        <v>2591</v>
      </c>
      <c r="D208" s="38" t="s">
        <v>2490</v>
      </c>
      <c r="E208" s="38"/>
      <c r="F208" s="38"/>
      <c r="G208" s="38"/>
      <c r="H208" s="38"/>
      <c r="I208" s="50"/>
      <c r="J208" s="40"/>
      <c r="K208" s="50"/>
      <c r="L208" s="40"/>
      <c r="M208" s="40"/>
      <c r="O208" s="79" t="s">
        <v>2591</v>
      </c>
      <c r="P208" s="1574" t="s">
        <v>3975</v>
      </c>
      <c r="Q208" s="232"/>
    </row>
    <row r="209" spans="1:31" ht="11.45" customHeight="1">
      <c r="C209" s="79" t="s">
        <v>2592</v>
      </c>
      <c r="D209" s="38" t="s">
        <v>2107</v>
      </c>
      <c r="E209" s="38"/>
      <c r="F209" s="38"/>
      <c r="G209" s="38"/>
      <c r="H209" s="38"/>
      <c r="I209" s="50"/>
      <c r="J209" s="40"/>
      <c r="K209" s="50"/>
      <c r="L209" s="40"/>
      <c r="M209" s="40"/>
      <c r="O209" s="79" t="s">
        <v>2592</v>
      </c>
      <c r="P209" s="1574" t="s">
        <v>3975</v>
      </c>
      <c r="Q209" s="232"/>
    </row>
    <row r="210" spans="1:31" ht="11.45" customHeight="1">
      <c r="B210" s="55"/>
      <c r="C210" s="79" t="s">
        <v>3331</v>
      </c>
      <c r="D210" s="38" t="s">
        <v>189</v>
      </c>
      <c r="E210" s="38"/>
      <c r="F210" s="38"/>
      <c r="G210" s="38"/>
      <c r="H210" s="38"/>
      <c r="I210" s="50"/>
      <c r="J210" s="40"/>
      <c r="K210" s="50"/>
      <c r="L210" s="40"/>
      <c r="M210" s="40"/>
      <c r="O210" s="79" t="s">
        <v>3331</v>
      </c>
      <c r="P210" s="1574" t="s">
        <v>3975</v>
      </c>
      <c r="Q210" s="232"/>
    </row>
    <row r="211" spans="1:31" ht="11.45" customHeight="1">
      <c r="B211" s="55"/>
      <c r="C211" s="79" t="s">
        <v>2153</v>
      </c>
      <c r="D211" s="62" t="s">
        <v>1256</v>
      </c>
      <c r="E211" s="62"/>
      <c r="F211" s="62"/>
      <c r="G211" s="62"/>
      <c r="H211" s="62"/>
      <c r="I211" s="50"/>
      <c r="J211" s="40"/>
      <c r="K211" s="50"/>
      <c r="L211" s="40"/>
      <c r="M211" s="40"/>
      <c r="O211" s="79" t="s">
        <v>1257</v>
      </c>
      <c r="P211" s="1574" t="s">
        <v>3975</v>
      </c>
      <c r="Q211" s="232"/>
    </row>
    <row r="212" spans="1:31" ht="11.45" customHeight="1">
      <c r="B212" s="55"/>
      <c r="C212" s="79"/>
      <c r="D212" s="62" t="s">
        <v>2084</v>
      </c>
      <c r="E212" s="62"/>
      <c r="F212" s="62"/>
      <c r="G212" s="62"/>
      <c r="H212" s="62"/>
      <c r="I212" s="50"/>
      <c r="J212" s="40"/>
      <c r="K212" s="50"/>
      <c r="L212" s="40"/>
      <c r="M212" s="40"/>
      <c r="O212" s="79" t="s">
        <v>1258</v>
      </c>
      <c r="P212" s="1574" t="s">
        <v>3983</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3870</v>
      </c>
      <c r="D214" s="62"/>
      <c r="E214" s="62"/>
      <c r="F214" s="62"/>
      <c r="G214" s="62"/>
      <c r="H214" s="62"/>
      <c r="I214" s="62"/>
      <c r="J214" s="62"/>
      <c r="K214" s="50"/>
      <c r="L214" s="62"/>
      <c r="M214" s="62"/>
      <c r="O214" s="803" t="s">
        <v>3005</v>
      </c>
      <c r="P214" s="1574"/>
      <c r="Q214" s="232"/>
    </row>
    <row r="215" spans="1:31" ht="11.45" customHeight="1">
      <c r="B215" s="55"/>
      <c r="C215" s="79" t="s">
        <v>2590</v>
      </c>
      <c r="D215" s="47" t="s">
        <v>1807</v>
      </c>
      <c r="E215" s="50"/>
      <c r="F215" s="50"/>
      <c r="G215" s="47"/>
      <c r="H215" s="38"/>
      <c r="I215" s="50"/>
      <c r="J215" s="38"/>
      <c r="K215" s="50"/>
      <c r="L215" s="38"/>
      <c r="M215" s="38"/>
      <c r="O215" s="79" t="s">
        <v>2590</v>
      </c>
      <c r="P215" s="1574"/>
      <c r="Q215" s="232"/>
    </row>
    <row r="216" spans="1:31" ht="11.45" customHeight="1">
      <c r="B216" s="55"/>
      <c r="C216" s="79" t="s">
        <v>2591</v>
      </c>
      <c r="D216" s="47" t="s">
        <v>181</v>
      </c>
      <c r="E216" s="50"/>
      <c r="F216" s="50"/>
      <c r="G216" s="38"/>
      <c r="H216" s="38"/>
      <c r="I216" s="50"/>
      <c r="J216" s="38"/>
      <c r="K216" s="50"/>
      <c r="L216" s="38"/>
      <c r="M216" s="38"/>
      <c r="O216" s="79" t="s">
        <v>2591</v>
      </c>
      <c r="P216" s="1574"/>
      <c r="Q216" s="232"/>
    </row>
    <row r="217" spans="1:31" ht="11.45" customHeight="1">
      <c r="B217" s="55"/>
      <c r="C217" s="79" t="s">
        <v>2592</v>
      </c>
      <c r="D217" s="38" t="s">
        <v>2468</v>
      </c>
      <c r="E217" s="50"/>
      <c r="F217" s="50"/>
      <c r="G217" s="38"/>
      <c r="H217" s="38"/>
      <c r="I217" s="50"/>
      <c r="J217" s="38"/>
      <c r="K217" s="50"/>
      <c r="L217" s="38"/>
      <c r="M217" s="38"/>
      <c r="O217" s="79" t="s">
        <v>3340</v>
      </c>
      <c r="P217" s="1574"/>
      <c r="Q217" s="232"/>
    </row>
    <row r="218" spans="1:31" ht="11.45" customHeight="1">
      <c r="B218" s="44"/>
      <c r="C218" s="50"/>
      <c r="D218" s="38" t="s">
        <v>1852</v>
      </c>
      <c r="E218" s="50"/>
      <c r="F218" s="50"/>
      <c r="G218" s="38"/>
      <c r="H218" s="38"/>
      <c r="I218" s="50"/>
      <c r="J218" s="38"/>
      <c r="K218" s="50"/>
      <c r="L218" s="38"/>
      <c r="M218" s="38"/>
      <c r="O218" s="79" t="s">
        <v>3341</v>
      </c>
      <c r="P218" s="1574"/>
      <c r="Q218" s="232"/>
    </row>
    <row r="219" spans="1:31" ht="11.25" customHeight="1">
      <c r="B219" s="191" t="s">
        <v>2738</v>
      </c>
      <c r="D219" s="191"/>
      <c r="E219" s="191"/>
      <c r="F219" s="191"/>
      <c r="G219" s="191"/>
      <c r="H219" s="48"/>
      <c r="I219" s="180"/>
      <c r="J219" s="180"/>
      <c r="K219" s="180"/>
      <c r="L219" s="848"/>
      <c r="M219" s="848"/>
      <c r="N219" s="848"/>
      <c r="O219" s="848"/>
      <c r="P219" s="848"/>
      <c r="Q219" s="60"/>
    </row>
    <row r="220" spans="1:31" ht="21.75" customHeight="1">
      <c r="A220" s="1578" t="s">
        <v>4086</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2739</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2740</v>
      </c>
      <c r="P224" s="1114"/>
      <c r="Q224" s="1119"/>
    </row>
    <row r="225" spans="1:32" ht="4.9000000000000004" customHeight="1"/>
    <row r="226" spans="1:32" ht="11.45" customHeight="1">
      <c r="B226" s="55" t="s">
        <v>2863</v>
      </c>
      <c r="C226" s="62" t="s">
        <v>1823</v>
      </c>
      <c r="D226" s="50"/>
      <c r="E226" s="62"/>
      <c r="F226" s="62"/>
      <c r="G226" s="62"/>
      <c r="H226" s="62"/>
      <c r="I226" s="50"/>
      <c r="J226" s="50"/>
      <c r="K226" s="50"/>
      <c r="L226" s="803" t="s">
        <v>2863</v>
      </c>
      <c r="M226" s="1584" t="s">
        <v>2626</v>
      </c>
      <c r="N226" s="1585"/>
      <c r="O226" s="1586"/>
      <c r="P226" s="1132" t="s">
        <v>2626</v>
      </c>
      <c r="Q226" s="1133"/>
    </row>
    <row r="227" spans="1:32" ht="11.45" customHeight="1">
      <c r="B227" s="55" t="s">
        <v>2866</v>
      </c>
      <c r="C227" s="62" t="s">
        <v>1795</v>
      </c>
      <c r="D227" s="62"/>
      <c r="E227" s="62"/>
      <c r="F227" s="62"/>
      <c r="G227" s="62"/>
      <c r="H227" s="62"/>
      <c r="I227" s="50"/>
      <c r="J227" s="50"/>
      <c r="K227" s="50"/>
      <c r="L227" s="803" t="s">
        <v>2866</v>
      </c>
      <c r="M227" s="1616"/>
      <c r="N227" s="1617"/>
      <c r="O227" s="1618"/>
      <c r="P227" s="1163"/>
      <c r="Q227" s="1164"/>
    </row>
    <row r="228" spans="1:32" s="199" customFormat="1" ht="11.45" customHeight="1">
      <c r="B228" s="55" t="s">
        <v>1145</v>
      </c>
      <c r="C228" s="62" t="s">
        <v>2824</v>
      </c>
      <c r="D228" s="62"/>
      <c r="E228" s="62"/>
      <c r="F228" s="62"/>
      <c r="G228" s="62"/>
      <c r="H228" s="62"/>
      <c r="I228" s="126"/>
      <c r="J228" s="126"/>
      <c r="K228" s="126"/>
      <c r="L228" s="803" t="s">
        <v>1145</v>
      </c>
      <c r="M228" s="1584"/>
      <c r="N228" s="1585"/>
      <c r="O228" s="1586"/>
      <c r="P228" s="1132"/>
      <c r="Q228" s="1133"/>
      <c r="AE228" s="807"/>
      <c r="AF228" s="807"/>
    </row>
    <row r="229" spans="1:32" s="199" customFormat="1" ht="11.45" customHeight="1">
      <c r="B229" s="55" t="s">
        <v>3005</v>
      </c>
      <c r="C229" s="62" t="s">
        <v>3568</v>
      </c>
      <c r="D229" s="62"/>
      <c r="E229" s="62"/>
      <c r="F229" s="62"/>
      <c r="G229" s="62"/>
      <c r="H229" s="62"/>
      <c r="I229" s="126"/>
      <c r="J229" s="126"/>
      <c r="K229" s="126"/>
      <c r="L229" s="126"/>
      <c r="M229" s="126"/>
      <c r="O229" s="803" t="s">
        <v>3005</v>
      </c>
      <c r="P229" s="1574"/>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4"/>
      <c r="Q230" s="232"/>
      <c r="AE230" s="807"/>
      <c r="AF230" s="807"/>
    </row>
    <row r="231" spans="1:32" ht="11.25" customHeight="1">
      <c r="B231" s="191" t="s">
        <v>2738</v>
      </c>
      <c r="D231" s="191"/>
      <c r="E231" s="191"/>
      <c r="F231" s="191"/>
      <c r="G231" s="191"/>
      <c r="H231" s="48"/>
      <c r="I231" s="180"/>
      <c r="J231" s="180"/>
      <c r="K231" s="180"/>
      <c r="L231" s="848"/>
      <c r="M231" s="848"/>
      <c r="N231" s="848"/>
      <c r="O231" s="848"/>
      <c r="P231" s="848"/>
      <c r="Q231" s="60"/>
    </row>
    <row r="232" spans="1:32" ht="13.15" customHeight="1">
      <c r="A232" s="1578" t="s">
        <v>4087</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2739</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2740</v>
      </c>
      <c r="P236" s="1114"/>
      <c r="Q236" s="1119"/>
    </row>
    <row r="237" spans="1:32" ht="3" customHeight="1"/>
    <row r="238" spans="1:32" s="661" customFormat="1" ht="11.25" customHeight="1">
      <c r="B238" s="192" t="s">
        <v>2863</v>
      </c>
      <c r="C238" s="1118" t="s">
        <v>3846</v>
      </c>
      <c r="D238" s="1118"/>
      <c r="E238" s="1118"/>
      <c r="F238" s="1118"/>
      <c r="G238" s="1118"/>
      <c r="H238" s="1118"/>
      <c r="I238" s="1118"/>
      <c r="J238" s="1118"/>
      <c r="K238" s="1118"/>
      <c r="L238" s="1118"/>
      <c r="M238" s="1118"/>
      <c r="N238" s="1118"/>
      <c r="O238" s="219" t="s">
        <v>2863</v>
      </c>
      <c r="P238" s="1596" t="s">
        <v>3975</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4" t="s">
        <v>3975</v>
      </c>
      <c r="Q239" s="232"/>
      <c r="AE239" s="807"/>
      <c r="AF239" s="807"/>
    </row>
    <row r="240" spans="1:32" ht="11.25" customHeight="1">
      <c r="B240" s="191" t="s">
        <v>2738</v>
      </c>
      <c r="D240" s="191"/>
      <c r="E240" s="191"/>
      <c r="F240" s="191"/>
      <c r="G240" s="191"/>
      <c r="H240" s="48"/>
      <c r="I240" s="180"/>
      <c r="J240" s="180"/>
      <c r="K240" s="180"/>
      <c r="L240" s="848"/>
      <c r="M240" s="848"/>
      <c r="N240" s="848"/>
      <c r="O240" s="848"/>
      <c r="P240" s="848"/>
      <c r="Q240" s="60"/>
    </row>
    <row r="241" spans="1:32" ht="13.15" customHeight="1">
      <c r="A241" s="1578" t="s">
        <v>4111</v>
      </c>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2739</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2740</v>
      </c>
      <c r="P245" s="1114"/>
      <c r="Q245" s="1119"/>
    </row>
    <row r="246" spans="1:32" ht="3" customHeight="1"/>
    <row r="247" spans="1:32" s="661" customFormat="1" ht="24" customHeight="1">
      <c r="B247" s="192" t="s">
        <v>2863</v>
      </c>
      <c r="C247" s="1113" t="s">
        <v>3890</v>
      </c>
      <c r="D247" s="1006"/>
      <c r="E247" s="1006"/>
      <c r="F247" s="1006"/>
      <c r="G247" s="1006"/>
      <c r="H247" s="1006"/>
      <c r="I247" s="1006"/>
      <c r="J247" s="1006"/>
      <c r="K247" s="1006"/>
      <c r="L247" s="1006"/>
      <c r="M247" s="1006"/>
      <c r="N247" s="1006"/>
      <c r="O247" s="219" t="s">
        <v>2863</v>
      </c>
      <c r="P247" s="1574" t="s">
        <v>4031</v>
      </c>
      <c r="Q247" s="232"/>
      <c r="AE247" s="808"/>
      <c r="AF247" s="808"/>
    </row>
    <row r="248" spans="1:32" s="661" customFormat="1" ht="24" customHeight="1">
      <c r="B248" s="192" t="s">
        <v>2866</v>
      </c>
      <c r="C248" s="1113" t="s">
        <v>3891</v>
      </c>
      <c r="D248" s="1006"/>
      <c r="E248" s="1006"/>
      <c r="F248" s="1006"/>
      <c r="G248" s="1006"/>
      <c r="H248" s="1006"/>
      <c r="I248" s="1006"/>
      <c r="J248" s="1006"/>
      <c r="K248" s="1006"/>
      <c r="L248" s="1006"/>
      <c r="M248" s="1006"/>
      <c r="N248" s="1006"/>
      <c r="O248" s="219" t="s">
        <v>2866</v>
      </c>
      <c r="P248" s="1574" t="s">
        <v>4031</v>
      </c>
      <c r="Q248" s="232"/>
      <c r="AE248" s="808"/>
      <c r="AF248" s="808"/>
    </row>
    <row r="249" spans="1:32" ht="11.25" customHeight="1">
      <c r="B249" s="191" t="s">
        <v>2738</v>
      </c>
      <c r="D249" s="191"/>
      <c r="E249" s="191"/>
      <c r="F249" s="191"/>
      <c r="G249" s="191"/>
      <c r="H249" s="48"/>
      <c r="I249" s="180"/>
      <c r="J249" s="180"/>
      <c r="K249" s="180"/>
      <c r="L249" s="848"/>
      <c r="M249" s="848"/>
      <c r="N249" s="848"/>
      <c r="O249" s="848"/>
      <c r="P249" s="848"/>
      <c r="Q249" s="60"/>
    </row>
    <row r="250" spans="1:32" ht="22.5" customHeight="1">
      <c r="A250" s="1578" t="s">
        <v>4088</v>
      </c>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2739</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2740</v>
      </c>
      <c r="P254" s="1114"/>
      <c r="Q254" s="1119"/>
    </row>
    <row r="255" spans="1:32" s="199" customFormat="1" ht="46.5" customHeight="1">
      <c r="B255" s="192" t="s">
        <v>2863</v>
      </c>
      <c r="C255" s="1113" t="s">
        <v>3833</v>
      </c>
      <c r="D255" s="1113"/>
      <c r="E255" s="1113"/>
      <c r="F255" s="1113"/>
      <c r="G255" s="1113"/>
      <c r="H255" s="1113"/>
      <c r="I255" s="1113"/>
      <c r="J255" s="1113"/>
      <c r="K255" s="1113"/>
      <c r="L255" s="1113"/>
      <c r="M255" s="1113"/>
      <c r="N255" s="1113"/>
      <c r="O255" s="219" t="s">
        <v>2863</v>
      </c>
      <c r="P255" s="1596" t="s">
        <v>3975</v>
      </c>
      <c r="Q255" s="232"/>
      <c r="AE255" s="807"/>
      <c r="AF255" s="807"/>
    </row>
    <row r="256" spans="1:32" s="126" customFormat="1">
      <c r="B256" s="55" t="s">
        <v>2866</v>
      </c>
      <c r="C256" s="1097" t="s">
        <v>3834</v>
      </c>
      <c r="D256" s="1097"/>
      <c r="E256" s="1097"/>
      <c r="F256" s="1097"/>
      <c r="G256" s="1097"/>
      <c r="H256" s="1097"/>
      <c r="I256" s="1097"/>
      <c r="J256" s="1097"/>
      <c r="K256" s="1097"/>
      <c r="L256" s="1097"/>
      <c r="M256" s="1097"/>
      <c r="N256" s="1097"/>
      <c r="O256" s="803" t="s">
        <v>2866</v>
      </c>
      <c r="P256" s="1574" t="s">
        <v>3975</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596" t="s">
        <v>3975</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4" t="s">
        <v>3975</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596" t="s">
        <v>3975</v>
      </c>
      <c r="Q259" s="354"/>
      <c r="AE259" s="808"/>
      <c r="AF259" s="808"/>
    </row>
    <row r="260" spans="1:256" ht="11.25" customHeight="1">
      <c r="B260" s="191" t="s">
        <v>2738</v>
      </c>
      <c r="D260" s="191"/>
      <c r="E260" s="191"/>
      <c r="F260" s="191"/>
      <c r="G260" s="191"/>
      <c r="H260" s="48"/>
      <c r="I260" s="180"/>
      <c r="J260" s="180"/>
      <c r="K260" s="180"/>
      <c r="L260" s="848"/>
      <c r="M260" s="848"/>
      <c r="N260" s="848"/>
      <c r="O260" s="848"/>
      <c r="P260" s="848"/>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2740</v>
      </c>
      <c r="P264" s="1171"/>
      <c r="Q264" s="1172"/>
    </row>
    <row r="265" spans="1:256" ht="11.45" customHeight="1">
      <c r="B265" s="195" t="s">
        <v>3164</v>
      </c>
      <c r="P265" s="1574" t="s">
        <v>3983</v>
      </c>
      <c r="Q265" s="232"/>
    </row>
    <row r="266" spans="1:256" ht="12" customHeight="1">
      <c r="B266" s="197" t="s">
        <v>3112</v>
      </c>
      <c r="C266" s="197"/>
      <c r="D266" s="197"/>
      <c r="E266" s="197"/>
      <c r="F266" s="197"/>
      <c r="G266" s="197"/>
      <c r="H266" s="197"/>
      <c r="I266" s="197"/>
      <c r="J266" s="197"/>
      <c r="K266" s="197"/>
      <c r="L266" s="197"/>
      <c r="P266" s="1574" t="s">
        <v>3975</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2863</v>
      </c>
      <c r="P268" s="1596"/>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2866</v>
      </c>
      <c r="C270" s="1147" t="s">
        <v>634</v>
      </c>
      <c r="D270" s="1147"/>
      <c r="E270" s="1147"/>
      <c r="F270" s="1147"/>
      <c r="G270" s="1147"/>
      <c r="H270" s="1147"/>
      <c r="I270" s="1147"/>
      <c r="J270" s="1147"/>
      <c r="K270" s="1147"/>
      <c r="L270" s="1147"/>
      <c r="M270" s="1147"/>
      <c r="O270" s="219" t="s">
        <v>2866</v>
      </c>
      <c r="P270" s="848"/>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3975</v>
      </c>
      <c r="Q271" s="354"/>
    </row>
    <row r="272" spans="1:256" ht="23.25" customHeight="1">
      <c r="A272" s="194"/>
      <c r="C272" s="294" t="s">
        <v>2591</v>
      </c>
      <c r="D272" s="1165" t="s">
        <v>1648</v>
      </c>
      <c r="E272" s="1166"/>
      <c r="F272" s="1167"/>
      <c r="G272" s="1578" t="s">
        <v>3788</v>
      </c>
      <c r="H272" s="1446"/>
      <c r="I272" s="1446"/>
      <c r="J272" s="1446"/>
      <c r="K272" s="1446"/>
      <c r="L272" s="1446"/>
      <c r="M272" s="1446"/>
      <c r="N272" s="1447"/>
      <c r="O272" s="298" t="s">
        <v>2591</v>
      </c>
      <c r="P272" s="1596" t="s">
        <v>3975</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2738</v>
      </c>
      <c r="D278" s="191"/>
      <c r="E278" s="191"/>
      <c r="F278" s="191"/>
      <c r="G278" s="191"/>
      <c r="H278" s="48"/>
      <c r="I278" s="180"/>
      <c r="J278" s="180"/>
      <c r="K278" s="180"/>
      <c r="L278" s="848"/>
      <c r="M278" s="848"/>
      <c r="N278" s="848"/>
      <c r="O278" s="848"/>
      <c r="P278" s="848"/>
      <c r="Q278" s="60"/>
    </row>
    <row r="279" spans="1:256" ht="11.45" customHeight="1">
      <c r="A279" s="1578" t="s">
        <v>4089</v>
      </c>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2740</v>
      </c>
      <c r="P283" s="1114"/>
      <c r="Q283" s="1119"/>
    </row>
    <row r="284" spans="1:256" ht="3" customHeight="1"/>
    <row r="285" spans="1:256" ht="11.45" customHeight="1">
      <c r="B285" s="195" t="s">
        <v>3284</v>
      </c>
      <c r="P285" s="1574" t="s">
        <v>3975</v>
      </c>
      <c r="Q285" s="232"/>
    </row>
    <row r="286" spans="1:256" ht="11.45" customHeight="1">
      <c r="B286" s="195" t="s">
        <v>3285</v>
      </c>
      <c r="P286" s="1574" t="s">
        <v>3983</v>
      </c>
      <c r="Q286" s="232"/>
    </row>
    <row r="287" spans="1:256" ht="11.45" customHeight="1">
      <c r="B287" s="195" t="s">
        <v>850</v>
      </c>
      <c r="L287" s="1625" t="s">
        <v>4036</v>
      </c>
      <c r="M287" s="1626"/>
      <c r="N287" s="1626"/>
      <c r="O287" s="1627"/>
    </row>
    <row r="288" spans="1:256" ht="11.45" customHeight="1">
      <c r="B288" s="653" t="s">
        <v>3286</v>
      </c>
      <c r="L288" s="1168"/>
      <c r="M288" s="1169"/>
      <c r="N288" s="1169"/>
      <c r="O288" s="1170"/>
    </row>
    <row r="289" spans="1:31" ht="11.25" customHeight="1">
      <c r="B289" s="191" t="s">
        <v>2738</v>
      </c>
      <c r="D289" s="191"/>
      <c r="E289" s="191"/>
      <c r="F289" s="191"/>
      <c r="G289" s="191"/>
      <c r="H289" s="48"/>
      <c r="I289" s="180"/>
      <c r="J289" s="180"/>
      <c r="K289" s="180"/>
      <c r="L289" s="848"/>
      <c r="M289" s="848"/>
      <c r="N289" s="848"/>
      <c r="O289" s="848"/>
      <c r="P289" s="848"/>
      <c r="Q289" s="60"/>
    </row>
    <row r="290" spans="1:31" ht="13.15" customHeight="1">
      <c r="A290" s="1578" t="s">
        <v>4090</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2739</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2740</v>
      </c>
      <c r="P294" s="1114"/>
      <c r="Q294" s="1119"/>
    </row>
    <row r="295" spans="1:31" ht="3" customHeight="1"/>
    <row r="296" spans="1:31" ht="22.15" customHeight="1">
      <c r="B296" s="192" t="s">
        <v>2863</v>
      </c>
      <c r="C296" s="1118" t="s">
        <v>3836</v>
      </c>
      <c r="D296" s="1118"/>
      <c r="E296" s="1118"/>
      <c r="F296" s="1118"/>
      <c r="G296" s="1118"/>
      <c r="H296" s="1118"/>
      <c r="I296" s="1118"/>
      <c r="J296" s="1118"/>
      <c r="K296" s="1118"/>
      <c r="L296" s="1118"/>
      <c r="M296" s="1118"/>
      <c r="N296" s="1118"/>
      <c r="O296" s="219" t="s">
        <v>2863</v>
      </c>
      <c r="P296" s="1574" t="s">
        <v>3975</v>
      </c>
      <c r="Q296" s="232"/>
    </row>
    <row r="297" spans="1:31" ht="11.45" customHeight="1">
      <c r="B297" s="192" t="s">
        <v>2866</v>
      </c>
      <c r="C297" s="1118" t="s">
        <v>3892</v>
      </c>
      <c r="D297" s="1118"/>
      <c r="E297" s="1118"/>
      <c r="F297" s="1118"/>
      <c r="G297" s="1118"/>
      <c r="H297" s="1118"/>
      <c r="I297" s="1118"/>
      <c r="J297" s="1118"/>
      <c r="K297" s="1118"/>
      <c r="L297" s="1118"/>
      <c r="M297" s="1118"/>
      <c r="N297" s="1118"/>
      <c r="O297" s="219" t="s">
        <v>2866</v>
      </c>
      <c r="P297" s="1574" t="s">
        <v>3975</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3975</v>
      </c>
      <c r="Q298" s="232"/>
    </row>
    <row r="299" spans="1:31" ht="22.15" customHeight="1">
      <c r="B299" s="192" t="s">
        <v>3005</v>
      </c>
      <c r="C299" s="1118" t="s">
        <v>3871</v>
      </c>
      <c r="D299" s="1118"/>
      <c r="E299" s="1118"/>
      <c r="F299" s="1118"/>
      <c r="G299" s="1118"/>
      <c r="H299" s="1118"/>
      <c r="I299" s="1118"/>
      <c r="J299" s="1118"/>
      <c r="K299" s="1118"/>
      <c r="L299" s="1118"/>
      <c r="M299" s="1118"/>
      <c r="N299" s="1118"/>
      <c r="O299" s="219" t="s">
        <v>3005</v>
      </c>
      <c r="P299" s="1574" t="s">
        <v>3975</v>
      </c>
      <c r="Q299" s="232"/>
    </row>
    <row r="300" spans="1:31" ht="11.25" customHeight="1">
      <c r="B300" s="191" t="s">
        <v>2738</v>
      </c>
      <c r="D300" s="191"/>
      <c r="E300" s="191"/>
      <c r="F300" s="191"/>
      <c r="G300" s="191"/>
      <c r="H300" s="48"/>
      <c r="I300" s="180"/>
      <c r="J300" s="180"/>
      <c r="K300" s="180"/>
      <c r="L300" s="848"/>
      <c r="M300" s="848"/>
      <c r="N300" s="848"/>
      <c r="O300" s="848"/>
      <c r="P300" s="848"/>
      <c r="Q300" s="60"/>
    </row>
    <row r="301" spans="1:31" ht="11.45" customHeight="1">
      <c r="A301" s="1578" t="s">
        <v>4091</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2739</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2740</v>
      </c>
      <c r="P305" s="1114"/>
      <c r="Q305" s="1119"/>
    </row>
    <row r="306" spans="1:32" ht="12" customHeight="1">
      <c r="B306" s="55" t="s">
        <v>2863</v>
      </c>
      <c r="C306" s="161" t="s">
        <v>3873</v>
      </c>
      <c r="D306" s="859"/>
      <c r="E306" s="859"/>
      <c r="F306" s="859"/>
      <c r="G306" s="859"/>
      <c r="H306" s="859"/>
      <c r="I306" s="50"/>
      <c r="J306" s="803" t="s">
        <v>2863</v>
      </c>
      <c r="K306" s="1604" t="s">
        <v>3997</v>
      </c>
      <c r="L306" s="1605"/>
      <c r="M306" s="1605"/>
      <c r="N306" s="1605"/>
      <c r="O306" s="1605"/>
      <c r="P306" s="1606"/>
      <c r="Q306" s="232"/>
    </row>
    <row r="307" spans="1:32" ht="22.5" customHeight="1">
      <c r="B307" s="192" t="s">
        <v>2866</v>
      </c>
      <c r="C307" s="1097" t="s">
        <v>3872</v>
      </c>
      <c r="D307" s="1097"/>
      <c r="E307" s="1097"/>
      <c r="F307" s="1097"/>
      <c r="G307" s="1097"/>
      <c r="H307" s="1097"/>
      <c r="I307" s="1097"/>
      <c r="J307" s="1097"/>
      <c r="K307" s="1097"/>
      <c r="L307" s="1097"/>
      <c r="M307" s="1097"/>
      <c r="N307" s="1097"/>
      <c r="O307" s="219" t="s">
        <v>2866</v>
      </c>
      <c r="P307" s="1596" t="s">
        <v>3975</v>
      </c>
      <c r="Q307" s="232"/>
    </row>
    <row r="308" spans="1:32" ht="11.45" customHeight="1">
      <c r="B308" s="55" t="s">
        <v>1145</v>
      </c>
      <c r="C308" s="62" t="s">
        <v>3874</v>
      </c>
      <c r="D308" s="62"/>
      <c r="E308" s="62"/>
      <c r="F308" s="62"/>
      <c r="G308" s="62"/>
      <c r="H308" s="62"/>
      <c r="I308" s="62"/>
      <c r="J308" s="62"/>
      <c r="K308" s="62"/>
      <c r="L308" s="38"/>
      <c r="M308" s="38"/>
      <c r="O308" s="803" t="s">
        <v>1145</v>
      </c>
      <c r="P308" s="1574" t="s">
        <v>3975</v>
      </c>
      <c r="Q308" s="232"/>
    </row>
    <row r="309" spans="1:32" ht="11.45" customHeight="1">
      <c r="B309" s="55" t="s">
        <v>3005</v>
      </c>
      <c r="C309" s="62" t="s">
        <v>3875</v>
      </c>
      <c r="D309" s="62"/>
      <c r="E309" s="62"/>
      <c r="F309" s="62"/>
      <c r="G309" s="62"/>
      <c r="H309" s="62"/>
      <c r="I309" s="62"/>
      <c r="J309" s="62"/>
      <c r="K309" s="62"/>
      <c r="L309" s="62"/>
      <c r="M309" s="62"/>
      <c r="O309" s="803" t="s">
        <v>3005</v>
      </c>
      <c r="P309" s="1574" t="s">
        <v>3975</v>
      </c>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596" t="s">
        <v>3975</v>
      </c>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596" t="s">
        <v>3975</v>
      </c>
      <c r="Q311" s="354"/>
      <c r="AE311" s="806"/>
      <c r="AF311" s="806"/>
    </row>
    <row r="312" spans="1:32" ht="11.45" customHeight="1">
      <c r="B312" s="55" t="s">
        <v>2826</v>
      </c>
      <c r="C312" s="62" t="s">
        <v>3876</v>
      </c>
      <c r="D312" s="62"/>
      <c r="E312" s="62"/>
      <c r="F312" s="62"/>
      <c r="G312" s="62"/>
      <c r="H312" s="62"/>
      <c r="I312" s="62"/>
      <c r="J312" s="62"/>
      <c r="K312" s="62"/>
      <c r="L312" s="62"/>
      <c r="M312" s="62"/>
      <c r="O312" s="803" t="s">
        <v>2826</v>
      </c>
      <c r="P312" s="1574" t="s">
        <v>3975</v>
      </c>
      <c r="Q312" s="232"/>
    </row>
    <row r="313" spans="1:32" ht="11.25" customHeight="1">
      <c r="B313" s="191" t="s">
        <v>2738</v>
      </c>
      <c r="D313" s="191"/>
      <c r="E313" s="191"/>
      <c r="F313" s="191"/>
      <c r="G313" s="191"/>
      <c r="H313" s="48"/>
      <c r="I313" s="180"/>
      <c r="J313" s="180"/>
      <c r="K313" s="180"/>
      <c r="L313" s="848"/>
      <c r="M313" s="848"/>
      <c r="N313" s="848"/>
      <c r="O313" s="848"/>
      <c r="P313" s="848"/>
      <c r="Q313" s="60"/>
    </row>
    <row r="314" spans="1:32" ht="11.45" customHeight="1">
      <c r="A314" s="1578" t="s">
        <v>4092</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2739</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2740</v>
      </c>
      <c r="P318" s="1114"/>
      <c r="Q318" s="1119"/>
    </row>
    <row r="319" spans="1:32" ht="13.9" customHeight="1">
      <c r="A319" s="857"/>
      <c r="B319" s="149" t="s">
        <v>3814</v>
      </c>
      <c r="C319" s="5"/>
      <c r="D319" s="5"/>
      <c r="E319" s="5"/>
      <c r="F319" s="5"/>
      <c r="G319" s="5"/>
      <c r="H319" s="856"/>
      <c r="I319" s="856"/>
      <c r="J319" s="856"/>
    </row>
    <row r="320" spans="1:32" ht="11.45" customHeight="1">
      <c r="B320" s="55" t="s">
        <v>2863</v>
      </c>
      <c r="C320" s="653" t="s">
        <v>3817</v>
      </c>
      <c r="D320" s="65"/>
      <c r="E320" s="859"/>
      <c r="F320" s="859"/>
      <c r="G320" s="859"/>
      <c r="H320" s="859"/>
      <c r="I320" s="50"/>
      <c r="O320" s="803" t="s">
        <v>2863</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596"/>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596"/>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596"/>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596"/>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3818</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48"/>
      <c r="M336" s="848"/>
      <c r="N336" s="848"/>
      <c r="O336" s="848"/>
      <c r="P336" s="848"/>
      <c r="Q336" s="60"/>
    </row>
    <row r="337" spans="1:31" ht="11.45" customHeight="1">
      <c r="A337" s="1578" t="s">
        <v>4054</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2739</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2740</v>
      </c>
      <c r="P341" s="1114"/>
      <c r="Q341" s="1119"/>
    </row>
    <row r="342" spans="1:31" ht="11.45" customHeight="1">
      <c r="B342" s="55" t="s">
        <v>2863</v>
      </c>
      <c r="C342" s="161" t="s">
        <v>1543</v>
      </c>
      <c r="E342" s="1584"/>
      <c r="F342" s="1585"/>
      <c r="G342" s="1585"/>
      <c r="H342" s="1585"/>
      <c r="I342" s="1586"/>
      <c r="J342" s="1122" t="s">
        <v>3832</v>
      </c>
      <c r="K342" s="1123"/>
      <c r="L342" s="1124"/>
      <c r="M342" s="1584"/>
      <c r="N342" s="1585"/>
      <c r="O342" s="1585"/>
      <c r="P342" s="1585"/>
      <c r="Q342" s="1586"/>
    </row>
    <row r="343" spans="1:31" ht="11.45" customHeight="1">
      <c r="B343" s="55" t="s">
        <v>2866</v>
      </c>
      <c r="C343" s="62" t="s">
        <v>2593</v>
      </c>
      <c r="D343" s="62"/>
      <c r="E343" s="62"/>
      <c r="F343" s="62"/>
      <c r="G343" s="62"/>
      <c r="H343" s="62"/>
      <c r="I343" s="62"/>
      <c r="J343" s="62"/>
      <c r="K343" s="62"/>
      <c r="L343" s="38"/>
      <c r="M343" s="38"/>
      <c r="O343" s="803" t="s">
        <v>2866</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3005</v>
      </c>
      <c r="C345" s="62" t="s">
        <v>3877</v>
      </c>
      <c r="D345" s="62"/>
      <c r="E345" s="62"/>
      <c r="F345" s="62"/>
      <c r="G345" s="62"/>
      <c r="H345" s="62"/>
      <c r="I345" s="62"/>
      <c r="J345" s="62"/>
      <c r="K345" s="62"/>
      <c r="L345" s="62"/>
      <c r="M345" s="62"/>
      <c r="O345" s="803" t="s">
        <v>3005</v>
      </c>
      <c r="P345" s="1574"/>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4"/>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6"/>
      <c r="Q347" s="232"/>
    </row>
    <row r="348" spans="1:31" ht="11.45" customHeight="1">
      <c r="B348" s="55" t="s">
        <v>2826</v>
      </c>
      <c r="C348" s="38" t="s">
        <v>792</v>
      </c>
      <c r="D348" s="203"/>
      <c r="E348" s="203"/>
      <c r="F348" s="203"/>
      <c r="G348" s="203"/>
      <c r="H348" s="203"/>
      <c r="I348" s="203"/>
      <c r="J348" s="203"/>
      <c r="K348" s="203"/>
      <c r="L348" s="203"/>
      <c r="M348" s="203"/>
      <c r="O348" s="803" t="s">
        <v>2826</v>
      </c>
      <c r="P348" s="1574"/>
      <c r="Q348" s="232"/>
    </row>
    <row r="349" spans="1:31" ht="11.25" customHeight="1">
      <c r="B349" s="191" t="s">
        <v>2738</v>
      </c>
      <c r="D349" s="191"/>
      <c r="E349" s="191"/>
      <c r="F349" s="191"/>
      <c r="G349" s="191"/>
      <c r="H349" s="48"/>
      <c r="I349" s="180"/>
      <c r="J349" s="180"/>
      <c r="K349" s="180"/>
      <c r="L349" s="848"/>
      <c r="M349" s="848"/>
      <c r="N349" s="848"/>
      <c r="O349" s="848"/>
      <c r="P349" s="848"/>
      <c r="Q349" s="60"/>
    </row>
    <row r="350" spans="1:31" ht="11.45" customHeight="1">
      <c r="A350" s="1578" t="s">
        <v>4054</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2739</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2740</v>
      </c>
      <c r="P354" s="1114"/>
      <c r="Q354" s="1119"/>
    </row>
    <row r="355" spans="1:32" s="2" customFormat="1" ht="23.45" customHeight="1">
      <c r="B355" s="192" t="s">
        <v>2863</v>
      </c>
      <c r="C355" s="1118" t="s">
        <v>183</v>
      </c>
      <c r="D355" s="1118"/>
      <c r="E355" s="1118"/>
      <c r="F355" s="1118"/>
      <c r="G355" s="1118"/>
      <c r="H355" s="1118"/>
      <c r="I355" s="1118"/>
      <c r="J355" s="1118"/>
      <c r="K355" s="1118"/>
      <c r="L355" s="1118"/>
      <c r="M355" s="219" t="s">
        <v>2863</v>
      </c>
      <c r="N355" s="1628" t="s">
        <v>2626</v>
      </c>
      <c r="O355" s="1629"/>
      <c r="P355" s="1116" t="s">
        <v>2626</v>
      </c>
      <c r="Q355" s="1117"/>
      <c r="AE355" s="6"/>
      <c r="AF355" s="6"/>
    </row>
    <row r="356" spans="1:32" s="2" customFormat="1" ht="12" customHeight="1">
      <c r="B356" s="55" t="s">
        <v>2866</v>
      </c>
      <c r="C356" s="158" t="s">
        <v>1</v>
      </c>
      <c r="D356" s="203"/>
      <c r="E356" s="203"/>
      <c r="G356" s="803" t="s">
        <v>2866</v>
      </c>
      <c r="H356" s="1630"/>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t="s">
        <v>3975</v>
      </c>
      <c r="Q357" s="232"/>
      <c r="AE357" s="6"/>
      <c r="AF357" s="6"/>
    </row>
    <row r="358" spans="1:32" ht="11.25" customHeight="1">
      <c r="B358" s="191" t="s">
        <v>2738</v>
      </c>
      <c r="D358" s="191"/>
      <c r="E358" s="191"/>
      <c r="F358" s="191"/>
      <c r="G358" s="191"/>
      <c r="H358" s="48"/>
      <c r="I358" s="180"/>
      <c r="J358" s="180"/>
      <c r="K358" s="180"/>
      <c r="L358" s="848"/>
      <c r="M358" s="848"/>
      <c r="N358" s="848"/>
      <c r="O358" s="848"/>
      <c r="P358" s="848"/>
      <c r="Q358" s="60"/>
    </row>
    <row r="359" spans="1:32" ht="23.25" customHeight="1">
      <c r="A359" s="1578" t="s">
        <v>4112</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2740</v>
      </c>
      <c r="P364" s="1114"/>
      <c r="Q364" s="1115"/>
    </row>
    <row r="365" spans="1:32" ht="12" customHeight="1">
      <c r="A365" s="194"/>
      <c r="B365" s="55" t="s">
        <v>2863</v>
      </c>
      <c r="C365" s="62" t="s">
        <v>3838</v>
      </c>
      <c r="D365" s="727"/>
      <c r="E365" s="727"/>
      <c r="H365" s="190"/>
      <c r="O365" s="803" t="s">
        <v>2863</v>
      </c>
      <c r="P365" s="1574" t="s">
        <v>3983</v>
      </c>
      <c r="Q365" s="232"/>
    </row>
    <row r="366" spans="1:32" ht="12" customHeight="1">
      <c r="A366" s="194"/>
      <c r="B366" s="55" t="s">
        <v>2866</v>
      </c>
      <c r="C366" s="62" t="s">
        <v>3839</v>
      </c>
      <c r="D366" s="727"/>
      <c r="E366" s="727"/>
      <c r="O366" s="803" t="s">
        <v>2866</v>
      </c>
      <c r="P366" s="1574" t="s">
        <v>3983</v>
      </c>
      <c r="Q366" s="232"/>
    </row>
    <row r="367" spans="1:32" ht="12" customHeight="1">
      <c r="A367" s="194"/>
      <c r="B367" s="55" t="s">
        <v>1145</v>
      </c>
      <c r="C367" s="62" t="s">
        <v>3895</v>
      </c>
      <c r="D367" s="727"/>
      <c r="E367" s="727"/>
      <c r="O367" s="803" t="s">
        <v>1145</v>
      </c>
      <c r="P367" s="1574" t="s">
        <v>3975</v>
      </c>
      <c r="Q367" s="232"/>
    </row>
    <row r="368" spans="1:32" ht="12" customHeight="1">
      <c r="A368" s="194"/>
      <c r="B368" s="55" t="s">
        <v>3005</v>
      </c>
      <c r="C368" s="62" t="s">
        <v>3831</v>
      </c>
      <c r="E368" s="190"/>
      <c r="O368" s="803" t="s">
        <v>3005</v>
      </c>
      <c r="P368" s="1574" t="s">
        <v>3983</v>
      </c>
      <c r="Q368" s="232"/>
    </row>
    <row r="369" spans="1:31" ht="12" customHeight="1">
      <c r="B369" s="55" t="s">
        <v>2588</v>
      </c>
      <c r="C369" s="62" t="s">
        <v>2968</v>
      </c>
      <c r="E369" s="190"/>
      <c r="G369" s="803" t="s">
        <v>2588</v>
      </c>
      <c r="H369" s="1597"/>
      <c r="I369" s="1598"/>
      <c r="J369" s="1598"/>
      <c r="K369" s="1598"/>
      <c r="L369" s="1598"/>
      <c r="M369" s="1598"/>
      <c r="N369" s="1598"/>
      <c r="O369" s="1599"/>
      <c r="P369" s="1574"/>
      <c r="Q369" s="232"/>
    </row>
    <row r="370" spans="1:31" ht="11.25" customHeight="1">
      <c r="B370" s="191" t="s">
        <v>2738</v>
      </c>
      <c r="D370" s="191"/>
      <c r="E370" s="191"/>
      <c r="F370" s="191"/>
      <c r="G370" s="191"/>
      <c r="H370" s="48"/>
      <c r="I370" s="180"/>
      <c r="J370" s="180"/>
      <c r="K370" s="180"/>
      <c r="L370" s="848"/>
      <c r="M370" s="848"/>
      <c r="N370" s="848"/>
      <c r="O370" s="848"/>
      <c r="P370" s="848"/>
      <c r="Q370" s="60"/>
    </row>
    <row r="371" spans="1:31" ht="11.45" customHeight="1">
      <c r="A371" s="1578" t="s">
        <v>4093</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2739</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2740</v>
      </c>
      <c r="P375" s="1114"/>
      <c r="Q375" s="1115"/>
    </row>
    <row r="376" spans="1:31" ht="21.75" customHeight="1">
      <c r="A376" s="189"/>
      <c r="B376" s="192" t="s">
        <v>2863</v>
      </c>
      <c r="C376" s="1118" t="s">
        <v>837</v>
      </c>
      <c r="D376" s="1118"/>
      <c r="E376" s="1118"/>
      <c r="F376" s="1118"/>
      <c r="G376" s="1118"/>
      <c r="H376" s="1118"/>
      <c r="I376" s="1118"/>
      <c r="J376" s="1118"/>
      <c r="K376" s="1118"/>
      <c r="L376" s="1118"/>
      <c r="M376" s="1118"/>
      <c r="N376" s="1118"/>
      <c r="O376" s="219" t="s">
        <v>2863</v>
      </c>
      <c r="P376" s="1574" t="s">
        <v>4031</v>
      </c>
      <c r="Q376" s="232"/>
    </row>
    <row r="377" spans="1:31" ht="12" customHeight="1">
      <c r="A377" s="189"/>
      <c r="B377" s="55" t="s">
        <v>2866</v>
      </c>
      <c r="C377" s="197" t="s">
        <v>793</v>
      </c>
      <c r="D377" s="856"/>
      <c r="E377" s="856"/>
      <c r="F377" s="856"/>
      <c r="G377" s="856"/>
      <c r="H377" s="856"/>
      <c r="I377" s="856"/>
      <c r="J377" s="856"/>
      <c r="K377" s="856"/>
      <c r="L377" s="856"/>
      <c r="M377" s="856"/>
      <c r="O377" s="803" t="s">
        <v>2866</v>
      </c>
      <c r="P377" s="1574" t="s">
        <v>3975</v>
      </c>
      <c r="Q377" s="232"/>
    </row>
    <row r="378" spans="1:31" ht="11.25" customHeight="1">
      <c r="B378" s="127" t="s">
        <v>2738</v>
      </c>
      <c r="D378" s="127"/>
      <c r="E378" s="127"/>
      <c r="F378" s="127"/>
      <c r="G378" s="127"/>
      <c r="H378" s="48"/>
      <c r="I378" s="180"/>
      <c r="J378" s="180"/>
      <c r="K378" s="187" t="s">
        <v>2739</v>
      </c>
      <c r="L378" s="848"/>
      <c r="M378" s="848"/>
      <c r="N378" s="848"/>
      <c r="O378" s="235"/>
      <c r="P378" s="848"/>
      <c r="Q378" s="60"/>
    </row>
    <row r="379" spans="1:31" ht="11.45" customHeight="1">
      <c r="A379" s="1578"/>
      <c r="B379" s="1579"/>
      <c r="C379" s="1579"/>
      <c r="D379" s="1579"/>
      <c r="E379" s="1579"/>
      <c r="F379" s="1579"/>
      <c r="G379" s="1579"/>
      <c r="H379" s="1579"/>
      <c r="I379" s="1579"/>
      <c r="J379" s="1580"/>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2740</v>
      </c>
      <c r="P381" s="1114"/>
      <c r="Q381" s="1115"/>
    </row>
    <row r="382" spans="1:31" ht="12" customHeight="1">
      <c r="A382" s="50"/>
      <c r="B382" s="55" t="s">
        <v>2863</v>
      </c>
      <c r="C382" s="47" t="s">
        <v>1148</v>
      </c>
      <c r="D382" s="50"/>
      <c r="E382" s="50"/>
      <c r="F382" s="50"/>
      <c r="G382" s="50"/>
      <c r="H382" s="50"/>
      <c r="I382" s="50"/>
      <c r="J382" s="50"/>
      <c r="K382" s="50"/>
      <c r="L382" s="50"/>
      <c r="M382" s="50"/>
      <c r="N382" s="50"/>
      <c r="O382" s="803" t="s">
        <v>2863</v>
      </c>
      <c r="P382" s="1574" t="s">
        <v>3983</v>
      </c>
      <c r="Q382" s="232"/>
    </row>
    <row r="383" spans="1:31" ht="12" customHeight="1">
      <c r="A383" s="50"/>
      <c r="B383" s="55" t="s">
        <v>2866</v>
      </c>
      <c r="C383" s="47" t="s">
        <v>3101</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74"/>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3"/>
      <c r="H388" s="662" t="s">
        <v>291</v>
      </c>
      <c r="J388" s="184" t="s">
        <v>3106</v>
      </c>
      <c r="K388" s="38"/>
      <c r="N388" s="1633"/>
      <c r="O388" s="662" t="s">
        <v>291</v>
      </c>
    </row>
    <row r="389" spans="1:32" ht="12" customHeight="1">
      <c r="A389" s="50"/>
      <c r="B389" s="55"/>
      <c r="C389" s="184" t="s">
        <v>3104</v>
      </c>
      <c r="D389" s="44"/>
      <c r="E389" s="50"/>
      <c r="F389" s="38"/>
      <c r="G389" s="1633"/>
      <c r="H389" s="662"/>
      <c r="J389" s="184" t="s">
        <v>3107</v>
      </c>
      <c r="K389" s="38"/>
      <c r="N389" s="1633"/>
      <c r="O389" s="662"/>
    </row>
    <row r="390" spans="1:32" ht="12" customHeight="1">
      <c r="A390" s="50"/>
      <c r="B390" s="55"/>
      <c r="C390" s="184" t="s">
        <v>3105</v>
      </c>
      <c r="D390" s="44"/>
      <c r="E390" s="50"/>
      <c r="F390" s="38"/>
      <c r="G390" s="163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4"/>
      <c r="O393" s="1635"/>
      <c r="P393" s="1635"/>
      <c r="Q393" s="1636"/>
    </row>
    <row r="394" spans="1:32" ht="12" customHeight="1">
      <c r="B394" s="191" t="s">
        <v>2738</v>
      </c>
      <c r="D394" s="191"/>
      <c r="E394" s="191"/>
      <c r="F394" s="191"/>
      <c r="G394" s="191"/>
      <c r="H394" s="48"/>
      <c r="I394" s="180"/>
      <c r="J394" s="180"/>
      <c r="K394" s="180"/>
      <c r="P394" s="848"/>
      <c r="Q394" s="60"/>
    </row>
    <row r="395" spans="1:32" ht="36.75" customHeight="1">
      <c r="A395" s="1578" t="s">
        <v>4094</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2739</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2740</v>
      </c>
      <c r="P399" s="1114"/>
      <c r="Q399" s="1119"/>
    </row>
    <row r="400" spans="1:32" s="182" customFormat="1" ht="21.75" customHeight="1">
      <c r="B400" s="192" t="s">
        <v>2863</v>
      </c>
      <c r="C400" s="1121" t="s">
        <v>3881</v>
      </c>
      <c r="D400" s="1121"/>
      <c r="E400" s="1121"/>
      <c r="F400" s="1121"/>
      <c r="G400" s="1121"/>
      <c r="H400" s="1121"/>
      <c r="I400" s="1121"/>
      <c r="J400" s="1121"/>
      <c r="K400" s="1121"/>
      <c r="L400" s="1121"/>
      <c r="M400" s="1121"/>
      <c r="N400" s="1121"/>
      <c r="O400" s="219" t="s">
        <v>2863</v>
      </c>
      <c r="P400" s="1596" t="s">
        <v>4031</v>
      </c>
      <c r="Q400" s="354"/>
      <c r="AE400" s="806"/>
      <c r="AF400" s="806"/>
    </row>
    <row r="401" spans="1:32" s="182" customFormat="1" ht="12" customHeight="1">
      <c r="B401" s="192" t="s">
        <v>2866</v>
      </c>
      <c r="C401" s="1121" t="s">
        <v>3882</v>
      </c>
      <c r="D401" s="1121"/>
      <c r="E401" s="1121"/>
      <c r="F401" s="1121"/>
      <c r="G401" s="1121"/>
      <c r="H401" s="1121"/>
      <c r="I401" s="1121"/>
      <c r="J401" s="1121"/>
      <c r="K401" s="1121"/>
      <c r="L401" s="1121"/>
      <c r="M401" s="1121"/>
      <c r="N401" s="1121"/>
      <c r="O401" s="219" t="s">
        <v>2866</v>
      </c>
      <c r="P401" s="1596" t="s">
        <v>4031</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596" t="s">
        <v>4031</v>
      </c>
      <c r="Q402" s="354"/>
      <c r="AE402" s="806"/>
      <c r="AF402" s="806"/>
    </row>
    <row r="403" spans="1:32" s="182" customFormat="1" ht="33.75" customHeight="1">
      <c r="B403" s="192" t="s">
        <v>3005</v>
      </c>
      <c r="C403" s="1121" t="s">
        <v>3884</v>
      </c>
      <c r="D403" s="1121"/>
      <c r="E403" s="1121"/>
      <c r="F403" s="1121"/>
      <c r="G403" s="1121"/>
      <c r="H403" s="1121"/>
      <c r="I403" s="1121"/>
      <c r="J403" s="1121"/>
      <c r="K403" s="1121"/>
      <c r="L403" s="1121"/>
      <c r="M403" s="1121"/>
      <c r="N403" s="1121"/>
      <c r="O403" s="219" t="s">
        <v>3005</v>
      </c>
      <c r="P403" s="1596" t="s">
        <v>4031</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596" t="s">
        <v>4031</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596" t="s">
        <v>4031</v>
      </c>
      <c r="Q405" s="354"/>
      <c r="AE405" s="806"/>
      <c r="AF405" s="806"/>
    </row>
    <row r="406" spans="1:32" ht="11.25" customHeight="1">
      <c r="B406" s="191" t="s">
        <v>2738</v>
      </c>
      <c r="D406" s="191"/>
      <c r="E406" s="191"/>
      <c r="F406" s="191"/>
      <c r="G406" s="191"/>
      <c r="H406" s="48"/>
      <c r="I406" s="180"/>
      <c r="J406" s="180"/>
      <c r="K406" s="180"/>
      <c r="L406" s="848"/>
      <c r="M406" s="848"/>
      <c r="N406" s="848"/>
      <c r="O406" s="848"/>
      <c r="P406" s="848"/>
      <c r="Q406" s="60"/>
    </row>
    <row r="407" spans="1:32" ht="11.45" customHeight="1">
      <c r="A407" s="1578" t="s">
        <v>4095</v>
      </c>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2739</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2740</v>
      </c>
      <c r="P411" s="1114"/>
      <c r="Q411" s="1119"/>
    </row>
    <row r="412" spans="1:32" ht="11.25" customHeight="1">
      <c r="A412" s="857"/>
      <c r="B412" s="191" t="s">
        <v>2738</v>
      </c>
      <c r="D412" s="191"/>
      <c r="E412" s="191"/>
      <c r="F412" s="191"/>
      <c r="G412" s="191"/>
      <c r="H412" s="48"/>
      <c r="I412" s="180"/>
      <c r="J412" s="180"/>
      <c r="K412" s="180"/>
      <c r="L412" s="848"/>
      <c r="M412" s="848"/>
      <c r="N412" s="848"/>
      <c r="O412" s="848"/>
      <c r="P412" s="848"/>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2739</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3512</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A10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2012-008 Savannah Gardens Phase IV, Savannah, Chatham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1" t="s">
        <v>3620</v>
      </c>
      <c r="G10" s="38">
        <f>F16</f>
        <v>0</v>
      </c>
      <c r="H10" s="244" t="s">
        <v>301</v>
      </c>
      <c r="M10" s="7">
        <v>7</v>
      </c>
      <c r="N10" s="78" t="s">
        <v>2863</v>
      </c>
      <c r="O10" s="1638"/>
      <c r="P10" s="66"/>
    </row>
    <row r="11" spans="1:19" s="50" customFormat="1" ht="11.25" customHeight="1">
      <c r="A11" s="255" t="s">
        <v>2866</v>
      </c>
      <c r="B11" s="236" t="s">
        <v>1122</v>
      </c>
      <c r="D11" s="56"/>
      <c r="E11" s="56"/>
      <c r="F11" s="821" t="s">
        <v>3620</v>
      </c>
      <c r="G11" s="38">
        <f>K16</f>
        <v>0</v>
      </c>
      <c r="H11" s="244" t="s">
        <v>302</v>
      </c>
      <c r="J11" s="57"/>
      <c r="M11" s="7">
        <v>0</v>
      </c>
      <c r="N11" s="78" t="s">
        <v>2866</v>
      </c>
      <c r="O11" s="1638"/>
      <c r="P11" s="66"/>
      <c r="Q11" s="148"/>
    </row>
    <row r="12" spans="1:19" s="51" customFormat="1" ht="11.25" customHeight="1">
      <c r="A12" s="255" t="s">
        <v>1145</v>
      </c>
      <c r="B12" s="236" t="s">
        <v>3003</v>
      </c>
      <c r="D12" s="56"/>
      <c r="E12" s="56"/>
      <c r="F12" s="821" t="s">
        <v>3620</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3702</v>
      </c>
      <c r="E31" s="689"/>
      <c r="H31" s="660" t="s">
        <v>3857</v>
      </c>
      <c r="I31" s="1639">
        <v>23</v>
      </c>
      <c r="K31" s="660" t="s">
        <v>3859</v>
      </c>
      <c r="L31" s="691">
        <f>IF(OR('Part VI-Revenues &amp; Expenses'!$M$60="", 'Part VI-Revenues &amp; Expenses'!$M$60=0),0,I31/'Part VI-Revenues &amp; Expenses'!$M$60)</f>
        <v>0.20353982300884957</v>
      </c>
      <c r="M31" s="1">
        <v>3</v>
      </c>
      <c r="N31" s="690"/>
      <c r="O31" s="1189" t="s">
        <v>3928</v>
      </c>
      <c r="P31" s="735">
        <v>0.15</v>
      </c>
    </row>
    <row r="32" spans="1:19" s="688" customFormat="1" ht="11.25" customHeight="1">
      <c r="A32" s="687" t="s">
        <v>2866</v>
      </c>
      <c r="B32" s="155" t="s">
        <v>3703</v>
      </c>
      <c r="E32" s="689"/>
      <c r="H32" s="660" t="s">
        <v>3704</v>
      </c>
      <c r="I32" s="1639">
        <v>0</v>
      </c>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2739</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0">
        <v>12</v>
      </c>
      <c r="P40" s="85"/>
      <c r="R40" s="558"/>
    </row>
    <row r="41" spans="1:18" s="51" customFormat="1" ht="12.6" customHeight="1">
      <c r="A41" s="189" t="s">
        <v>2866</v>
      </c>
      <c r="B41" s="236" t="s">
        <v>2749</v>
      </c>
      <c r="D41" s="49"/>
      <c r="E41" s="244" t="s">
        <v>588</v>
      </c>
      <c r="F41" s="585"/>
      <c r="G41" s="585"/>
      <c r="H41" s="585"/>
      <c r="M41" s="180" t="s">
        <v>1777</v>
      </c>
      <c r="N41" s="803" t="s">
        <v>2866</v>
      </c>
      <c r="O41" s="163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4069</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2739</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2756</v>
      </c>
      <c r="J49" s="56"/>
      <c r="K49" s="56"/>
      <c r="M49" s="3">
        <v>3</v>
      </c>
      <c r="N49" s="803"/>
      <c r="O49" s="204">
        <f>MIN($M49,(O50+O51+O52))</f>
        <v>3</v>
      </c>
      <c r="P49" s="204">
        <f>MIN($M49,(P50+P51+P52))</f>
        <v>0</v>
      </c>
      <c r="Q49" s="148" t="s">
        <v>612</v>
      </c>
    </row>
    <row r="50" spans="1:18" s="51" customFormat="1" ht="12" customHeight="1">
      <c r="A50" s="189" t="s">
        <v>2863</v>
      </c>
      <c r="B50" s="236" t="s">
        <v>3717</v>
      </c>
      <c r="C50" s="5"/>
      <c r="D50" s="5"/>
      <c r="E50" s="44"/>
      <c r="F50" s="5"/>
      <c r="G50" s="47"/>
      <c r="I50" s="47"/>
      <c r="K50" s="56"/>
      <c r="L50" s="558" t="str">
        <f>IF(OR($O50=$M50,$O50=0,$O50=""),"","* * Check Score! * *")</f>
        <v/>
      </c>
      <c r="M50" s="3">
        <v>3</v>
      </c>
      <c r="N50" s="250" t="s">
        <v>2863</v>
      </c>
      <c r="O50" s="1640">
        <v>3</v>
      </c>
      <c r="P50" s="85"/>
      <c r="R50" s="558"/>
    </row>
    <row r="51" spans="1:18" s="51" customFormat="1" ht="12.6" customHeight="1">
      <c r="A51" s="189" t="s">
        <v>2866</v>
      </c>
      <c r="B51" s="236" t="s">
        <v>3718</v>
      </c>
      <c r="E51" s="49"/>
      <c r="K51" s="56"/>
      <c r="L51" s="558" t="str">
        <f>IF(OR($O51=$M51,$O51=0,$O51=""),"","* * Check Score! * *")</f>
        <v/>
      </c>
      <c r="M51" s="3">
        <v>2</v>
      </c>
      <c r="N51" s="803" t="s">
        <v>2866</v>
      </c>
      <c r="O51" s="1640"/>
      <c r="P51" s="85"/>
      <c r="R51" s="558"/>
    </row>
    <row r="52" spans="1:18" s="51" customFormat="1" ht="12.6" customHeight="1">
      <c r="A52" s="189" t="s">
        <v>1145</v>
      </c>
      <c r="B52" s="236" t="s">
        <v>3760</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4070</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2739</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2756</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4071</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2739</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3759</v>
      </c>
      <c r="D67" s="49"/>
      <c r="E67" s="44" t="s">
        <v>1954</v>
      </c>
      <c r="I67" s="57" t="s">
        <v>2756</v>
      </c>
      <c r="M67" s="3">
        <v>2</v>
      </c>
      <c r="N67" s="601" t="str">
        <f>IF(OR($O67=$M67,$O67=0,$O67=""),"","***")</f>
        <v/>
      </c>
      <c r="O67" s="1640"/>
      <c r="P67" s="85"/>
      <c r="Q67" s="148" t="s">
        <v>612</v>
      </c>
    </row>
    <row r="68" spans="1:18" s="51" customFormat="1" ht="12.6" customHeight="1">
      <c r="A68" s="209"/>
      <c r="B68" s="586" t="s">
        <v>3705</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4071</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2739</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44" t="s">
        <v>4037</v>
      </c>
      <c r="K74" s="1645"/>
      <c r="L74" s="1646"/>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2863</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2863</v>
      </c>
      <c r="O76" s="1574" t="s">
        <v>3975</v>
      </c>
      <c r="P76" s="232"/>
      <c r="Q76" s="148"/>
    </row>
    <row r="77" spans="1:18" ht="11.45" customHeight="1">
      <c r="A77" s="550" t="str">
        <f>IF($I$90="Stable Communities &lt; 10%", "X","")</f>
        <v/>
      </c>
      <c r="B77" s="551" t="s">
        <v>2867</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47" t="s">
        <v>3975</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48" t="s">
        <v>3983</v>
      </c>
      <c r="P79" s="356"/>
    </row>
    <row r="80" spans="1:18" ht="11.45" customHeight="1">
      <c r="A80" s="550" t="str">
        <f>IF($I$90="Stable Communities &lt; 20%", "X","")</f>
        <v/>
      </c>
      <c r="B80" s="551" t="s">
        <v>2869</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47"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48" t="s">
        <v>2104</v>
      </c>
      <c r="P82" s="356"/>
    </row>
    <row r="83" spans="1:18" ht="11.45" customHeight="1">
      <c r="A83" s="189" t="s">
        <v>2866</v>
      </c>
      <c r="B83" s="254" t="s">
        <v>379</v>
      </c>
      <c r="D83" s="40"/>
      <c r="E83" s="40"/>
      <c r="F83" s="40"/>
      <c r="M83" s="67">
        <v>2</v>
      </c>
      <c r="N83" s="31"/>
      <c r="O83" s="162" t="s">
        <v>3522</v>
      </c>
      <c r="P83" s="162" t="s">
        <v>3522</v>
      </c>
    </row>
    <row r="84" spans="1:18" s="51" customFormat="1" ht="12.6" customHeight="1">
      <c r="A84" s="209"/>
      <c r="B84" s="693" t="s">
        <v>3716</v>
      </c>
      <c r="D84" s="49"/>
      <c r="M84" s="3"/>
      <c r="N84" s="803" t="s">
        <v>2866</v>
      </c>
      <c r="O84" s="1574" t="s">
        <v>3975</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t="s">
        <v>4113</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2739</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4060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2863</v>
      </c>
      <c r="B92" s="254" t="s">
        <v>3521</v>
      </c>
      <c r="D92" s="40"/>
      <c r="H92" s="73"/>
      <c r="I92" s="40"/>
      <c r="J92" s="40"/>
      <c r="M92" s="157"/>
      <c r="N92" s="31"/>
      <c r="O92" s="31"/>
      <c r="P92" s="31"/>
    </row>
    <row r="93" spans="1:18" ht="11.45" customHeight="1">
      <c r="A93" s="550" t="str">
        <f>IF($I$90="Stable Communities &lt; 10%", "X","")</f>
        <v/>
      </c>
      <c r="B93" s="551" t="s">
        <v>2867</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7"/>
      <c r="P94" s="355"/>
    </row>
    <row r="95" spans="1:18" ht="11.45" customHeight="1">
      <c r="B95" s="231" t="s">
        <v>3420</v>
      </c>
      <c r="C95" s="665" t="s">
        <v>3367</v>
      </c>
      <c r="E95" s="160"/>
      <c r="G95" s="132" t="s">
        <v>3368</v>
      </c>
      <c r="M95" s="694" t="str">
        <f>IF(AND($I$90="Stable Communities &lt; 10%",O95=""), "X","")</f>
        <v/>
      </c>
      <c r="N95" s="231" t="s">
        <v>3420</v>
      </c>
      <c r="O95" s="1652"/>
      <c r="P95" s="541"/>
    </row>
    <row r="96" spans="1:18" ht="11.45" customHeight="1">
      <c r="B96" s="231" t="s">
        <v>3421</v>
      </c>
      <c r="C96" s="665" t="s">
        <v>3753</v>
      </c>
      <c r="E96" s="160"/>
      <c r="M96" s="694" t="str">
        <f>IF(AND($I$90="Stable Communities &lt; 10%",O96=""), "X","")</f>
        <v/>
      </c>
      <c r="N96" s="231" t="s">
        <v>3421</v>
      </c>
      <c r="O96" s="1648"/>
      <c r="P96" s="356"/>
    </row>
    <row r="97" spans="1:18" ht="3" customHeight="1">
      <c r="B97" s="160"/>
      <c r="C97" s="160"/>
      <c r="D97" s="160"/>
      <c r="E97" s="160"/>
      <c r="R97" s="51"/>
    </row>
    <row r="98" spans="1:18" ht="11.45" customHeight="1">
      <c r="A98" s="550" t="str">
        <f>IF($I$90="Stable Communities &lt; 20%", "X","")</f>
        <v/>
      </c>
      <c r="B98" s="551" t="s">
        <v>2869</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7"/>
      <c r="P99" s="355"/>
    </row>
    <row r="100" spans="1:18" ht="11.45" customHeight="1">
      <c r="B100" s="231" t="s">
        <v>3420</v>
      </c>
      <c r="C100" s="665" t="s">
        <v>3367</v>
      </c>
      <c r="E100" s="160"/>
      <c r="G100" s="132" t="s">
        <v>3368</v>
      </c>
      <c r="M100" s="572" t="str">
        <f>IF(AND($I$90="Stable Communities &lt; 20%",O100=""), "X","")</f>
        <v/>
      </c>
      <c r="N100" s="231" t="s">
        <v>3420</v>
      </c>
      <c r="O100" s="1652"/>
      <c r="P100" s="541"/>
    </row>
    <row r="101" spans="1:18" ht="11.45" customHeight="1">
      <c r="B101" s="231" t="s">
        <v>3421</v>
      </c>
      <c r="C101" s="665" t="s">
        <v>3753</v>
      </c>
      <c r="E101" s="160"/>
      <c r="M101" s="572" t="str">
        <f>IF(AND($I$90="Stable Communities &lt; 20%",O101=""), "X","")</f>
        <v/>
      </c>
      <c r="N101" s="231" t="s">
        <v>3421</v>
      </c>
      <c r="O101" s="1648"/>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47"/>
      <c r="P105" s="355"/>
    </row>
    <row r="106" spans="1:18" ht="10.9" customHeight="1">
      <c r="B106" s="552" t="s">
        <v>3420</v>
      </c>
      <c r="C106" s="553" t="s">
        <v>843</v>
      </c>
      <c r="M106" s="861" t="str">
        <f>IF(AND($I$90="HOPE VI Initiative",O106=""), "X","")</f>
        <v/>
      </c>
      <c r="N106" s="231" t="s">
        <v>3420</v>
      </c>
      <c r="O106" s="1652"/>
      <c r="P106" s="541"/>
    </row>
    <row r="107" spans="1:18" ht="10.9" customHeight="1">
      <c r="B107" s="552" t="s">
        <v>3421</v>
      </c>
      <c r="C107" s="553" t="s">
        <v>844</v>
      </c>
      <c r="M107" s="861" t="str">
        <f>IF(AND($I$90="HOPE VI Initiative",O107=""), "X","")</f>
        <v/>
      </c>
      <c r="N107" s="231" t="s">
        <v>3421</v>
      </c>
      <c r="O107" s="1652"/>
      <c r="P107" s="541"/>
    </row>
    <row r="108" spans="1:18" ht="10.9" customHeight="1">
      <c r="B108" s="552" t="s">
        <v>3422</v>
      </c>
      <c r="C108" s="69" t="s">
        <v>845</v>
      </c>
      <c r="M108" s="861" t="str">
        <f>IF(AND($I$90="HOPE VI Initiative",O108=""), "X","")</f>
        <v/>
      </c>
      <c r="N108" s="231" t="s">
        <v>3422</v>
      </c>
      <c r="O108" s="1648"/>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3929</v>
      </c>
      <c r="M110" s="696">
        <v>2</v>
      </c>
      <c r="N110" s="551" t="s">
        <v>2869</v>
      </c>
      <c r="O110" s="1574">
        <v>2</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3" t="s">
        <v>4072</v>
      </c>
      <c r="I112" s="162" t="s">
        <v>1458</v>
      </c>
      <c r="J112" s="1654"/>
      <c r="K112" s="1655"/>
      <c r="L112" s="1656"/>
      <c r="M112" s="696">
        <v>1</v>
      </c>
      <c r="N112" s="551" t="s">
        <v>3549</v>
      </c>
      <c r="O112" s="1574">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3419</v>
      </c>
      <c r="C115" s="48" t="s">
        <v>3752</v>
      </c>
      <c r="D115" s="132"/>
      <c r="G115" s="132" t="s">
        <v>848</v>
      </c>
      <c r="H115" s="1658"/>
      <c r="M115" s="571" t="str">
        <f>IF(AND($I$90="Local Redevelopment Plan",O115=""), "X","")</f>
        <v/>
      </c>
      <c r="N115" s="552" t="s">
        <v>3419</v>
      </c>
      <c r="O115" s="1647"/>
      <c r="P115" s="355"/>
    </row>
    <row r="116" spans="1:18" ht="10.9" customHeight="1">
      <c r="B116" s="552" t="s">
        <v>3420</v>
      </c>
      <c r="C116" s="553" t="s">
        <v>3445</v>
      </c>
      <c r="D116" s="132"/>
      <c r="M116" s="571"/>
      <c r="N116" s="552" t="s">
        <v>3420</v>
      </c>
      <c r="O116" s="1659"/>
      <c r="P116" s="602"/>
    </row>
    <row r="117" spans="1:18" ht="10.9" customHeight="1">
      <c r="B117" s="552" t="s">
        <v>3421</v>
      </c>
      <c r="C117" s="553" t="s">
        <v>3446</v>
      </c>
      <c r="M117" s="571" t="str">
        <f t="shared" ref="M117:M121" si="0">IF(AND($I$90="Local Redevelopment Plan",O117=""), "X","")</f>
        <v/>
      </c>
      <c r="N117" s="552" t="s">
        <v>3421</v>
      </c>
      <c r="O117" s="1652"/>
      <c r="P117" s="541"/>
    </row>
    <row r="118" spans="1:18" ht="10.9" customHeight="1">
      <c r="B118" s="552" t="s">
        <v>3422</v>
      </c>
      <c r="C118" s="553" t="s">
        <v>3447</v>
      </c>
      <c r="M118" s="571" t="str">
        <f t="shared" si="0"/>
        <v/>
      </c>
      <c r="N118" s="552" t="s">
        <v>3422</v>
      </c>
      <c r="O118" s="1652"/>
      <c r="P118" s="541"/>
    </row>
    <row r="119" spans="1:18" ht="10.9" customHeight="1">
      <c r="B119" s="552" t="s">
        <v>3423</v>
      </c>
      <c r="C119" s="69" t="s">
        <v>3448</v>
      </c>
      <c r="M119" s="571" t="str">
        <f t="shared" si="0"/>
        <v/>
      </c>
      <c r="N119" s="552" t="s">
        <v>3423</v>
      </c>
      <c r="O119" s="1652"/>
      <c r="P119" s="541"/>
    </row>
    <row r="120" spans="1:18" ht="10.9" customHeight="1">
      <c r="B120" s="552" t="s">
        <v>3443</v>
      </c>
      <c r="C120" s="553" t="s">
        <v>3449</v>
      </c>
      <c r="D120" s="132"/>
      <c r="M120" s="571" t="str">
        <f t="shared" si="0"/>
        <v/>
      </c>
      <c r="N120" s="552" t="s">
        <v>3443</v>
      </c>
      <c r="O120" s="1652"/>
      <c r="P120" s="541"/>
    </row>
    <row r="121" spans="1:18" ht="10.9" customHeight="1">
      <c r="B121" s="552" t="s">
        <v>3444</v>
      </c>
      <c r="C121" s="553" t="s">
        <v>3450</v>
      </c>
      <c r="M121" s="571" t="str">
        <f t="shared" si="0"/>
        <v/>
      </c>
      <c r="N121" s="552" t="s">
        <v>3444</v>
      </c>
      <c r="O121" s="1648"/>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t="s">
        <v>4074</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2739</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2863</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0">
        <v>3</v>
      </c>
      <c r="P133" s="658"/>
    </row>
    <row r="134" spans="1:17" s="132" customFormat="1" ht="22.9" customHeight="1">
      <c r="B134" s="581" t="s">
        <v>2867</v>
      </c>
      <c r="C134" s="1214" t="s">
        <v>1459</v>
      </c>
      <c r="D134" s="1166"/>
      <c r="E134" s="1166"/>
      <c r="F134" s="1166"/>
      <c r="G134" s="1166"/>
      <c r="H134" s="1166"/>
      <c r="I134" s="1166"/>
      <c r="J134" s="1166"/>
      <c r="K134" s="1166"/>
      <c r="L134" s="1166"/>
      <c r="M134" s="657"/>
      <c r="N134" s="581" t="s">
        <v>2867</v>
      </c>
      <c r="O134" s="1574" t="s">
        <v>3975</v>
      </c>
      <c r="P134" s="232"/>
    </row>
    <row r="135" spans="1:17" s="132" customFormat="1" ht="11.45" customHeight="1">
      <c r="B135" s="250"/>
      <c r="C135" s="161" t="s">
        <v>1460</v>
      </c>
      <c r="H135" s="704" t="s">
        <v>3620</v>
      </c>
      <c r="I135" s="1653" t="s">
        <v>4061</v>
      </c>
      <c r="J135" s="704" t="s">
        <v>3219</v>
      </c>
      <c r="K135" s="1661" t="s">
        <v>4045</v>
      </c>
      <c r="L135" s="1662"/>
      <c r="M135" s="1663"/>
    </row>
    <row r="136" spans="1:17" s="132" customFormat="1" ht="11.45" customHeight="1">
      <c r="B136" s="250" t="s">
        <v>2869</v>
      </c>
      <c r="C136" s="161" t="s">
        <v>1461</v>
      </c>
      <c r="M136" s="8"/>
      <c r="N136" s="250" t="s">
        <v>2869</v>
      </c>
      <c r="O136" s="1647" t="s">
        <v>3975</v>
      </c>
      <c r="P136" s="355"/>
    </row>
    <row r="137" spans="1:17" s="132" customFormat="1" ht="11.45" customHeight="1">
      <c r="B137" s="250" t="s">
        <v>3549</v>
      </c>
      <c r="C137" s="161" t="s">
        <v>1462</v>
      </c>
      <c r="M137" s="8"/>
      <c r="N137" s="250" t="s">
        <v>3549</v>
      </c>
      <c r="O137" s="1652" t="s">
        <v>3983</v>
      </c>
      <c r="P137" s="541"/>
    </row>
    <row r="138" spans="1:17" s="132" customFormat="1" ht="11.45" customHeight="1">
      <c r="B138" s="250" t="s">
        <v>1762</v>
      </c>
      <c r="C138" s="161" t="s">
        <v>1463</v>
      </c>
      <c r="M138" s="8"/>
      <c r="N138" s="250" t="s">
        <v>1762</v>
      </c>
      <c r="O138" s="1648" t="s">
        <v>3975</v>
      </c>
      <c r="P138" s="356"/>
    </row>
    <row r="139" spans="1:17" ht="12" customHeight="1">
      <c r="A139" s="254" t="s">
        <v>1921</v>
      </c>
      <c r="B139" s="848" t="s">
        <v>2866</v>
      </c>
      <c r="C139" s="254" t="s">
        <v>3143</v>
      </c>
      <c r="D139" s="160"/>
      <c r="E139" s="666" t="s">
        <v>3649</v>
      </c>
      <c r="M139" s="3">
        <v>3</v>
      </c>
      <c r="N139" s="803" t="s">
        <v>2866</v>
      </c>
      <c r="O139" s="659">
        <f>IF($M140=5,3,IF($M140=4,2,0))</f>
        <v>0</v>
      </c>
      <c r="P139" s="85"/>
    </row>
    <row r="140" spans="1:17" ht="12" customHeight="1">
      <c r="B140" s="122"/>
      <c r="D140" s="40"/>
      <c r="E140" s="40"/>
      <c r="F140" s="40"/>
      <c r="G140" s="48"/>
      <c r="H140" s="48"/>
      <c r="I140" s="48"/>
      <c r="J140" s="48"/>
      <c r="L140" s="574" t="s">
        <v>688</v>
      </c>
      <c r="M140" s="1574"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4073</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2739</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4075</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2739</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3145</v>
      </c>
      <c r="D162" s="73"/>
      <c r="E162" s="73"/>
      <c r="F162" s="52"/>
      <c r="G162" s="31"/>
      <c r="K162" s="803" t="s">
        <v>3963</v>
      </c>
      <c r="L162" s="1574" t="s">
        <v>3975</v>
      </c>
      <c r="M162" s="8">
        <v>1</v>
      </c>
      <c r="N162" s="803" t="s">
        <v>2863</v>
      </c>
      <c r="O162" s="1640">
        <v>1</v>
      </c>
      <c r="P162" s="85"/>
      <c r="Q162" s="148"/>
      <c r="R162" s="558" t="str">
        <f>IF(OR($O162=$M162,$O162=0,$O162=""),"","* * Check Score! * *")</f>
        <v/>
      </c>
    </row>
    <row r="163" spans="1:18" s="51" customFormat="1" ht="12" customHeight="1">
      <c r="A163" s="189" t="s">
        <v>2866</v>
      </c>
      <c r="B163" s="236" t="s">
        <v>3146</v>
      </c>
      <c r="D163" s="69"/>
      <c r="E163" s="38"/>
      <c r="F163" s="62" t="s">
        <v>3897</v>
      </c>
      <c r="K163" s="62"/>
      <c r="L163" s="558"/>
      <c r="M163" s="8">
        <v>1</v>
      </c>
      <c r="N163" s="803" t="s">
        <v>2866</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t="s">
        <v>4076</v>
      </c>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2739</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Yes</v>
      </c>
      <c r="M169" s="3">
        <v>3</v>
      </c>
      <c r="N169" s="7"/>
      <c r="O169" s="7"/>
      <c r="P169" s="85"/>
      <c r="Q169" s="148" t="s">
        <v>612</v>
      </c>
    </row>
    <row r="170" spans="1:18" s="51" customFormat="1" ht="12" customHeight="1">
      <c r="A170" s="189"/>
      <c r="B170" s="65" t="s">
        <v>3287</v>
      </c>
      <c r="D170" s="40"/>
      <c r="N170" s="803"/>
      <c r="O170" s="1574" t="s">
        <v>3975</v>
      </c>
      <c r="P170" s="232"/>
      <c r="R170" s="558"/>
    </row>
    <row r="171" spans="1:18" s="51" customFormat="1" ht="12" customHeight="1">
      <c r="A171" s="189"/>
      <c r="B171" s="65" t="s">
        <v>3946</v>
      </c>
      <c r="D171" s="40"/>
      <c r="N171" s="803"/>
      <c r="O171" s="1574" t="s">
        <v>3975</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4114</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2739</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114</v>
      </c>
      <c r="K177" s="159"/>
      <c r="L177" s="802" t="str">
        <f>IF(AND(J177=0,O177&gt;0),"&lt;&lt;&lt; Check NC units!","")</f>
        <v/>
      </c>
      <c r="M177" s="3">
        <v>3</v>
      </c>
      <c r="N177" s="601" t="str">
        <f>IF(OR($O177=$M177,$O177=0,$O177=""),"","***")</f>
        <v/>
      </c>
      <c r="O177" s="1640"/>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78" t="s">
        <v>4071</v>
      </c>
      <c r="B180" s="1579"/>
      <c r="C180" s="1579"/>
      <c r="D180" s="1579"/>
      <c r="E180" s="1579"/>
      <c r="F180" s="1579"/>
      <c r="G180" s="1579"/>
      <c r="H180" s="1579"/>
      <c r="I180" s="1580"/>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c r="P182" s="85"/>
      <c r="Q182" s="148" t="s">
        <v>612</v>
      </c>
    </row>
    <row r="183" spans="1:18" s="51" customFormat="1" ht="12.6" customHeight="1">
      <c r="A183" s="50"/>
      <c r="B183" s="154" t="s">
        <v>2714</v>
      </c>
      <c r="D183" s="134"/>
      <c r="E183" s="1664" t="s">
        <v>2639</v>
      </c>
      <c r="F183" s="1665"/>
      <c r="G183" s="1666"/>
      <c r="H183" s="1667"/>
      <c r="I183" s="61" t="s">
        <v>2713</v>
      </c>
      <c r="O183" s="162" t="s">
        <v>3522</v>
      </c>
      <c r="P183" s="162" t="s">
        <v>3522</v>
      </c>
    </row>
    <row r="184" spans="1:18" s="132" customFormat="1" ht="11.45" customHeight="1">
      <c r="A184" s="189" t="s">
        <v>2863</v>
      </c>
      <c r="B184" s="161" t="s">
        <v>2512</v>
      </c>
      <c r="D184" s="161"/>
      <c r="E184" s="161"/>
      <c r="F184" s="161"/>
      <c r="G184" s="1668" t="s">
        <v>3535</v>
      </c>
      <c r="H184" s="1669"/>
      <c r="I184" s="1670"/>
      <c r="J184" s="1668" t="s">
        <v>1715</v>
      </c>
      <c r="K184" s="1669"/>
      <c r="L184" s="1670"/>
      <c r="N184" s="803" t="s">
        <v>2863</v>
      </c>
      <c r="O184" s="1574"/>
      <c r="P184" s="232"/>
    </row>
    <row r="185" spans="1:18" s="132" customFormat="1" ht="11.45" customHeight="1">
      <c r="A185" s="189" t="s">
        <v>2866</v>
      </c>
      <c r="B185" s="161" t="s">
        <v>475</v>
      </c>
      <c r="D185" s="161"/>
      <c r="E185" s="161"/>
      <c r="F185" s="161"/>
      <c r="G185" s="161"/>
      <c r="L185" s="161"/>
      <c r="M185" s="161"/>
      <c r="N185" s="803" t="s">
        <v>2866</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3005</v>
      </c>
      <c r="B187" s="184" t="s">
        <v>3845</v>
      </c>
      <c r="D187" s="161"/>
      <c r="E187" s="161"/>
      <c r="F187" s="161"/>
      <c r="G187" s="161"/>
      <c r="H187" s="161"/>
      <c r="I187" s="161"/>
      <c r="J187" s="161"/>
      <c r="K187" s="161"/>
      <c r="L187" s="161"/>
      <c r="M187" s="161"/>
      <c r="N187" s="803" t="s">
        <v>3005</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4071</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2739</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2</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7" t="s">
        <v>3975</v>
      </c>
      <c r="P195" s="355"/>
    </row>
    <row r="196" spans="1:18" s="132" customFormat="1" ht="11.25" customHeight="1">
      <c r="B196" s="715" t="s">
        <v>2869</v>
      </c>
      <c r="C196" s="132" t="s">
        <v>809</v>
      </c>
      <c r="N196" s="250" t="s">
        <v>2869</v>
      </c>
      <c r="O196" s="1652" t="s">
        <v>3975</v>
      </c>
      <c r="P196" s="541"/>
    </row>
    <row r="197" spans="1:18" s="132" customFormat="1" ht="11.25" customHeight="1">
      <c r="B197" s="715" t="s">
        <v>3549</v>
      </c>
      <c r="C197" s="132" t="s">
        <v>810</v>
      </c>
      <c r="N197" s="250" t="s">
        <v>3549</v>
      </c>
      <c r="O197" s="1652" t="s">
        <v>2104</v>
      </c>
      <c r="P197" s="541"/>
    </row>
    <row r="198" spans="1:18" s="132" customFormat="1" ht="11.25" customHeight="1">
      <c r="B198" s="715" t="s">
        <v>1762</v>
      </c>
      <c r="C198" s="132" t="s">
        <v>811</v>
      </c>
      <c r="N198" s="250" t="s">
        <v>1762</v>
      </c>
      <c r="O198" s="1652" t="s">
        <v>2104</v>
      </c>
      <c r="P198" s="541"/>
    </row>
    <row r="199" spans="1:18" s="132" customFormat="1" ht="11.25" customHeight="1">
      <c r="B199" s="715" t="s">
        <v>1763</v>
      </c>
      <c r="C199" s="132" t="s">
        <v>819</v>
      </c>
      <c r="N199" s="250" t="s">
        <v>1763</v>
      </c>
      <c r="O199" s="1648" t="s">
        <v>2104</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3722</v>
      </c>
      <c r="I202" s="1215" t="s">
        <v>2871</v>
      </c>
      <c r="J202" s="1215"/>
      <c r="L202" s="858" t="s">
        <v>2871</v>
      </c>
      <c r="M202" s="216"/>
      <c r="N202" s="250" t="s">
        <v>2867</v>
      </c>
    </row>
    <row r="203" spans="1:18" s="51" customFormat="1" ht="11.25" customHeight="1">
      <c r="A203" s="251"/>
      <c r="B203" s="150"/>
      <c r="C203" s="552" t="s">
        <v>3419</v>
      </c>
      <c r="D203" s="44" t="s">
        <v>2073</v>
      </c>
      <c r="H203" s="65"/>
      <c r="I203" s="1671"/>
      <c r="J203" s="1672"/>
      <c r="K203" s="253"/>
      <c r="L203" s="705"/>
      <c r="M203" s="89"/>
      <c r="N203" s="552" t="s">
        <v>3419</v>
      </c>
      <c r="O203" s="1647"/>
      <c r="P203" s="355"/>
      <c r="R203" s="558"/>
    </row>
    <row r="204" spans="1:18" ht="11.25" customHeight="1">
      <c r="A204" s="252"/>
      <c r="B204" s="108"/>
      <c r="C204" s="575" t="s">
        <v>3420</v>
      </c>
      <c r="D204" s="44" t="s">
        <v>2074</v>
      </c>
      <c r="H204" s="65"/>
      <c r="I204" s="1671"/>
      <c r="J204" s="1672"/>
      <c r="L204" s="705"/>
      <c r="M204" s="89"/>
      <c r="N204" s="575" t="s">
        <v>3420</v>
      </c>
      <c r="O204" s="1652"/>
      <c r="P204" s="541"/>
      <c r="R204" s="558"/>
    </row>
    <row r="205" spans="1:18" ht="11.25" customHeight="1">
      <c r="B205" s="715"/>
      <c r="C205" s="552" t="s">
        <v>3421</v>
      </c>
      <c r="D205" s="44" t="s">
        <v>3719</v>
      </c>
      <c r="H205" s="65"/>
      <c r="I205" s="1671"/>
      <c r="J205" s="1672"/>
      <c r="L205" s="705"/>
      <c r="M205" s="89"/>
      <c r="N205" s="552" t="s">
        <v>3421</v>
      </c>
      <c r="O205" s="1652"/>
      <c r="P205" s="541"/>
      <c r="R205" s="558"/>
    </row>
    <row r="206" spans="1:18" ht="11.25" customHeight="1">
      <c r="A206" s="252"/>
      <c r="B206" s="715"/>
      <c r="C206" s="552" t="s">
        <v>3422</v>
      </c>
      <c r="D206" s="44" t="s">
        <v>3720</v>
      </c>
      <c r="I206" s="1671"/>
      <c r="J206" s="1672"/>
      <c r="L206" s="705"/>
      <c r="M206" s="89"/>
      <c r="N206" s="552" t="s">
        <v>3422</v>
      </c>
      <c r="O206" s="1652"/>
      <c r="P206" s="541"/>
      <c r="R206" s="558"/>
    </row>
    <row r="207" spans="1:18" s="51" customFormat="1" ht="11.25" customHeight="1">
      <c r="A207" s="251"/>
      <c r="B207" s="715"/>
      <c r="C207" s="575" t="s">
        <v>3423</v>
      </c>
      <c r="D207" s="44" t="s">
        <v>2075</v>
      </c>
      <c r="H207" s="65"/>
      <c r="I207" s="1671"/>
      <c r="J207" s="1672"/>
      <c r="K207" s="253"/>
      <c r="L207" s="705"/>
      <c r="M207" s="89"/>
      <c r="N207" s="575" t="s">
        <v>3423</v>
      </c>
      <c r="O207" s="1652"/>
      <c r="P207" s="541"/>
      <c r="R207" s="558"/>
    </row>
    <row r="208" spans="1:18" ht="11.25" customHeight="1">
      <c r="A208" s="252"/>
      <c r="B208" s="715"/>
      <c r="C208" s="552" t="s">
        <v>3443</v>
      </c>
      <c r="D208" s="44" t="s">
        <v>2076</v>
      </c>
      <c r="H208" s="65"/>
      <c r="I208" s="1671"/>
      <c r="J208" s="1672"/>
      <c r="L208" s="705"/>
      <c r="M208" s="89"/>
      <c r="N208" s="552" t="s">
        <v>3443</v>
      </c>
      <c r="O208" s="1652"/>
      <c r="P208" s="541"/>
      <c r="R208" s="558"/>
    </row>
    <row r="209" spans="1:18" ht="11.25" customHeight="1">
      <c r="A209" s="252"/>
      <c r="B209" s="715"/>
      <c r="C209" s="552" t="s">
        <v>3444</v>
      </c>
      <c r="D209" s="44" t="s">
        <v>2077</v>
      </c>
      <c r="H209" s="65"/>
      <c r="I209" s="1671"/>
      <c r="J209" s="1672"/>
      <c r="L209" s="705"/>
      <c r="M209" s="89"/>
      <c r="N209" s="552" t="s">
        <v>3444</v>
      </c>
      <c r="O209" s="1652"/>
      <c r="P209" s="541"/>
      <c r="R209" s="558"/>
    </row>
    <row r="210" spans="1:18" ht="11.25" customHeight="1" thickBot="1">
      <c r="A210" s="252"/>
      <c r="B210" s="715"/>
      <c r="C210" s="552" t="s">
        <v>3451</v>
      </c>
      <c r="D210" s="701" t="s">
        <v>3721</v>
      </c>
      <c r="E210" s="702"/>
      <c r="F210" s="702"/>
      <c r="G210" s="702"/>
      <c r="H210" s="703"/>
      <c r="I210" s="1673"/>
      <c r="J210" s="1674"/>
      <c r="L210" s="709"/>
      <c r="M210" s="89"/>
      <c r="N210" s="552" t="s">
        <v>3451</v>
      </c>
      <c r="O210" s="1648"/>
      <c r="P210" s="356"/>
      <c r="R210" s="558"/>
    </row>
    <row r="211" spans="1:18" ht="12" customHeight="1" thickBot="1">
      <c r="A211" s="252"/>
      <c r="B211" s="715"/>
      <c r="D211" s="699" t="s">
        <v>3724</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2869</v>
      </c>
      <c r="C213" s="722" t="s">
        <v>3723</v>
      </c>
      <c r="D213" s="699" t="s">
        <v>3725</v>
      </c>
      <c r="I213" s="1207">
        <f>'Part IV-Uses of Funds'!$G$123</f>
        <v>14800476</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2866</v>
      </c>
      <c r="B216" s="256" t="s">
        <v>3898</v>
      </c>
      <c r="D216" s="47"/>
      <c r="E216" s="44"/>
      <c r="F216" s="1"/>
      <c r="G216" s="38" t="s">
        <v>3899</v>
      </c>
      <c r="H216" s="44"/>
      <c r="I216" s="1"/>
      <c r="J216" s="38"/>
      <c r="K216" s="38"/>
      <c r="L216" s="38"/>
      <c r="M216" s="89">
        <v>1</v>
      </c>
      <c r="N216" s="803" t="s">
        <v>2866</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2</v>
      </c>
      <c r="P218" s="204">
        <f>IF($M$221&gt;=0.1, 2,IF($M$221&gt;=0.05, 1,0))</f>
        <v>0</v>
      </c>
      <c r="R218" s="558" t="str">
        <f>IF(OR($O218=$M218,$O218=0,$O218=""),"","* * Check Score! * *")</f>
        <v/>
      </c>
    </row>
    <row r="219" spans="1:18" s="51" customFormat="1" ht="12.6" customHeight="1">
      <c r="A219" s="251"/>
      <c r="B219" s="44" t="s">
        <v>906</v>
      </c>
      <c r="E219" s="1677" t="s">
        <v>3985</v>
      </c>
      <c r="F219" s="1678"/>
      <c r="G219" s="1678"/>
      <c r="H219" s="1679"/>
      <c r="K219" s="253"/>
      <c r="M219" s="7"/>
      <c r="N219" s="7"/>
      <c r="O219" s="7"/>
      <c r="P219" s="7"/>
    </row>
    <row r="220" spans="1:18" ht="12" customHeight="1">
      <c r="A220" s="252"/>
      <c r="B220" s="582" t="s">
        <v>3321</v>
      </c>
      <c r="D220" s="583"/>
      <c r="E220" s="1680" t="s">
        <v>4077</v>
      </c>
      <c r="F220" s="1681"/>
      <c r="G220" s="1681"/>
      <c r="H220" s="1681"/>
      <c r="I220" s="1681"/>
      <c r="J220" s="1681"/>
      <c r="K220" s="1681"/>
      <c r="L220" s="1681"/>
      <c r="M220" s="1681"/>
      <c r="N220" s="1681"/>
      <c r="O220" s="1681"/>
      <c r="P220" s="1313"/>
    </row>
    <row r="221" spans="1:18" ht="12.6" customHeight="1">
      <c r="B221" s="44" t="s">
        <v>3863</v>
      </c>
      <c r="E221" s="704"/>
      <c r="I221" s="1682">
        <v>2000000</v>
      </c>
      <c r="J221" s="1683"/>
      <c r="K221" s="700">
        <f>IF($I$221=0,0,$I$221/$I$213)</f>
        <v>0.13513078903678502</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4078</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2739</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3659</v>
      </c>
      <c r="D229" s="40"/>
      <c r="H229" s="65" t="s">
        <v>3287</v>
      </c>
      <c r="N229" s="803" t="s">
        <v>2863</v>
      </c>
      <c r="O229" s="1647" t="s">
        <v>3975</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48" t="s">
        <v>3975</v>
      </c>
      <c r="P230" s="356"/>
    </row>
    <row r="231" spans="1:18" s="51" customFormat="1" ht="12" customHeight="1">
      <c r="A231" s="189" t="s">
        <v>2866</v>
      </c>
      <c r="B231" s="236" t="s">
        <v>3727</v>
      </c>
      <c r="D231" s="40"/>
      <c r="E231" s="40"/>
      <c r="F231" s="40"/>
      <c r="H231" s="65" t="s">
        <v>3287</v>
      </c>
      <c r="N231" s="803" t="s">
        <v>2866</v>
      </c>
      <c r="O231" s="1574" t="s">
        <v>3975</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2867</v>
      </c>
      <c r="C233" s="697" t="s">
        <v>3728</v>
      </c>
      <c r="E233" s="117"/>
      <c r="F233" s="62"/>
      <c r="G233" s="62"/>
      <c r="H233" s="62"/>
      <c r="I233" s="62"/>
      <c r="J233" s="64"/>
      <c r="K233" s="72"/>
      <c r="L233" s="68" t="str">
        <f>IF(M233&gt;14,"Over limit!","")</f>
        <v/>
      </c>
      <c r="N233" s="250" t="s">
        <v>2867</v>
      </c>
      <c r="O233" s="1647" t="s">
        <v>3975</v>
      </c>
      <c r="P233" s="355"/>
    </row>
    <row r="234" spans="1:18" s="132" customFormat="1" ht="11.25" customHeight="1">
      <c r="B234" s="551" t="s">
        <v>2869</v>
      </c>
      <c r="C234" s="697" t="s">
        <v>3729</v>
      </c>
      <c r="N234" s="250" t="s">
        <v>2869</v>
      </c>
      <c r="O234" s="1652" t="s">
        <v>3975</v>
      </c>
      <c r="P234" s="541"/>
    </row>
    <row r="235" spans="1:18" s="132" customFormat="1" ht="11.25" customHeight="1">
      <c r="B235" s="551" t="s">
        <v>3549</v>
      </c>
      <c r="C235" s="697" t="s">
        <v>3731</v>
      </c>
      <c r="N235" s="250" t="s">
        <v>3549</v>
      </c>
      <c r="O235" s="1652" t="s">
        <v>3975</v>
      </c>
      <c r="P235" s="541"/>
    </row>
    <row r="236" spans="1:18" s="132" customFormat="1" ht="11.25" customHeight="1">
      <c r="B236" s="551" t="s">
        <v>1762</v>
      </c>
      <c r="C236" s="697" t="s">
        <v>3732</v>
      </c>
      <c r="N236" s="250" t="s">
        <v>1762</v>
      </c>
      <c r="O236" s="1648" t="s">
        <v>3975</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t="s">
        <v>4079</v>
      </c>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2739</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3733</v>
      </c>
      <c r="D243" s="40"/>
      <c r="E243" s="40"/>
      <c r="F243" s="40"/>
      <c r="L243" s="558" t="str">
        <f>IF(OR($O243=$M243,$O243=0,$O243=""),"","* * Check Score! * *")</f>
        <v/>
      </c>
      <c r="M243" s="7">
        <v>3</v>
      </c>
      <c r="N243" s="803" t="s">
        <v>2863</v>
      </c>
      <c r="O243" s="1684">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85" t="s">
        <v>4031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3734</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21" t="s">
        <v>172</v>
      </c>
      <c r="D247" s="1121"/>
      <c r="E247" s="1121"/>
      <c r="F247" s="1121"/>
      <c r="G247" s="1121"/>
      <c r="H247" s="1121"/>
      <c r="I247" s="1121"/>
      <c r="J247" s="1121"/>
      <c r="K247" s="1121"/>
      <c r="L247" s="1121"/>
      <c r="M247" s="656">
        <v>2</v>
      </c>
      <c r="O247" s="1684"/>
      <c r="P247" s="743"/>
    </row>
    <row r="248" spans="1:18" s="655" customFormat="1" ht="24" customHeight="1">
      <c r="A248" s="711" t="s">
        <v>1921</v>
      </c>
      <c r="B248" s="723" t="s">
        <v>2869</v>
      </c>
      <c r="C248" s="1121" t="s">
        <v>3761</v>
      </c>
      <c r="D248" s="1121"/>
      <c r="E248" s="1121"/>
      <c r="F248" s="1121"/>
      <c r="G248" s="1121"/>
      <c r="H248" s="1121"/>
      <c r="I248" s="1121"/>
      <c r="J248" s="1121"/>
      <c r="K248" s="1121"/>
      <c r="L248" s="1121"/>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t="s">
        <v>4080</v>
      </c>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2739</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3983</v>
      </c>
      <c r="P255" s="232"/>
    </row>
    <row r="256" spans="1:18" ht="12.6" customHeight="1">
      <c r="A256" s="189" t="s">
        <v>2863</v>
      </c>
      <c r="B256" s="254" t="s">
        <v>2020</v>
      </c>
      <c r="D256" s="40"/>
      <c r="E256" s="40"/>
      <c r="F256" s="40"/>
      <c r="G256" s="40"/>
      <c r="H256" s="40"/>
      <c r="I256" s="40"/>
      <c r="J256" s="40"/>
      <c r="K256" s="40"/>
      <c r="L256" s="40"/>
      <c r="M256" s="157"/>
      <c r="N256" s="803" t="s">
        <v>2863</v>
      </c>
      <c r="O256" s="1686">
        <v>10</v>
      </c>
      <c r="P256" s="580"/>
    </row>
    <row r="257" spans="1:18" ht="12.6" customHeight="1">
      <c r="A257" s="189" t="s">
        <v>2866</v>
      </c>
      <c r="B257" s="254" t="s">
        <v>325</v>
      </c>
      <c r="D257" s="40"/>
      <c r="E257" s="40"/>
      <c r="F257" s="40"/>
      <c r="G257" s="48"/>
      <c r="H257" s="48"/>
      <c r="I257" s="48"/>
      <c r="J257" s="48"/>
      <c r="K257" s="48"/>
      <c r="M257" s="134"/>
      <c r="N257" s="803" t="s">
        <v>2866</v>
      </c>
      <c r="O257" s="1574" t="s">
        <v>4038</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24.75" customHeight="1">
      <c r="A259" s="1578" t="s">
        <v>4081</v>
      </c>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2739</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3737</v>
      </c>
      <c r="D264" s="73" t="s">
        <v>3967</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40"/>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87"/>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88"/>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89"/>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0"/>
      <c r="P272" s="742"/>
    </row>
    <row r="273" spans="1:18" ht="13.5" customHeight="1">
      <c r="A273" s="189" t="s">
        <v>2866</v>
      </c>
      <c r="B273" s="236" t="s">
        <v>3740</v>
      </c>
      <c r="D273" s="40"/>
      <c r="E273" s="73" t="s">
        <v>3966</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3741</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88"/>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0"/>
      <c r="P276" s="742"/>
    </row>
    <row r="277" spans="1:18" s="132" customFormat="1" ht="12" customHeight="1">
      <c r="B277" s="551" t="s">
        <v>2869</v>
      </c>
      <c r="C277" s="724" t="s">
        <v>3742</v>
      </c>
      <c r="L277" s="558" t="str">
        <f>IF(OR($O277=$M277,$O277=0,$O277=""),"","* * Check Score! * *")</f>
        <v/>
      </c>
      <c r="M277" s="8">
        <v>1</v>
      </c>
      <c r="N277" s="250" t="s">
        <v>2869</v>
      </c>
      <c r="O277" s="164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84"/>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85"/>
      <c r="P280" s="744"/>
    </row>
    <row r="281" spans="1:18" s="132" customFormat="1" ht="12" customHeight="1">
      <c r="B281" s="551" t="s">
        <v>1762</v>
      </c>
      <c r="C281" s="724" t="s">
        <v>3748</v>
      </c>
      <c r="F281" s="697" t="s">
        <v>3864</v>
      </c>
      <c r="L281" s="558"/>
      <c r="M281" s="8">
        <v>2</v>
      </c>
      <c r="N281" s="250" t="s">
        <v>1762</v>
      </c>
      <c r="O281" s="1640"/>
      <c r="P281" s="85"/>
    </row>
    <row r="282" spans="1:18" s="132" customFormat="1" ht="12" customHeight="1">
      <c r="B282" s="551" t="s">
        <v>1763</v>
      </c>
      <c r="C282" s="724" t="s">
        <v>3749</v>
      </c>
      <c r="F282" s="697" t="s">
        <v>3751</v>
      </c>
      <c r="J282" s="1175">
        <f>'Part IV-Uses of Funds'!$B$39/'Part IV-Uses of Funds'!$G$123</f>
        <v>0.62004762549528813</v>
      </c>
      <c r="K282" s="1176"/>
      <c r="L282" s="558"/>
      <c r="M282" s="8">
        <v>2</v>
      </c>
      <c r="N282" s="250" t="s">
        <v>1763</v>
      </c>
      <c r="O282" s="1640"/>
      <c r="P282" s="85"/>
    </row>
    <row r="283" spans="1:18" s="132" customFormat="1" ht="12" customHeight="1">
      <c r="B283" s="551" t="s">
        <v>2758</v>
      </c>
      <c r="C283" s="724" t="s">
        <v>3750</v>
      </c>
      <c r="F283" s="697" t="s">
        <v>3952</v>
      </c>
      <c r="L283" s="558"/>
      <c r="M283" s="8">
        <v>3</v>
      </c>
      <c r="N283" s="250" t="s">
        <v>2758</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t="s">
        <v>4071</v>
      </c>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2739</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3512</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2807</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3017</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A10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Savannah Gardens Phase IV</v>
      </c>
    </row>
    <row r="3" spans="1:6" ht="16.5">
      <c r="A3" s="576" t="str">
        <f>CONCATENATE('Part I-Project Information'!F24,", ", 'Part I-Project Information'!J25," County")</f>
        <v>Savannah, Chatham County</v>
      </c>
    </row>
    <row r="4" spans="1:6" ht="12" customHeight="1"/>
    <row r="5" spans="1:6" ht="113.25" customHeight="1">
      <c r="A5" s="1216" t="s">
        <v>4115</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9.75" customHeight="1">
      <c r="A13" s="1217"/>
    </row>
    <row r="14" spans="1:6" ht="9.75" customHeight="1">
      <c r="A14" s="1217"/>
    </row>
    <row r="15" spans="1:6" ht="123.75" customHeight="1">
      <c r="A15" s="1217"/>
    </row>
    <row r="16" spans="1:6" ht="1.5"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Savannah Gardens Phase IV</v>
      </c>
    </row>
    <row r="3" spans="1:6" ht="16.5">
      <c r="A3" s="576" t="str">
        <f>CONCATENATE('Part I-Project Information'!F24,", ", 'Part I-Project Information'!J25," County")</f>
        <v>Savannah, Chatham County</v>
      </c>
    </row>
    <row r="4" spans="1:6" ht="12" customHeight="1"/>
    <row r="5" spans="1:6" ht="60" customHeight="1">
      <c r="A5" s="1216" t="s">
        <v>3959</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2920</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2860</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C43" sqref="C4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18856206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22627476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20741814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F24"/>
  <sheetViews>
    <sheetView showGridLines="0" zoomScaleNormal="100" zoomScaleSheetLayoutView="5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Savannah Gardens Phase IV</v>
      </c>
    </row>
    <row r="3" spans="1:6" ht="16.5">
      <c r="A3" s="1281" t="str">
        <f>CONCATENATE('Part I-Project Information'!F24,", ", 'Part I-Project Information'!J25," County")</f>
        <v>Savannah, Chatham County</v>
      </c>
    </row>
    <row r="4" spans="1:6" ht="12" customHeight="1"/>
    <row r="5" spans="1:6" ht="60.75" customHeight="1">
      <c r="A5" s="1282" t="s">
        <v>4117</v>
      </c>
      <c r="B5" s="886" t="s">
        <v>3965</v>
      </c>
      <c r="C5" s="886"/>
      <c r="D5" s="886"/>
      <c r="E5" s="886"/>
      <c r="F5" s="886"/>
    </row>
    <row r="6" spans="1:6" ht="44.25" customHeight="1">
      <c r="A6" s="1282"/>
      <c r="B6" s="886"/>
      <c r="C6" s="886"/>
      <c r="D6" s="886"/>
      <c r="E6" s="886"/>
      <c r="F6" s="886"/>
    </row>
    <row r="7" spans="1:6" ht="47.25" customHeight="1">
      <c r="A7" s="1282"/>
    </row>
    <row r="8" spans="1:6" ht="50.25" customHeight="1">
      <c r="A8" s="1282"/>
    </row>
    <row r="9" spans="1:6" ht="123.75" customHeight="1">
      <c r="A9" s="1282"/>
    </row>
    <row r="10" spans="1:6" ht="105.75" customHeight="1">
      <c r="A10" s="1282"/>
    </row>
    <row r="11" spans="1:6" ht="140.25" customHeight="1">
      <c r="A11" s="1282"/>
    </row>
    <row r="12" spans="1:6" ht="82.5" customHeight="1">
      <c r="A12" s="1282"/>
    </row>
    <row r="13" spans="1:6" ht="79.5" customHeight="1">
      <c r="A13" s="1282"/>
    </row>
    <row r="14" spans="1:6" ht="101.25" customHeight="1">
      <c r="A14" s="1282"/>
    </row>
    <row r="15" spans="1:6" ht="60" customHeight="1">
      <c r="A15" s="1282"/>
    </row>
    <row r="16" spans="1:6" ht="56.25" customHeight="1">
      <c r="A16" s="1282"/>
    </row>
    <row r="17" spans="1:1" ht="32.25" customHeight="1">
      <c r="A17" s="1282"/>
    </row>
    <row r="18" spans="1:1" ht="280.5" customHeight="1">
      <c r="A18" s="1282"/>
    </row>
    <row r="19" spans="1:1" ht="128.25" customHeight="1">
      <c r="A19" s="1282"/>
    </row>
    <row r="20" spans="1:1" ht="162" customHeight="1">
      <c r="A20" s="1282"/>
    </row>
    <row r="21" spans="1:1" ht="48.75" customHeight="1">
      <c r="A21" s="1282"/>
    </row>
    <row r="22" spans="1:1" ht="22.5" customHeight="1">
      <c r="A22" s="1282"/>
    </row>
    <row r="23" spans="1:1" ht="16.5" customHeight="1">
      <c r="A23" s="1282"/>
    </row>
    <row r="24" spans="1:1">
      <c r="A24" s="1283"/>
    </row>
  </sheetData>
  <sheetProtection password="A108" sheet="1" objects="1" scenarios="1" formatColumns="0" formatRows="0"/>
  <mergeCells count="2">
    <mergeCell ref="B5:F6"/>
    <mergeCell ref="A5:A23"/>
  </mergeCells>
  <phoneticPr fontId="5" type="noConversion"/>
  <printOptions horizontalCentered="1"/>
  <pageMargins left="0.5" right="0.5" top="0.5" bottom="0.5" header="0.5" footer="0.25"/>
  <pageSetup fitToHeight="3" orientation="portrait" verticalDpi="1200" r:id="rId1"/>
  <headerFooter alignWithMargins="0">
    <oddFooter>&amp;L2012 Project Narrative&amp;C&amp;F&amp;R&amp;9&amp;P of &amp;N</oddFooter>
  </headerFooter>
  <rowBreaks count="2" manualBreakCount="2">
    <brk id="10" man="1"/>
    <brk id="17" man="1"/>
  </rowBreaks>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- 2012-008 Savannah Gardens Phase IV, Savannah, Chatham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4118</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731539.5</v>
      </c>
      <c r="K6" s="899"/>
      <c r="O6" s="896" t="s">
        <v>3866</v>
      </c>
      <c r="P6" s="896"/>
    </row>
    <row r="7" spans="1:16" s="2" customFormat="1" ht="13.15" customHeight="1">
      <c r="A7" s="5"/>
      <c r="C7" s="5"/>
      <c r="D7" s="31"/>
      <c r="E7" s="549"/>
      <c r="F7" s="449" t="s">
        <v>1850</v>
      </c>
      <c r="J7" s="900">
        <f>'Part III A-Sources of Funds'!J5</f>
        <v>0</v>
      </c>
      <c r="K7" s="901"/>
      <c r="M7" s="449"/>
      <c r="N7" s="449"/>
      <c r="O7" s="1286" t="s">
        <v>4062</v>
      </c>
      <c r="P7" s="1287"/>
    </row>
    <row r="8" spans="1:16" s="449" customFormat="1" ht="7.15" customHeight="1">
      <c r="A8" s="452"/>
      <c r="C8" s="452"/>
      <c r="D8" s="416"/>
      <c r="E8" s="454"/>
      <c r="F8" s="454"/>
      <c r="I8" s="456"/>
      <c r="N8" s="457"/>
    </row>
    <row r="9" spans="1:16" s="449" customFormat="1" ht="13.15" customHeight="1">
      <c r="A9" s="456" t="s">
        <v>1136</v>
      </c>
      <c r="C9" s="452" t="s">
        <v>2926</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3977</v>
      </c>
      <c r="G13" s="1293"/>
      <c r="H13" s="1293"/>
      <c r="I13" s="1293"/>
      <c r="J13" s="1293"/>
      <c r="K13" s="1293"/>
      <c r="L13" s="1294"/>
      <c r="M13" s="827" t="s">
        <v>2860</v>
      </c>
      <c r="N13" s="1292" t="s">
        <v>3979</v>
      </c>
      <c r="O13" s="1293"/>
      <c r="P13" s="1294"/>
    </row>
    <row r="14" spans="1:16" s="449" customFormat="1" ht="13.15" customHeight="1">
      <c r="C14" s="455" t="s">
        <v>2861</v>
      </c>
      <c r="F14" s="1292" t="s">
        <v>3978</v>
      </c>
      <c r="G14" s="1293"/>
      <c r="H14" s="1293"/>
      <c r="I14" s="1293"/>
      <c r="J14" s="1293"/>
      <c r="K14" s="1293"/>
      <c r="L14" s="1294"/>
      <c r="M14" s="827" t="s">
        <v>2573</v>
      </c>
      <c r="O14" s="1295">
        <v>4049754199</v>
      </c>
      <c r="P14" s="1296"/>
    </row>
    <row r="15" spans="1:16" s="449" customFormat="1" ht="13.15" customHeight="1">
      <c r="C15" s="455" t="s">
        <v>876</v>
      </c>
      <c r="F15" s="1297" t="s">
        <v>1743</v>
      </c>
      <c r="G15" s="1298"/>
      <c r="H15" s="1299"/>
      <c r="M15" s="827" t="s">
        <v>2658</v>
      </c>
      <c r="O15" s="1300">
        <v>4048811191</v>
      </c>
      <c r="P15" s="1301"/>
    </row>
    <row r="16" spans="1:16" s="449" customFormat="1" ht="13.15" customHeight="1">
      <c r="C16" s="455" t="s">
        <v>2655</v>
      </c>
      <c r="F16" s="1302" t="s">
        <v>1337</v>
      </c>
      <c r="I16" s="836" t="s">
        <v>3138</v>
      </c>
      <c r="J16" s="1303">
        <v>303082857</v>
      </c>
      <c r="K16" s="1304"/>
      <c r="M16" s="827" t="s">
        <v>2859</v>
      </c>
      <c r="O16" s="1300">
        <v>6784804183</v>
      </c>
      <c r="P16" s="1301"/>
    </row>
    <row r="17" spans="1:16" s="449" customFormat="1" ht="13.15" customHeight="1">
      <c r="B17" s="833"/>
      <c r="C17" s="455" t="s">
        <v>2572</v>
      </c>
      <c r="F17" s="1300">
        <v>4048733887</v>
      </c>
      <c r="G17" s="1305"/>
      <c r="H17" s="1301"/>
      <c r="I17" s="828" t="s">
        <v>2571</v>
      </c>
      <c r="J17" s="1306">
        <v>6</v>
      </c>
      <c r="K17" s="836" t="s">
        <v>2864</v>
      </c>
      <c r="L17" s="1292" t="s">
        <v>3980</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3981</v>
      </c>
      <c r="G22" s="1308"/>
      <c r="H22" s="1308"/>
      <c r="I22" s="1308"/>
      <c r="J22" s="1308"/>
      <c r="K22" s="1308"/>
      <c r="L22" s="1309"/>
      <c r="M22" s="827" t="s">
        <v>3087</v>
      </c>
      <c r="O22" s="1292" t="s">
        <v>3984</v>
      </c>
      <c r="P22" s="1294"/>
    </row>
    <row r="23" spans="1:16" s="449" customFormat="1" ht="13.15" customHeight="1">
      <c r="A23" s="462"/>
      <c r="B23" s="452"/>
      <c r="C23" s="449" t="s">
        <v>875</v>
      </c>
      <c r="D23" s="463"/>
      <c r="F23" s="1292" t="s">
        <v>3982</v>
      </c>
      <c r="G23" s="1293"/>
      <c r="H23" s="1293"/>
      <c r="I23" s="1293"/>
      <c r="J23" s="1293"/>
      <c r="K23" s="1293"/>
      <c r="L23" s="1294"/>
      <c r="M23" s="827" t="s">
        <v>2939</v>
      </c>
      <c r="O23" s="1292" t="s">
        <v>3983</v>
      </c>
      <c r="P23" s="1294"/>
    </row>
    <row r="24" spans="1:16" s="449" customFormat="1" ht="13.15" customHeight="1">
      <c r="A24" s="844"/>
      <c r="B24" s="452"/>
      <c r="C24" s="449" t="s">
        <v>876</v>
      </c>
      <c r="F24" s="1292" t="s">
        <v>1893</v>
      </c>
      <c r="G24" s="1293"/>
      <c r="H24" s="1294"/>
      <c r="I24" s="836" t="s">
        <v>418</v>
      </c>
      <c r="J24" s="1303">
        <v>314040000</v>
      </c>
      <c r="K24" s="1304"/>
      <c r="L24" s="540" t="str">
        <f>IF(AND(NOT(F22=""),NOT(F24="Select from list"),J24=""),"Enter Zip!","")</f>
        <v/>
      </c>
      <c r="M24" s="827" t="s">
        <v>3197</v>
      </c>
      <c r="O24" s="1292">
        <v>4.9580000000000002</v>
      </c>
      <c r="P24" s="1294"/>
    </row>
    <row r="25" spans="1:16" s="449" customFormat="1" ht="13.15" customHeight="1">
      <c r="A25" s="844"/>
      <c r="B25" s="452"/>
      <c r="C25" s="887" t="s">
        <v>2938</v>
      </c>
      <c r="D25" s="887"/>
      <c r="F25" s="1310" t="s">
        <v>3975</v>
      </c>
      <c r="I25" s="494" t="s">
        <v>877</v>
      </c>
      <c r="J25" s="1311" t="str">
        <f>IF($F$24="","",VLOOKUP($F$24,$N$181:$O$784,2,FALSE))</f>
        <v>Chatham</v>
      </c>
      <c r="K25" s="1312"/>
      <c r="M25" s="465" t="s">
        <v>3212</v>
      </c>
      <c r="O25" s="1292">
        <v>36.01</v>
      </c>
      <c r="P25" s="1313"/>
    </row>
    <row r="26" spans="1:16" s="449" customFormat="1" ht="13.15" customHeight="1">
      <c r="A26" s="844"/>
      <c r="B26" s="452"/>
      <c r="C26" s="449" t="s">
        <v>2162</v>
      </c>
      <c r="F26" s="1314" t="s">
        <v>3983</v>
      </c>
      <c r="H26" s="457" t="s">
        <v>3656</v>
      </c>
      <c r="I26" s="682" t="str">
        <f>VLOOKUP($J$25,$C$181:$F$340,4)</f>
        <v>MSA</v>
      </c>
      <c r="J26" s="1315" t="str">
        <f>IF($F$24="","",VLOOKUP($J$25,$C$181:$H$340,3,FALSE))</f>
        <v>Savannah</v>
      </c>
      <c r="K26" s="1316"/>
      <c r="L26" s="1317"/>
      <c r="M26" s="827" t="s">
        <v>625</v>
      </c>
      <c r="N26" s="1318" t="s">
        <v>3983</v>
      </c>
      <c r="O26" s="457" t="s">
        <v>626</v>
      </c>
      <c r="P26" s="1318" t="s">
        <v>3983</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12</v>
      </c>
      <c r="G29" s="1320"/>
      <c r="H29" s="1319">
        <v>2</v>
      </c>
      <c r="I29" s="1320"/>
      <c r="J29" s="1319">
        <v>161</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3985</v>
      </c>
      <c r="G32" s="1322"/>
      <c r="H32" s="1322"/>
      <c r="I32" s="1322"/>
      <c r="J32" s="1322"/>
      <c r="K32" s="1323"/>
      <c r="L32" s="466"/>
      <c r="M32" s="466"/>
      <c r="N32" s="466"/>
    </row>
    <row r="33" spans="1:19" s="449" customFormat="1" ht="13.15" customHeight="1">
      <c r="A33" s="844"/>
      <c r="B33" s="844"/>
      <c r="C33" s="449" t="s">
        <v>897</v>
      </c>
      <c r="F33" s="1324" t="s">
        <v>3990</v>
      </c>
      <c r="G33" s="1325"/>
      <c r="H33" s="1325"/>
      <c r="I33" s="1325"/>
      <c r="J33" s="1326"/>
      <c r="K33" s="467" t="s">
        <v>2860</v>
      </c>
      <c r="L33" s="1321" t="s">
        <v>3986</v>
      </c>
      <c r="M33" s="1322"/>
      <c r="N33" s="1323"/>
    </row>
    <row r="34" spans="1:19" s="449" customFormat="1" ht="13.15" customHeight="1">
      <c r="A34" s="844"/>
      <c r="B34" s="844"/>
      <c r="C34" s="449" t="s">
        <v>2861</v>
      </c>
      <c r="F34" s="1321" t="s">
        <v>3989</v>
      </c>
      <c r="G34" s="1322"/>
      <c r="H34" s="1322"/>
      <c r="I34" s="1322"/>
      <c r="J34" s="1323"/>
      <c r="K34" s="468" t="s">
        <v>876</v>
      </c>
      <c r="L34" s="1292" t="s">
        <v>1893</v>
      </c>
      <c r="M34" s="1293"/>
      <c r="N34" s="1294"/>
    </row>
    <row r="35" spans="1:19" s="449" customFormat="1" ht="13.15" customHeight="1">
      <c r="A35" s="844"/>
      <c r="B35" s="844"/>
      <c r="C35" s="827" t="s">
        <v>3138</v>
      </c>
      <c r="F35" s="1327">
        <v>314021027</v>
      </c>
      <c r="G35" s="1328"/>
      <c r="H35" s="828" t="s">
        <v>2862</v>
      </c>
      <c r="I35" s="1329">
        <v>9126516444</v>
      </c>
      <c r="J35" s="1330"/>
      <c r="K35" s="1331"/>
      <c r="L35" s="828" t="s">
        <v>2658</v>
      </c>
      <c r="M35" s="1329">
        <v>9126516805</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2863</v>
      </c>
      <c r="C39" s="452" t="s">
        <v>3214</v>
      </c>
      <c r="F39" s="1306" t="s">
        <v>3983</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2866</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114</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3005</v>
      </c>
      <c r="K48" s="475" t="s">
        <v>3220</v>
      </c>
      <c r="M48" s="833"/>
      <c r="N48" s="833"/>
      <c r="O48" s="833"/>
      <c r="P48" s="836"/>
      <c r="Q48" s="836"/>
      <c r="R48" s="836"/>
      <c r="S48" s="833"/>
    </row>
    <row r="49" spans="1:16" s="449" customFormat="1" ht="13.15" customHeight="1">
      <c r="A49" s="844"/>
      <c r="B49" s="829"/>
      <c r="C49" s="459" t="s">
        <v>3191</v>
      </c>
      <c r="D49" s="833"/>
      <c r="E49" s="833"/>
      <c r="H49" s="476">
        <f>SUM(H50:H51)</f>
        <v>90</v>
      </c>
      <c r="I49" s="904"/>
      <c r="J49" s="844"/>
      <c r="K49" s="459" t="s">
        <v>3221</v>
      </c>
      <c r="M49" s="833"/>
      <c r="N49" s="833"/>
      <c r="O49" s="833"/>
      <c r="P49" s="476">
        <f>'Part VI-Revenues &amp; Expenses'!$M$96</f>
        <v>96877</v>
      </c>
    </row>
    <row r="50" spans="1:16" s="449" customFormat="1" ht="13.15" customHeight="1">
      <c r="A50" s="844"/>
      <c r="B50" s="472"/>
      <c r="D50" s="477" t="s">
        <v>459</v>
      </c>
      <c r="E50" s="477"/>
      <c r="H50" s="476">
        <f>'Part VI-Revenues &amp; Expenses'!$M$57</f>
        <v>23</v>
      </c>
      <c r="I50" s="476">
        <f>'Part VI-Revenues &amp; Expenses'!$M$65</f>
        <v>0</v>
      </c>
      <c r="K50" s="459" t="s">
        <v>306</v>
      </c>
      <c r="M50" s="833"/>
      <c r="N50" s="833"/>
      <c r="O50" s="833"/>
      <c r="P50" s="476">
        <f>'Part VI-Revenues &amp; Expenses'!$M$97</f>
        <v>24558</v>
      </c>
    </row>
    <row r="51" spans="1:16" s="449" customFormat="1" ht="13.15" customHeight="1">
      <c r="A51" s="844"/>
      <c r="D51" s="477" t="s">
        <v>2686</v>
      </c>
      <c r="E51" s="477"/>
      <c r="H51" s="476">
        <f>'Part VI-Revenues &amp; Expenses'!$M$56</f>
        <v>67</v>
      </c>
      <c r="I51" s="476">
        <f>'Part VI-Revenues &amp; Expenses'!$M$64</f>
        <v>0</v>
      </c>
      <c r="K51" s="459" t="s">
        <v>3222</v>
      </c>
      <c r="M51" s="833"/>
      <c r="N51" s="833"/>
      <c r="O51" s="833"/>
      <c r="P51" s="476">
        <f>+P49+P50</f>
        <v>121435</v>
      </c>
    </row>
    <row r="52" spans="1:16" s="449" customFormat="1" ht="13.15" customHeight="1">
      <c r="A52" s="844"/>
      <c r="C52" s="459" t="s">
        <v>307</v>
      </c>
      <c r="D52" s="833"/>
      <c r="E52" s="833"/>
      <c r="H52" s="476">
        <f>'Part VI-Revenues &amp; Expenses'!$M$59</f>
        <v>23</v>
      </c>
      <c r="J52" s="844"/>
      <c r="K52" s="459" t="s">
        <v>1996</v>
      </c>
      <c r="M52" s="833"/>
      <c r="N52" s="833"/>
      <c r="O52" s="833"/>
      <c r="P52" s="476">
        <f>'Part VI-Revenues &amp; Expenses'!$M$99</f>
        <v>1031</v>
      </c>
    </row>
    <row r="53" spans="1:16" s="449" customFormat="1" ht="13.15" customHeight="1">
      <c r="A53" s="844"/>
      <c r="C53" s="459" t="s">
        <v>3389</v>
      </c>
      <c r="D53" s="833"/>
      <c r="E53" s="833"/>
      <c r="H53" s="476">
        <f>+H49+H52</f>
        <v>113</v>
      </c>
      <c r="J53" s="844"/>
      <c r="K53" s="459" t="s">
        <v>1995</v>
      </c>
      <c r="M53" s="833"/>
      <c r="N53" s="833"/>
      <c r="O53" s="833"/>
      <c r="P53" s="476">
        <f>+P51+P52</f>
        <v>122466</v>
      </c>
    </row>
    <row r="54" spans="1:16" s="449" customFormat="1" ht="13.15" customHeight="1">
      <c r="A54" s="844"/>
      <c r="C54" s="459" t="s">
        <v>3390</v>
      </c>
      <c r="D54" s="833"/>
      <c r="E54" s="833"/>
      <c r="H54" s="476">
        <f>'Part VI-Revenues &amp; Expenses'!$M$61</f>
        <v>1</v>
      </c>
      <c r="J54" s="844"/>
    </row>
    <row r="55" spans="1:16" s="449" customFormat="1" ht="13.15" customHeight="1">
      <c r="A55" s="844"/>
      <c r="C55" s="459" t="s">
        <v>2649</v>
      </c>
      <c r="D55" s="833"/>
      <c r="E55" s="833"/>
      <c r="H55" s="476">
        <f>+H53+H54</f>
        <v>114</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2877</v>
      </c>
      <c r="G57" s="833"/>
      <c r="H57" s="1333">
        <v>18</v>
      </c>
      <c r="K57" s="459" t="s">
        <v>1641</v>
      </c>
      <c r="O57" s="833"/>
      <c r="P57" s="1333">
        <v>20338</v>
      </c>
    </row>
    <row r="58" spans="1:16" s="449" customFormat="1" ht="13.15" customHeight="1">
      <c r="A58" s="844"/>
      <c r="B58" s="844"/>
      <c r="D58" s="829" t="s">
        <v>2878</v>
      </c>
      <c r="H58" s="1333"/>
      <c r="I58" s="833"/>
      <c r="K58" s="459" t="s">
        <v>305</v>
      </c>
      <c r="O58" s="833"/>
      <c r="P58" s="476">
        <f>+P53+P57</f>
        <v>142804</v>
      </c>
    </row>
    <row r="59" spans="1:16" s="449" customFormat="1" ht="13.15" customHeight="1">
      <c r="A59" s="844"/>
      <c r="B59" s="844"/>
      <c r="D59" s="829" t="s">
        <v>2879</v>
      </c>
      <c r="H59" s="476">
        <f>+H57+H58</f>
        <v>18</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117</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2863</v>
      </c>
      <c r="C65" s="394" t="s">
        <v>3964</v>
      </c>
      <c r="D65" s="830"/>
      <c r="E65" s="830"/>
      <c r="F65" s="833"/>
      <c r="G65" s="836"/>
      <c r="H65" s="1334" t="s">
        <v>3987</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2866</v>
      </c>
      <c r="C67" s="461" t="s">
        <v>1985</v>
      </c>
      <c r="D67" s="833"/>
      <c r="E67" s="477"/>
      <c r="G67" s="479" t="s">
        <v>1282</v>
      </c>
      <c r="H67" s="1333">
        <v>6</v>
      </c>
      <c r="K67" s="887" t="s">
        <v>755</v>
      </c>
      <c r="L67" s="887"/>
      <c r="P67" s="480">
        <f>IF('Part VI-Revenues &amp; Expenses'!$M$62=0,0,$H67/'Part VI-Revenues &amp; Expenses'!$M$62)</f>
        <v>5.2631578947368418E-2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2712</v>
      </c>
      <c r="D69" s="477"/>
      <c r="E69" s="477"/>
      <c r="G69" s="479" t="s">
        <v>1282</v>
      </c>
      <c r="H69" s="1333">
        <v>3</v>
      </c>
      <c r="K69" s="887" t="s">
        <v>755</v>
      </c>
      <c r="L69" s="887"/>
      <c r="P69" s="480">
        <f>IF('Part VI-Revenues &amp; Expenses'!$M$62=0,0,$H69/'Part VI-Revenues &amp; Expenses'!$M$62)</f>
        <v>2.6315789473684209E-2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3005</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2863</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2866</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2927</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3975</v>
      </c>
      <c r="F81" s="477" t="s">
        <v>3639</v>
      </c>
      <c r="H81" s="1306" t="s">
        <v>3983</v>
      </c>
      <c r="I81" s="827" t="s">
        <v>3638</v>
      </c>
      <c r="K81" s="1306" t="s">
        <v>3983</v>
      </c>
      <c r="L81" s="449" t="s">
        <v>339</v>
      </c>
    </row>
    <row r="82" spans="1:16" s="449" customFormat="1" ht="13.15" customHeight="1">
      <c r="A82" s="844"/>
      <c r="B82" s="844"/>
      <c r="D82" s="470"/>
      <c r="E82" s="1306" t="s">
        <v>3983</v>
      </c>
      <c r="F82" s="827" t="s">
        <v>611</v>
      </c>
      <c r="H82" s="1306" t="s">
        <v>3983</v>
      </c>
      <c r="I82" s="829" t="s">
        <v>3026</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2655</v>
      </c>
      <c r="I88" s="1306"/>
      <c r="J88" s="483" t="s">
        <v>3138</v>
      </c>
      <c r="K88" s="1303"/>
      <c r="L88" s="1342"/>
      <c r="M88" s="416"/>
      <c r="N88" s="416"/>
      <c r="O88" s="416"/>
      <c r="P88" s="416"/>
    </row>
    <row r="89" spans="1:16" s="449" customFormat="1" ht="13.15" customHeight="1">
      <c r="C89" s="449" t="s">
        <v>3089</v>
      </c>
      <c r="E89" s="1292"/>
      <c r="F89" s="1341"/>
      <c r="G89" s="1342"/>
      <c r="H89" s="836" t="s">
        <v>2860</v>
      </c>
      <c r="I89" s="1292"/>
      <c r="J89" s="1341"/>
      <c r="K89" s="1342"/>
      <c r="L89" s="846" t="s">
        <v>2864</v>
      </c>
      <c r="M89" s="1292"/>
      <c r="N89" s="1341"/>
      <c r="O89" s="1341"/>
      <c r="P89" s="1342"/>
    </row>
    <row r="90" spans="1:16" s="449" customFormat="1" ht="13.15" customHeight="1">
      <c r="C90" s="455" t="s">
        <v>3088</v>
      </c>
      <c r="E90" s="1300"/>
      <c r="F90" s="1305"/>
      <c r="G90" s="1301"/>
      <c r="H90" s="836" t="s">
        <v>2658</v>
      </c>
      <c r="I90" s="1329"/>
      <c r="J90" s="1342"/>
      <c r="K90" s="483" t="s">
        <v>2659</v>
      </c>
      <c r="L90" s="1329"/>
      <c r="M90" s="1342"/>
      <c r="N90" s="483" t="s">
        <v>2859</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2863</v>
      </c>
      <c r="C96" s="830" t="s">
        <v>1986</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2866</v>
      </c>
      <c r="C98" s="830" t="s">
        <v>493</v>
      </c>
      <c r="D98" s="829"/>
      <c r="E98" s="829"/>
      <c r="F98" s="836"/>
      <c r="G98" s="836"/>
      <c r="H98" s="1344">
        <v>1322282</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3027</v>
      </c>
      <c r="D101" s="829"/>
      <c r="F101" s="829" t="s">
        <v>1652</v>
      </c>
      <c r="G101" s="836"/>
      <c r="H101" s="836"/>
      <c r="I101" s="836"/>
      <c r="J101" s="829" t="s">
        <v>3027</v>
      </c>
      <c r="K101" s="829"/>
      <c r="M101" s="829" t="s">
        <v>1652</v>
      </c>
      <c r="N101" s="836"/>
      <c r="O101" s="836"/>
      <c r="P101" s="836"/>
    </row>
    <row r="102" spans="1:16" s="449" customFormat="1" ht="13.15" customHeight="1">
      <c r="A102" s="844"/>
      <c r="B102" s="844"/>
      <c r="C102" s="1345" t="s">
        <v>4065</v>
      </c>
      <c r="D102" s="1346"/>
      <c r="E102" s="1346"/>
      <c r="F102" s="1346" t="s">
        <v>3981</v>
      </c>
      <c r="G102" s="1346"/>
      <c r="H102" s="1346"/>
      <c r="I102" s="1347"/>
      <c r="J102" s="1345">
        <v>8</v>
      </c>
      <c r="K102" s="1346"/>
      <c r="L102" s="1346"/>
      <c r="M102" s="1346"/>
      <c r="N102" s="1346"/>
      <c r="O102" s="1346"/>
      <c r="P102" s="1347"/>
    </row>
    <row r="103" spans="1:16" s="449" customFormat="1" ht="13.15" customHeight="1">
      <c r="A103" s="844"/>
      <c r="B103" s="844"/>
      <c r="C103" s="1348" t="s">
        <v>4067</v>
      </c>
      <c r="D103" s="1349"/>
      <c r="E103" s="1349"/>
      <c r="F103" s="1349" t="s">
        <v>4066</v>
      </c>
      <c r="G103" s="1349"/>
      <c r="H103" s="1349"/>
      <c r="I103" s="1350"/>
      <c r="J103" s="1348">
        <v>9</v>
      </c>
      <c r="K103" s="1349"/>
      <c r="L103" s="1349"/>
      <c r="M103" s="1349"/>
      <c r="N103" s="1349"/>
      <c r="O103" s="1349"/>
      <c r="P103" s="1350"/>
    </row>
    <row r="104" spans="1:16" s="449" customFormat="1" ht="13.15" customHeight="1">
      <c r="A104" s="844"/>
      <c r="B104" s="844"/>
      <c r="C104" s="1348" t="s">
        <v>4063</v>
      </c>
      <c r="D104" s="1349"/>
      <c r="E104" s="1349"/>
      <c r="F104" s="1349" t="s">
        <v>3981</v>
      </c>
      <c r="G104" s="1349"/>
      <c r="H104" s="1349"/>
      <c r="I104" s="1350"/>
      <c r="J104" s="1348">
        <v>10</v>
      </c>
      <c r="K104" s="1349"/>
      <c r="L104" s="1349"/>
      <c r="M104" s="1349"/>
      <c r="N104" s="1349"/>
      <c r="O104" s="1349"/>
      <c r="P104" s="1350"/>
    </row>
    <row r="105" spans="1:16" s="449" customFormat="1" ht="13.15" customHeight="1">
      <c r="A105" s="844"/>
      <c r="B105" s="844"/>
      <c r="C105" s="1348" t="s">
        <v>4064</v>
      </c>
      <c r="D105" s="1349"/>
      <c r="E105" s="1349"/>
      <c r="F105" s="1349" t="s">
        <v>4066</v>
      </c>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3005</v>
      </c>
      <c r="C110" s="914" t="s">
        <v>2719</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3027</v>
      </c>
      <c r="D112" s="829"/>
      <c r="F112" s="829" t="s">
        <v>1652</v>
      </c>
      <c r="G112" s="836"/>
      <c r="H112" s="836"/>
      <c r="I112" s="836"/>
      <c r="J112" s="829" t="s">
        <v>3027</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t="s">
        <v>3983</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2863</v>
      </c>
      <c r="C123" s="456" t="s">
        <v>2560</v>
      </c>
      <c r="H123" s="1306"/>
      <c r="M123" s="836"/>
      <c r="N123" s="833"/>
      <c r="O123" s="833"/>
      <c r="P123" s="460"/>
    </row>
    <row r="124" spans="1:16" s="449" customFormat="1" ht="13.15" customHeight="1">
      <c r="A124" s="844"/>
      <c r="B124" s="844"/>
      <c r="C124" s="829" t="s">
        <v>3404</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4"/>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2866</v>
      </c>
      <c r="C130" s="830" t="s">
        <v>3497</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2863</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3983</v>
      </c>
      <c r="N139" s="833"/>
      <c r="O139" s="833"/>
      <c r="P139" s="460"/>
    </row>
    <row r="140" spans="1:16" s="449" customFormat="1" ht="12.6" customHeight="1">
      <c r="A140" s="844"/>
      <c r="B140" s="844"/>
      <c r="C140" s="449" t="s">
        <v>872</v>
      </c>
      <c r="K140" s="1333"/>
      <c r="L140" s="455" t="s">
        <v>2651</v>
      </c>
      <c r="P140" s="487">
        <f>IF('Part VI-Revenues &amp; Expenses'!$M$60=0,0,$K140/'Part VI-Revenues &amp; Expenses'!$M$60)</f>
        <v>0</v>
      </c>
    </row>
    <row r="141" spans="1:16" s="449" customFormat="1" ht="12.6" customHeight="1">
      <c r="A141" s="844"/>
      <c r="B141" s="844"/>
      <c r="C141" s="449" t="s">
        <v>3061</v>
      </c>
      <c r="K141" s="1333"/>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55"/>
      <c r="L143" s="827" t="s">
        <v>2656</v>
      </c>
      <c r="M143" s="1307"/>
      <c r="N143" s="1308"/>
      <c r="O143" s="1308"/>
      <c r="P143" s="1309"/>
    </row>
    <row r="144" spans="1:16" s="449" customFormat="1" ht="12.6" customHeight="1">
      <c r="A144" s="844"/>
      <c r="B144" s="844"/>
      <c r="C144" s="455" t="s">
        <v>876</v>
      </c>
      <c r="E144" s="1292"/>
      <c r="F144" s="1293"/>
      <c r="G144" s="1293"/>
      <c r="H144" s="1294"/>
      <c r="I144" s="483" t="s">
        <v>3138</v>
      </c>
      <c r="J144" s="1303"/>
      <c r="K144" s="1304"/>
      <c r="L144" s="488" t="s">
        <v>2659</v>
      </c>
      <c r="M144" s="1300"/>
      <c r="N144" s="1305"/>
      <c r="O144" s="1301"/>
    </row>
    <row r="145" spans="1:16" s="449" customFormat="1" ht="12.6" customHeight="1">
      <c r="A145" s="844"/>
      <c r="B145" s="844"/>
      <c r="C145" s="455" t="s">
        <v>2657</v>
      </c>
      <c r="E145" s="1300"/>
      <c r="F145" s="1305"/>
      <c r="G145" s="1301"/>
      <c r="H145" s="489" t="s">
        <v>2658</v>
      </c>
      <c r="I145" s="1300"/>
      <c r="J145" s="1305"/>
      <c r="K145" s="1301"/>
      <c r="L145" s="490" t="s">
        <v>2859</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2866</v>
      </c>
      <c r="C147" s="830" t="s">
        <v>2219</v>
      </c>
      <c r="D147" s="830"/>
      <c r="E147" s="830"/>
      <c r="F147" s="830"/>
      <c r="G147" s="830"/>
      <c r="I147" s="1343" t="s">
        <v>3983</v>
      </c>
      <c r="J147" s="912" t="s">
        <v>1158</v>
      </c>
      <c r="K147" s="913"/>
      <c r="L147" s="1343"/>
      <c r="M147" s="909" t="s">
        <v>3247</v>
      </c>
      <c r="N147" s="910"/>
      <c r="O147" s="911"/>
      <c r="P147" s="1354">
        <v>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3983</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3005</v>
      </c>
      <c r="C151" s="892" t="s">
        <v>2858</v>
      </c>
      <c r="D151" s="892"/>
      <c r="E151" s="892"/>
      <c r="F151" s="892"/>
      <c r="G151" s="830"/>
      <c r="H151" s="1343" t="s">
        <v>3975</v>
      </c>
    </row>
    <row r="152" spans="1:16" s="449" customFormat="1" ht="12.6" customHeight="1">
      <c r="B152" s="844"/>
      <c r="C152" s="891" t="s">
        <v>2067</v>
      </c>
      <c r="D152" s="891"/>
      <c r="E152" s="830"/>
      <c r="F152" s="830"/>
      <c r="G152" s="830"/>
      <c r="H152" s="1356">
        <v>14</v>
      </c>
    </row>
    <row r="153" spans="1:16" s="449" customFormat="1" ht="12.6" customHeight="1">
      <c r="A153" s="844"/>
      <c r="B153" s="844"/>
      <c r="C153" s="887" t="s">
        <v>1283</v>
      </c>
      <c r="D153" s="887"/>
      <c r="E153" s="452"/>
      <c r="F153" s="830"/>
      <c r="G153" s="830"/>
      <c r="H153" s="1356">
        <v>4</v>
      </c>
      <c r="K153" s="459"/>
      <c r="P153" s="460"/>
    </row>
    <row r="154" spans="1:16" s="449" customFormat="1" ht="12.6" customHeight="1">
      <c r="B154" s="844"/>
      <c r="C154" s="887" t="s">
        <v>2647</v>
      </c>
      <c r="D154" s="887"/>
      <c r="E154" s="452"/>
      <c r="F154" s="830"/>
      <c r="G154" s="830"/>
      <c r="H154" s="493">
        <f>IF(H152="","",H153/H152)</f>
        <v>0.2857142857142857</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3983</v>
      </c>
      <c r="L157" s="833" t="s">
        <v>3907</v>
      </c>
      <c r="P157" s="1343" t="s">
        <v>3983</v>
      </c>
    </row>
    <row r="158" spans="1:16" s="449" customFormat="1" ht="12.6" customHeight="1">
      <c r="A158" s="844"/>
      <c r="B158" s="844"/>
      <c r="C158" s="833" t="s">
        <v>3115</v>
      </c>
      <c r="H158" s="1343" t="s">
        <v>3983</v>
      </c>
      <c r="L158" s="833" t="s">
        <v>2222</v>
      </c>
      <c r="P158" s="1343" t="s">
        <v>3983</v>
      </c>
    </row>
    <row r="159" spans="1:16" s="449" customFormat="1" ht="12.6" customHeight="1">
      <c r="A159" s="844"/>
      <c r="C159" s="833" t="s">
        <v>1849</v>
      </c>
      <c r="D159" s="495"/>
      <c r="H159" s="1343" t="s">
        <v>3983</v>
      </c>
      <c r="L159" s="833" t="s">
        <v>2387</v>
      </c>
      <c r="P159" s="1343" t="s">
        <v>3983</v>
      </c>
    </row>
    <row r="160" spans="1:16" s="449" customFormat="1" ht="12.6" customHeight="1">
      <c r="A160" s="844"/>
      <c r="B160" s="844"/>
      <c r="C160" s="833" t="s">
        <v>2221</v>
      </c>
      <c r="D160" s="461"/>
      <c r="E160" s="833"/>
      <c r="F160" s="833"/>
      <c r="H160" s="1343" t="s">
        <v>3975</v>
      </c>
      <c r="K160" s="461"/>
      <c r="L160" s="449" t="s">
        <v>3908</v>
      </c>
      <c r="M160" s="833"/>
      <c r="P160" s="1343" t="s">
        <v>3983</v>
      </c>
    </row>
    <row r="161" spans="1:21" s="449" customFormat="1" ht="12.6" customHeight="1">
      <c r="A161" s="844"/>
      <c r="B161" s="452"/>
      <c r="C161" s="833" t="s">
        <v>2139</v>
      </c>
      <c r="D161" s="461"/>
      <c r="H161" s="1343" t="s">
        <v>3983</v>
      </c>
      <c r="L161" s="833" t="s">
        <v>3954</v>
      </c>
      <c r="M161" s="833"/>
      <c r="P161" s="1343" t="s">
        <v>3983</v>
      </c>
    </row>
    <row r="162" spans="1:21" s="449" customFormat="1" ht="12.6" customHeight="1">
      <c r="A162" s="844"/>
      <c r="B162" s="844"/>
      <c r="C162" s="833" t="s">
        <v>2668</v>
      </c>
      <c r="D162" s="461"/>
      <c r="E162" s="833"/>
      <c r="F162" s="833"/>
      <c r="H162" s="1343" t="s">
        <v>3983</v>
      </c>
      <c r="I162" s="494" t="s">
        <v>3701</v>
      </c>
      <c r="O162" s="1357"/>
      <c r="P162" s="1358"/>
    </row>
    <row r="163" spans="1:21" s="449" customFormat="1" ht="12.6" customHeight="1">
      <c r="A163" s="844"/>
      <c r="B163" s="844"/>
      <c r="C163" s="833" t="s">
        <v>3956</v>
      </c>
      <c r="E163" s="1334"/>
      <c r="F163" s="1359"/>
      <c r="G163" s="1335"/>
      <c r="H163" s="1343" t="s">
        <v>3983</v>
      </c>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3213</v>
      </c>
      <c r="D168" s="829"/>
      <c r="E168" s="829"/>
      <c r="F168" s="836"/>
      <c r="G168" s="836"/>
      <c r="H168" s="1339">
        <v>41974</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72.75" customHeight="1">
      <c r="A171" s="1360" t="s">
        <v>4105</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2969</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2977</v>
      </c>
      <c r="K188" s="614"/>
      <c r="L188" s="609"/>
      <c r="M188" s="610"/>
      <c r="N188" s="615" t="s">
        <v>2976</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2842</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2843</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2720</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2795</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2960</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2961</v>
      </c>
      <c r="K212" s="616"/>
      <c r="L212" s="609"/>
      <c r="M212" s="610"/>
      <c r="N212" s="615" t="s">
        <v>2963</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2962</v>
      </c>
      <c r="K213" s="616"/>
      <c r="L213" s="609"/>
      <c r="M213" s="610"/>
      <c r="N213" s="615" t="s">
        <v>2880</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2964</v>
      </c>
      <c r="K214" s="616"/>
      <c r="L214" s="609"/>
      <c r="M214" s="610"/>
      <c r="N214" s="615" t="s">
        <v>2965</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2996</v>
      </c>
      <c r="K215" s="616"/>
      <c r="L215" s="609"/>
      <c r="M215" s="610"/>
      <c r="N215" s="615" t="s">
        <v>2997</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2998</v>
      </c>
      <c r="K216" s="616"/>
      <c r="L216" s="609"/>
      <c r="M216" s="610"/>
      <c r="N216" s="615" t="s">
        <v>2999</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3000</v>
      </c>
      <c r="K217" s="616"/>
      <c r="L217" s="609"/>
      <c r="M217" s="610"/>
      <c r="N217" s="615" t="s">
        <v>3001</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3002</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2884</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2838</v>
      </c>
      <c r="H225" s="764" t="s">
        <v>500</v>
      </c>
      <c r="I225" s="680"/>
      <c r="J225" s="613" t="s">
        <v>3151</v>
      </c>
      <c r="K225" s="616"/>
      <c r="L225" s="609"/>
      <c r="M225" s="610"/>
      <c r="N225" s="497" t="s">
        <v>3591</v>
      </c>
      <c r="O225" s="497" t="s">
        <v>887</v>
      </c>
      <c r="P225" s="1368" t="s">
        <v>3033</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2839</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2840</v>
      </c>
      <c r="H229" s="764" t="s">
        <v>500</v>
      </c>
      <c r="I229" s="680"/>
      <c r="J229" s="613" t="s">
        <v>3051</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3033</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2798</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3033</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3658</v>
      </c>
      <c r="G278" s="763" t="s">
        <v>3617</v>
      </c>
      <c r="H278" s="764" t="s">
        <v>501</v>
      </c>
      <c r="I278" s="680"/>
      <c r="J278" s="613" t="s">
        <v>282</v>
      </c>
      <c r="K278" s="614"/>
      <c r="L278" s="609"/>
      <c r="M278" s="610"/>
      <c r="N278" s="615" t="s">
        <v>2949</v>
      </c>
      <c r="O278" s="615" t="s">
        <v>389</v>
      </c>
      <c r="P278" s="497" t="s">
        <v>2315</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3658</v>
      </c>
      <c r="G279" s="763" t="s">
        <v>970</v>
      </c>
      <c r="H279" s="764" t="s">
        <v>501</v>
      </c>
      <c r="I279" s="681"/>
      <c r="J279" s="613" t="s">
        <v>284</v>
      </c>
      <c r="K279" s="614"/>
      <c r="L279" s="609"/>
      <c r="M279" s="610"/>
      <c r="N279" s="615" t="s">
        <v>2951</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2953</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2948</v>
      </c>
      <c r="K281" s="614"/>
      <c r="L281" s="609"/>
      <c r="M281" s="610"/>
      <c r="N281" s="615" t="s">
        <v>2955</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2928</v>
      </c>
      <c r="F282" s="765" t="s">
        <v>3658</v>
      </c>
      <c r="G282" s="763" t="s">
        <v>973</v>
      </c>
      <c r="H282" s="764" t="s">
        <v>501</v>
      </c>
      <c r="I282" s="681"/>
      <c r="J282" s="613" t="s">
        <v>2950</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2952</v>
      </c>
      <c r="K283" s="614"/>
      <c r="L283" s="609"/>
      <c r="M283" s="610"/>
      <c r="N283" s="497" t="s">
        <v>3595</v>
      </c>
      <c r="O283" s="497" t="s">
        <v>2889</v>
      </c>
      <c r="P283" s="1368" t="s">
        <v>3033</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2954</v>
      </c>
      <c r="K284" s="614"/>
      <c r="L284" s="609"/>
      <c r="M284" s="610"/>
      <c r="N284" s="615" t="s">
        <v>2957</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2831</v>
      </c>
      <c r="H285" s="764" t="s">
        <v>501</v>
      </c>
      <c r="I285" s="680"/>
      <c r="J285" s="613" t="s">
        <v>2956</v>
      </c>
      <c r="K285" s="614"/>
      <c r="L285" s="609"/>
      <c r="M285" s="610"/>
      <c r="N285" s="615" t="s">
        <v>2959</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2958</v>
      </c>
      <c r="K286" s="614"/>
      <c r="L286" s="609"/>
      <c r="M286" s="610"/>
      <c r="N286" s="615" t="s">
        <v>942</v>
      </c>
      <c r="O286" s="615" t="s">
        <v>2889</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2929</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2929</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2832</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2833</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2834</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2835</v>
      </c>
      <c r="H296" s="764" t="s">
        <v>500</v>
      </c>
      <c r="I296" s="681"/>
      <c r="J296" s="613" t="s">
        <v>88</v>
      </c>
      <c r="K296" s="614"/>
      <c r="L296" s="609"/>
      <c r="M296" s="610"/>
      <c r="N296" s="615" t="s">
        <v>1766</v>
      </c>
      <c r="O296" s="615" t="s">
        <v>2829</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2836</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3033</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3032</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2945</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2947</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3030</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3031</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2894</v>
      </c>
      <c r="H312" s="764" t="s">
        <v>500</v>
      </c>
      <c r="I312" s="680"/>
      <c r="J312" s="613" t="s">
        <v>2944</v>
      </c>
      <c r="K312" s="614"/>
      <c r="L312" s="609"/>
      <c r="M312" s="610"/>
      <c r="N312" s="497" t="s">
        <v>3597</v>
      </c>
      <c r="O312" s="497" t="s">
        <v>1894</v>
      </c>
      <c r="P312" s="1368" t="s">
        <v>3033</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2895</v>
      </c>
      <c r="H313" s="764" t="s">
        <v>500</v>
      </c>
      <c r="I313" s="680"/>
      <c r="J313" s="613" t="s">
        <v>2946</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2896</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2897</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3657</v>
      </c>
      <c r="G322" s="763" t="s">
        <v>1692</v>
      </c>
      <c r="H322" s="764" t="s">
        <v>500</v>
      </c>
      <c r="I322" s="681"/>
      <c r="J322" s="613" t="s">
        <v>783</v>
      </c>
      <c r="K322" s="614"/>
      <c r="L322" s="609"/>
      <c r="M322" s="610"/>
      <c r="N322" s="615" t="s">
        <v>2845</v>
      </c>
      <c r="O322" s="615" t="s">
        <v>3156</v>
      </c>
      <c r="P322" s="497" t="s">
        <v>2352</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3657</v>
      </c>
      <c r="G323" s="763" t="s">
        <v>1693</v>
      </c>
      <c r="H323" s="764" t="s">
        <v>500</v>
      </c>
      <c r="I323" s="681"/>
      <c r="J323" s="613" t="s">
        <v>1678</v>
      </c>
      <c r="K323" s="614"/>
      <c r="L323" s="609"/>
      <c r="M323" s="610"/>
      <c r="N323" s="615" t="s">
        <v>2847</v>
      </c>
      <c r="O323" s="615" t="s">
        <v>3630</v>
      </c>
      <c r="P323" s="497" t="s">
        <v>2353</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3658</v>
      </c>
      <c r="G324" s="763" t="s">
        <v>3615</v>
      </c>
      <c r="H324" s="764" t="s">
        <v>501</v>
      </c>
      <c r="I324" s="681"/>
      <c r="J324" s="613" t="s">
        <v>1143</v>
      </c>
      <c r="K324" s="614"/>
      <c r="L324" s="609"/>
      <c r="M324" s="610"/>
      <c r="N324" s="615" t="s">
        <v>404</v>
      </c>
      <c r="O324" s="615" t="s">
        <v>2829</v>
      </c>
      <c r="P324" s="497" t="s">
        <v>2354</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3657</v>
      </c>
      <c r="G326" s="763" t="s">
        <v>1695</v>
      </c>
      <c r="H326" s="764" t="s">
        <v>500</v>
      </c>
      <c r="I326" s="681"/>
      <c r="J326" s="613" t="s">
        <v>2844</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3658</v>
      </c>
      <c r="G327" s="763" t="s">
        <v>2527</v>
      </c>
      <c r="H327" s="764" t="s">
        <v>501</v>
      </c>
      <c r="I327" s="681"/>
      <c r="J327" s="613" t="s">
        <v>2846</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3658</v>
      </c>
      <c r="G328" s="763" t="s">
        <v>3612</v>
      </c>
      <c r="H328" s="764" t="s">
        <v>501</v>
      </c>
      <c r="I328" s="681"/>
      <c r="J328" s="613" t="s">
        <v>403</v>
      </c>
      <c r="K328" s="614"/>
      <c r="L328" s="609"/>
      <c r="M328" s="610"/>
      <c r="N328" s="615" t="s">
        <v>412</v>
      </c>
      <c r="O328" s="615" t="s">
        <v>2754</v>
      </c>
      <c r="P328" s="497" t="s">
        <v>2358</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3048</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3658</v>
      </c>
      <c r="G336" s="763" t="s">
        <v>3325</v>
      </c>
      <c r="H336" s="764" t="s">
        <v>501</v>
      </c>
      <c r="I336" s="681"/>
      <c r="J336" s="613" t="s">
        <v>3047</v>
      </c>
      <c r="K336" s="614"/>
      <c r="L336" s="609"/>
      <c r="M336" s="610"/>
      <c r="N336" s="497" t="s">
        <v>3598</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3156</v>
      </c>
      <c r="O373" s="497" t="s">
        <v>3543</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3603</v>
      </c>
      <c r="O374" s="497" t="s">
        <v>3067</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3604</v>
      </c>
      <c r="O375" s="497" t="s">
        <v>3491</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2854</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3199</v>
      </c>
      <c r="O556" s="497" t="s">
        <v>1744</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3591</v>
      </c>
      <c r="S599" s="497" t="s">
        <v>887</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3033</v>
      </c>
      <c r="Q600" s="596"/>
      <c r="R600" s="497" t="s">
        <v>3592</v>
      </c>
      <c r="S600" s="497" t="s">
        <v>388</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3595</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3596</v>
      </c>
      <c r="S604" s="497" t="s">
        <v>3488</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3597</v>
      </c>
      <c r="S605" s="497" t="s">
        <v>1894</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3033</v>
      </c>
      <c r="Q616" s="596"/>
      <c r="R616" s="497" t="s">
        <v>1397</v>
      </c>
      <c r="S616" s="497" t="s">
        <v>1616</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3033</v>
      </c>
      <c r="Q619" s="596"/>
      <c r="R619" s="497" t="s">
        <v>1561</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3488</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3033</v>
      </c>
      <c r="Q623" s="596"/>
      <c r="R623" s="497" t="s">
        <v>1565</v>
      </c>
      <c r="S623" s="497" t="s">
        <v>196</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8" t="s">
        <v>3033</v>
      </c>
      <c r="Q624" s="596"/>
      <c r="R624" s="497" t="s">
        <v>1566</v>
      </c>
      <c r="S624" s="497" t="s">
        <v>1901</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3078</v>
      </c>
      <c r="P626" s="610" t="s">
        <v>1096</v>
      </c>
      <c r="Q626" s="596"/>
      <c r="R626" s="497" t="s">
        <v>1568</v>
      </c>
      <c r="S626" s="497" t="s">
        <v>1623</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3491</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3543</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3033</v>
      </c>
      <c r="Q642" s="596"/>
      <c r="R642" s="497" t="s">
        <v>1580</v>
      </c>
      <c r="S642" s="497" t="s">
        <v>887</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2889</v>
      </c>
      <c r="P648" s="610" t="s">
        <v>1117</v>
      </c>
      <c r="Q648" s="596"/>
      <c r="R648" s="497" t="s">
        <v>1585</v>
      </c>
      <c r="S648" s="497" t="s">
        <v>887</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3033</v>
      </c>
      <c r="Q652" s="596"/>
      <c r="R652" s="497" t="s">
        <v>1589</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3033</v>
      </c>
      <c r="Q655" s="596"/>
      <c r="R655" s="497" t="s">
        <v>1592</v>
      </c>
      <c r="S655" s="497" t="s">
        <v>3491</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3551</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A10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7" sqref="L7:N7"/>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2012-008 Savannah Gardens Phase IV, Savannah, Chatham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3988</v>
      </c>
      <c r="I5" s="1341"/>
      <c r="J5" s="1341"/>
      <c r="K5" s="1341"/>
      <c r="L5" s="1341"/>
      <c r="M5" s="1341"/>
      <c r="N5" s="1342"/>
      <c r="O5" s="827" t="s">
        <v>2870</v>
      </c>
      <c r="P5" s="827"/>
      <c r="Q5" s="1292" t="s">
        <v>3977</v>
      </c>
      <c r="R5" s="1341"/>
      <c r="S5" s="1342"/>
    </row>
    <row r="6" spans="1:19" s="449" customFormat="1" ht="12.6" customHeight="1">
      <c r="D6" s="498"/>
      <c r="E6" s="455" t="s">
        <v>1527</v>
      </c>
      <c r="F6" s="463"/>
      <c r="H6" s="1292" t="s">
        <v>3978</v>
      </c>
      <c r="I6" s="1341"/>
      <c r="J6" s="1341"/>
      <c r="K6" s="1341"/>
      <c r="L6" s="1341"/>
      <c r="M6" s="1341"/>
      <c r="N6" s="1342"/>
      <c r="O6" s="827" t="s">
        <v>2601</v>
      </c>
      <c r="Q6" s="1292" t="s">
        <v>3979</v>
      </c>
      <c r="R6" s="1341"/>
      <c r="S6" s="1342"/>
    </row>
    <row r="7" spans="1:19" s="449" customFormat="1" ht="12.6" customHeight="1">
      <c r="D7" s="498"/>
      <c r="E7" s="455" t="s">
        <v>876</v>
      </c>
      <c r="H7" s="1292" t="s">
        <v>1743</v>
      </c>
      <c r="I7" s="1341"/>
      <c r="J7" s="1342"/>
      <c r="K7" s="1370" t="s">
        <v>1159</v>
      </c>
      <c r="L7" s="1292"/>
      <c r="M7" s="1341"/>
      <c r="N7" s="1342"/>
      <c r="O7" s="827" t="s">
        <v>2659</v>
      </c>
      <c r="Q7" s="1300">
        <v>4049754199</v>
      </c>
      <c r="R7" s="1305"/>
      <c r="S7" s="1301"/>
    </row>
    <row r="8" spans="1:19" s="449" customFormat="1" ht="12.6" customHeight="1">
      <c r="D8" s="498"/>
      <c r="E8" s="455" t="s">
        <v>2655</v>
      </c>
      <c r="H8" s="1306" t="s">
        <v>1337</v>
      </c>
      <c r="I8" s="836" t="s">
        <v>1843</v>
      </c>
      <c r="J8" s="1303">
        <v>303082857</v>
      </c>
      <c r="K8" s="1342"/>
      <c r="L8" s="397" t="s">
        <v>1846</v>
      </c>
      <c r="N8" s="1343">
        <v>5</v>
      </c>
      <c r="O8" s="827" t="s">
        <v>2859</v>
      </c>
      <c r="Q8" s="1300">
        <v>6784804183</v>
      </c>
      <c r="R8" s="1305"/>
      <c r="S8" s="1301"/>
    </row>
    <row r="9" spans="1:19" s="449" customFormat="1" ht="12.6" customHeight="1">
      <c r="D9" s="498"/>
      <c r="E9" s="455" t="s">
        <v>2865</v>
      </c>
      <c r="H9" s="1300">
        <v>4048733887</v>
      </c>
      <c r="I9" s="1301"/>
      <c r="J9" s="1371">
        <v>6</v>
      </c>
      <c r="K9" s="836" t="s">
        <v>2658</v>
      </c>
      <c r="L9" s="1329">
        <v>4048811191</v>
      </c>
      <c r="M9" s="1342"/>
      <c r="N9" s="457" t="s">
        <v>2864</v>
      </c>
      <c r="O9" s="1307" t="s">
        <v>3980</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3006</v>
      </c>
      <c r="E16" s="449" t="s">
        <v>2728</v>
      </c>
      <c r="H16" s="1292" t="s">
        <v>3991</v>
      </c>
      <c r="I16" s="1341"/>
      <c r="J16" s="1341"/>
      <c r="K16" s="1341"/>
      <c r="L16" s="1341"/>
      <c r="M16" s="1341"/>
      <c r="N16" s="1342"/>
      <c r="O16" s="827" t="s">
        <v>2870</v>
      </c>
      <c r="P16" s="827"/>
      <c r="Q16" s="1292" t="s">
        <v>3977</v>
      </c>
      <c r="R16" s="1341"/>
      <c r="S16" s="1342"/>
    </row>
    <row r="17" spans="4:19" s="449" customFormat="1" ht="12.6" customHeight="1">
      <c r="D17" s="498"/>
      <c r="E17" s="455" t="s">
        <v>1527</v>
      </c>
      <c r="F17" s="463"/>
      <c r="H17" s="1292" t="s">
        <v>3978</v>
      </c>
      <c r="I17" s="1341"/>
      <c r="J17" s="1341"/>
      <c r="K17" s="1341"/>
      <c r="L17" s="1341"/>
      <c r="M17" s="1341"/>
      <c r="N17" s="1342"/>
      <c r="O17" s="827" t="s">
        <v>2601</v>
      </c>
      <c r="Q17" s="1292" t="s">
        <v>3979</v>
      </c>
      <c r="R17" s="1341"/>
      <c r="S17" s="1342"/>
    </row>
    <row r="18" spans="4:19" s="449" customFormat="1" ht="12.6" customHeight="1">
      <c r="D18" s="498"/>
      <c r="E18" s="455" t="s">
        <v>876</v>
      </c>
      <c r="H18" s="1292" t="s">
        <v>1743</v>
      </c>
      <c r="I18" s="1341"/>
      <c r="J18" s="1342"/>
      <c r="O18" s="827" t="s">
        <v>2659</v>
      </c>
      <c r="Q18" s="1300">
        <v>4049754199</v>
      </c>
      <c r="R18" s="1305"/>
      <c r="S18" s="1301"/>
    </row>
    <row r="19" spans="4:19" s="449" customFormat="1" ht="12.6" customHeight="1">
      <c r="D19" s="452"/>
      <c r="E19" s="455" t="s">
        <v>2655</v>
      </c>
      <c r="H19" s="1306" t="s">
        <v>1337</v>
      </c>
      <c r="I19" s="836" t="s">
        <v>1843</v>
      </c>
      <c r="J19" s="1303">
        <v>303082857</v>
      </c>
      <c r="K19" s="1342"/>
      <c r="L19" s="397" t="s">
        <v>1846</v>
      </c>
      <c r="N19" s="1343">
        <v>5</v>
      </c>
      <c r="O19" s="827" t="s">
        <v>2859</v>
      </c>
      <c r="Q19" s="1300">
        <v>6784804183</v>
      </c>
      <c r="R19" s="1305"/>
      <c r="S19" s="1301"/>
    </row>
    <row r="20" spans="4:19" s="449" customFormat="1" ht="12.6" customHeight="1">
      <c r="D20" s="498"/>
      <c r="E20" s="455" t="s">
        <v>2865</v>
      </c>
      <c r="H20" s="1300">
        <v>4048733887</v>
      </c>
      <c r="I20" s="1301"/>
      <c r="J20" s="1371">
        <v>6</v>
      </c>
      <c r="K20" s="836" t="s">
        <v>2658</v>
      </c>
      <c r="L20" s="1329">
        <v>4048811191</v>
      </c>
      <c r="M20" s="1342"/>
      <c r="N20" s="457" t="s">
        <v>2864</v>
      </c>
      <c r="O20" s="1307" t="s">
        <v>3980</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3007</v>
      </c>
      <c r="E22" s="449" t="s">
        <v>2729</v>
      </c>
      <c r="F22" s="833"/>
      <c r="H22" s="1292"/>
      <c r="I22" s="1341"/>
      <c r="J22" s="1341"/>
      <c r="K22" s="1341"/>
      <c r="L22" s="1341"/>
      <c r="M22" s="1341"/>
      <c r="N22" s="1342"/>
      <c r="O22" s="827" t="s">
        <v>2870</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2659</v>
      </c>
      <c r="Q24" s="1300"/>
      <c r="R24" s="1305"/>
      <c r="S24" s="1301"/>
    </row>
    <row r="25" spans="4:19" s="449" customFormat="1" ht="12.6" customHeight="1">
      <c r="E25" s="455" t="s">
        <v>2655</v>
      </c>
      <c r="H25" s="1306"/>
      <c r="I25" s="483" t="s">
        <v>3138</v>
      </c>
      <c r="J25" s="1303"/>
      <c r="K25" s="1342"/>
      <c r="O25" s="827" t="s">
        <v>2859</v>
      </c>
      <c r="Q25" s="1300"/>
      <c r="R25" s="1305"/>
      <c r="S25" s="1301"/>
    </row>
    <row r="26" spans="4:19" s="449" customFormat="1" ht="12.6" customHeight="1">
      <c r="D26" s="498"/>
      <c r="E26" s="455" t="s">
        <v>2865</v>
      </c>
      <c r="H26" s="1300"/>
      <c r="I26" s="1301"/>
      <c r="J26" s="1371"/>
      <c r="K26" s="836" t="s">
        <v>2658</v>
      </c>
      <c r="L26" s="1329"/>
      <c r="M26" s="1342"/>
      <c r="N26" s="457" t="s">
        <v>2864</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2729</v>
      </c>
      <c r="F28" s="833"/>
      <c r="H28" s="1292"/>
      <c r="I28" s="1341"/>
      <c r="J28" s="1341"/>
      <c r="K28" s="1341"/>
      <c r="L28" s="1341"/>
      <c r="M28" s="1341"/>
      <c r="N28" s="1342"/>
      <c r="O28" s="827" t="s">
        <v>2870</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2659</v>
      </c>
      <c r="Q30" s="1300"/>
      <c r="R30" s="1305"/>
      <c r="S30" s="1301"/>
    </row>
    <row r="31" spans="4:19" s="449" customFormat="1" ht="12.6" customHeight="1">
      <c r="E31" s="455" t="s">
        <v>2655</v>
      </c>
      <c r="H31" s="1306"/>
      <c r="I31" s="483" t="s">
        <v>3138</v>
      </c>
      <c r="J31" s="1303"/>
      <c r="K31" s="1342"/>
      <c r="O31" s="827" t="s">
        <v>2859</v>
      </c>
      <c r="Q31" s="1300"/>
      <c r="R31" s="1305"/>
      <c r="S31" s="1301"/>
    </row>
    <row r="32" spans="4:19" s="449" customFormat="1" ht="12.6" customHeight="1">
      <c r="D32" s="498"/>
      <c r="E32" s="455" t="s">
        <v>2865</v>
      </c>
      <c r="H32" s="1300"/>
      <c r="I32" s="1301"/>
      <c r="J32" s="1371"/>
      <c r="K32" s="836"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3006</v>
      </c>
      <c r="E36" s="449" t="s">
        <v>1146</v>
      </c>
      <c r="H36" s="1292" t="s">
        <v>3992</v>
      </c>
      <c r="I36" s="1341"/>
      <c r="J36" s="1341"/>
      <c r="K36" s="1341"/>
      <c r="L36" s="1341"/>
      <c r="M36" s="1341"/>
      <c r="N36" s="1342"/>
      <c r="O36" s="827" t="s">
        <v>2870</v>
      </c>
      <c r="P36" s="827"/>
      <c r="Q36" s="1292" t="s">
        <v>3994</v>
      </c>
      <c r="R36" s="1341"/>
      <c r="S36" s="1342"/>
    </row>
    <row r="37" spans="3:19" s="449" customFormat="1" ht="12.6" customHeight="1">
      <c r="D37" s="498"/>
      <c r="E37" s="455" t="s">
        <v>1527</v>
      </c>
      <c r="F37" s="463"/>
      <c r="H37" s="1292" t="s">
        <v>3993</v>
      </c>
      <c r="I37" s="1341"/>
      <c r="J37" s="1341"/>
      <c r="K37" s="1341"/>
      <c r="L37" s="1341"/>
      <c r="M37" s="1341"/>
      <c r="N37" s="1342"/>
      <c r="O37" s="827" t="s">
        <v>2601</v>
      </c>
      <c r="Q37" s="1292" t="s">
        <v>3995</v>
      </c>
      <c r="R37" s="1341"/>
      <c r="S37" s="1342"/>
    </row>
    <row r="38" spans="3:19" s="449" customFormat="1" ht="12.6" customHeight="1">
      <c r="D38" s="498"/>
      <c r="E38" s="455" t="s">
        <v>876</v>
      </c>
      <c r="H38" s="1292" t="s">
        <v>1743</v>
      </c>
      <c r="I38" s="1341"/>
      <c r="J38" s="1342"/>
      <c r="O38" s="827" t="s">
        <v>2659</v>
      </c>
      <c r="Q38" s="1300">
        <v>4045888775</v>
      </c>
      <c r="R38" s="1305"/>
      <c r="S38" s="1301"/>
    </row>
    <row r="39" spans="3:19" s="449" customFormat="1" ht="12.6" customHeight="1">
      <c r="E39" s="455" t="s">
        <v>2655</v>
      </c>
      <c r="H39" s="1306" t="s">
        <v>1337</v>
      </c>
      <c r="I39" s="483" t="s">
        <v>3138</v>
      </c>
      <c r="J39" s="1303">
        <v>303032918</v>
      </c>
      <c r="K39" s="1342"/>
      <c r="O39" s="827" t="s">
        <v>2859</v>
      </c>
      <c r="Q39" s="1300"/>
      <c r="R39" s="1305"/>
      <c r="S39" s="1301"/>
    </row>
    <row r="40" spans="3:19" s="449" customFormat="1" ht="12.6" customHeight="1">
      <c r="D40" s="498"/>
      <c r="E40" s="455" t="s">
        <v>2865</v>
      </c>
      <c r="H40" s="1300"/>
      <c r="I40" s="1301"/>
      <c r="J40" s="1371"/>
      <c r="K40" s="836" t="s">
        <v>2658</v>
      </c>
      <c r="L40" s="1329">
        <v>4048276025</v>
      </c>
      <c r="M40" s="1342"/>
      <c r="N40" s="457" t="s">
        <v>2864</v>
      </c>
      <c r="O40" s="1307" t="s">
        <v>3996</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3007</v>
      </c>
      <c r="E42" s="449" t="s">
        <v>1147</v>
      </c>
      <c r="F42" s="452"/>
      <c r="H42" s="1292" t="s">
        <v>3992</v>
      </c>
      <c r="I42" s="1341"/>
      <c r="J42" s="1341"/>
      <c r="K42" s="1341"/>
      <c r="L42" s="1341"/>
      <c r="M42" s="1341"/>
      <c r="N42" s="1342"/>
      <c r="O42" s="827" t="s">
        <v>2870</v>
      </c>
      <c r="P42" s="827"/>
      <c r="Q42" s="1292" t="s">
        <v>3994</v>
      </c>
      <c r="R42" s="1341"/>
      <c r="S42" s="1342"/>
    </row>
    <row r="43" spans="3:19" s="449" customFormat="1" ht="12.6" customHeight="1">
      <c r="D43" s="498"/>
      <c r="E43" s="455" t="s">
        <v>1527</v>
      </c>
      <c r="F43" s="463"/>
      <c r="H43" s="1292" t="s">
        <v>3993</v>
      </c>
      <c r="I43" s="1341"/>
      <c r="J43" s="1341"/>
      <c r="K43" s="1341"/>
      <c r="L43" s="1341"/>
      <c r="M43" s="1341"/>
      <c r="N43" s="1342"/>
      <c r="O43" s="827" t="s">
        <v>2601</v>
      </c>
      <c r="Q43" s="1292" t="s">
        <v>3995</v>
      </c>
      <c r="R43" s="1341"/>
      <c r="S43" s="1342"/>
    </row>
    <row r="44" spans="3:19" s="449" customFormat="1" ht="12.6" customHeight="1">
      <c r="D44" s="498"/>
      <c r="E44" s="455" t="s">
        <v>876</v>
      </c>
      <c r="H44" s="1292" t="s">
        <v>1743</v>
      </c>
      <c r="I44" s="1341"/>
      <c r="J44" s="1342"/>
      <c r="O44" s="827" t="s">
        <v>2659</v>
      </c>
      <c r="Q44" s="1300">
        <v>4045888775</v>
      </c>
      <c r="R44" s="1305"/>
      <c r="S44" s="1301"/>
    </row>
    <row r="45" spans="3:19" s="449" customFormat="1" ht="12.6" customHeight="1">
      <c r="D45" s="452"/>
      <c r="E45" s="455" t="s">
        <v>2655</v>
      </c>
      <c r="H45" s="1306" t="s">
        <v>1337</v>
      </c>
      <c r="I45" s="483" t="s">
        <v>3138</v>
      </c>
      <c r="J45" s="1303">
        <v>303032918</v>
      </c>
      <c r="K45" s="1342"/>
      <c r="O45" s="827" t="s">
        <v>2859</v>
      </c>
      <c r="Q45" s="1300"/>
      <c r="R45" s="1305"/>
      <c r="S45" s="1301"/>
    </row>
    <row r="46" spans="3:19" s="449" customFormat="1" ht="12.6" customHeight="1">
      <c r="D46" s="498"/>
      <c r="E46" s="455" t="s">
        <v>2865</v>
      </c>
      <c r="H46" s="1300"/>
      <c r="I46" s="1301"/>
      <c r="J46" s="1371"/>
      <c r="K46" s="836" t="s">
        <v>2658</v>
      </c>
      <c r="L46" s="1329">
        <v>4048276025</v>
      </c>
      <c r="M46" s="1342"/>
      <c r="N46" s="457" t="s">
        <v>2864</v>
      </c>
      <c r="O46" s="1307" t="s">
        <v>3996</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3997</v>
      </c>
      <c r="I50" s="1341"/>
      <c r="J50" s="1341"/>
      <c r="K50" s="1341"/>
      <c r="L50" s="1341"/>
      <c r="M50" s="1341"/>
      <c r="N50" s="1342"/>
      <c r="O50" s="827" t="s">
        <v>2870</v>
      </c>
      <c r="P50" s="827"/>
      <c r="Q50" s="1292" t="s">
        <v>3977</v>
      </c>
      <c r="R50" s="1341"/>
      <c r="S50" s="1342"/>
    </row>
    <row r="51" spans="1:19" s="449" customFormat="1" ht="12.6" customHeight="1">
      <c r="D51" s="498"/>
      <c r="E51" s="455" t="s">
        <v>1527</v>
      </c>
      <c r="F51" s="463"/>
      <c r="H51" s="1292" t="s">
        <v>3978</v>
      </c>
      <c r="I51" s="1341"/>
      <c r="J51" s="1341"/>
      <c r="K51" s="1341"/>
      <c r="L51" s="1341"/>
      <c r="M51" s="1341"/>
      <c r="N51" s="1342"/>
      <c r="O51" s="827" t="s">
        <v>2601</v>
      </c>
      <c r="Q51" s="1292" t="s">
        <v>3979</v>
      </c>
      <c r="R51" s="1341"/>
      <c r="S51" s="1342"/>
    </row>
    <row r="52" spans="1:19" s="449" customFormat="1" ht="12.6" customHeight="1">
      <c r="D52" s="498"/>
      <c r="E52" s="455" t="s">
        <v>876</v>
      </c>
      <c r="H52" s="1292" t="s">
        <v>1743</v>
      </c>
      <c r="I52" s="1341"/>
      <c r="J52" s="1342"/>
      <c r="O52" s="827" t="s">
        <v>2659</v>
      </c>
      <c r="Q52" s="1300">
        <v>4049754199</v>
      </c>
      <c r="R52" s="1305"/>
      <c r="S52" s="1301"/>
    </row>
    <row r="53" spans="1:19" s="449" customFormat="1" ht="12.6" customHeight="1">
      <c r="E53" s="455" t="s">
        <v>2655</v>
      </c>
      <c r="H53" s="1306" t="s">
        <v>1337</v>
      </c>
      <c r="I53" s="483" t="s">
        <v>3138</v>
      </c>
      <c r="J53" s="1303">
        <v>303082857</v>
      </c>
      <c r="K53" s="1342"/>
      <c r="O53" s="827" t="s">
        <v>2859</v>
      </c>
      <c r="Q53" s="1300">
        <v>6784804183</v>
      </c>
      <c r="R53" s="1305"/>
      <c r="S53" s="1301"/>
    </row>
    <row r="54" spans="1:19" s="449" customFormat="1" ht="12.6" customHeight="1">
      <c r="D54" s="498"/>
      <c r="E54" s="455" t="s">
        <v>2865</v>
      </c>
      <c r="H54" s="1300">
        <v>4048733887</v>
      </c>
      <c r="I54" s="1301"/>
      <c r="J54" s="1371">
        <v>6</v>
      </c>
      <c r="K54" s="836" t="s">
        <v>2658</v>
      </c>
      <c r="L54" s="1329">
        <v>4048811191</v>
      </c>
      <c r="M54" s="1342"/>
      <c r="N54" s="457" t="s">
        <v>2864</v>
      </c>
      <c r="O54" s="1307" t="s">
        <v>3980</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2863</v>
      </c>
      <c r="C58" s="452" t="s">
        <v>349</v>
      </c>
      <c r="H58" s="1292" t="s">
        <v>3998</v>
      </c>
      <c r="I58" s="1341"/>
      <c r="J58" s="1341"/>
      <c r="K58" s="1341"/>
      <c r="L58" s="1341"/>
      <c r="M58" s="1341"/>
      <c r="N58" s="1342"/>
      <c r="O58" s="827" t="s">
        <v>2870</v>
      </c>
      <c r="P58" s="827"/>
      <c r="Q58" s="1292" t="s">
        <v>3977</v>
      </c>
      <c r="R58" s="1341"/>
      <c r="S58" s="1342"/>
    </row>
    <row r="59" spans="1:19" s="449" customFormat="1" ht="13.15" customHeight="1">
      <c r="D59" s="498"/>
      <c r="E59" s="455" t="s">
        <v>1527</v>
      </c>
      <c r="F59" s="463"/>
      <c r="H59" s="1292" t="s">
        <v>3978</v>
      </c>
      <c r="I59" s="1341"/>
      <c r="J59" s="1341"/>
      <c r="K59" s="1341"/>
      <c r="L59" s="1341"/>
      <c r="M59" s="1341"/>
      <c r="N59" s="1342"/>
      <c r="O59" s="827" t="s">
        <v>2601</v>
      </c>
      <c r="Q59" s="1292" t="s">
        <v>3979</v>
      </c>
      <c r="R59" s="1341"/>
      <c r="S59" s="1342"/>
    </row>
    <row r="60" spans="1:19" s="449" customFormat="1" ht="13.15" customHeight="1">
      <c r="D60" s="498"/>
      <c r="E60" s="455" t="s">
        <v>876</v>
      </c>
      <c r="H60" s="1292" t="s">
        <v>1743</v>
      </c>
      <c r="I60" s="1341"/>
      <c r="J60" s="1342"/>
      <c r="O60" s="827" t="s">
        <v>2659</v>
      </c>
      <c r="Q60" s="1300">
        <v>4049754199</v>
      </c>
      <c r="R60" s="1305"/>
      <c r="S60" s="1301"/>
    </row>
    <row r="61" spans="1:19" s="449" customFormat="1" ht="13.15" customHeight="1">
      <c r="E61" s="455" t="s">
        <v>2655</v>
      </c>
      <c r="H61" s="1306" t="s">
        <v>1337</v>
      </c>
      <c r="I61" s="483" t="s">
        <v>3138</v>
      </c>
      <c r="J61" s="1303">
        <v>303082857</v>
      </c>
      <c r="K61" s="1342"/>
      <c r="O61" s="827" t="s">
        <v>2859</v>
      </c>
      <c r="Q61" s="1300">
        <v>6784804183</v>
      </c>
      <c r="R61" s="1305"/>
      <c r="S61" s="1301"/>
    </row>
    <row r="62" spans="1:19" s="449" customFormat="1" ht="13.15" customHeight="1">
      <c r="D62" s="498"/>
      <c r="E62" s="455" t="s">
        <v>2865</v>
      </c>
      <c r="H62" s="1300">
        <v>4048733887</v>
      </c>
      <c r="I62" s="1301"/>
      <c r="J62" s="1371">
        <v>6</v>
      </c>
      <c r="K62" s="836" t="s">
        <v>2658</v>
      </c>
      <c r="L62" s="1329">
        <v>4048811191</v>
      </c>
      <c r="M62" s="1342"/>
      <c r="N62" s="457" t="s">
        <v>2864</v>
      </c>
      <c r="O62" s="1307" t="s">
        <v>3980</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2866</v>
      </c>
      <c r="C64" s="452" t="s">
        <v>350</v>
      </c>
      <c r="H64" s="1292"/>
      <c r="I64" s="1341"/>
      <c r="J64" s="1341"/>
      <c r="K64" s="1341"/>
      <c r="L64" s="1341"/>
      <c r="M64" s="1341"/>
      <c r="N64" s="1342"/>
      <c r="O64" s="827" t="s">
        <v>2870</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2659</v>
      </c>
      <c r="Q66" s="1300"/>
      <c r="R66" s="1305"/>
      <c r="S66" s="1301"/>
    </row>
    <row r="67" spans="2:19" s="449" customFormat="1" ht="13.15" customHeight="1">
      <c r="E67" s="455" t="s">
        <v>2655</v>
      </c>
      <c r="H67" s="1306"/>
      <c r="I67" s="483" t="s">
        <v>3138</v>
      </c>
      <c r="J67" s="1303"/>
      <c r="K67" s="1342"/>
      <c r="O67" s="827" t="s">
        <v>2859</v>
      </c>
      <c r="Q67" s="1300"/>
      <c r="R67" s="1305"/>
      <c r="S67" s="1301"/>
    </row>
    <row r="68" spans="2:19" s="449" customFormat="1" ht="13.15" customHeight="1">
      <c r="D68" s="498"/>
      <c r="E68" s="455" t="s">
        <v>2865</v>
      </c>
      <c r="H68" s="1300"/>
      <c r="I68" s="1301"/>
      <c r="J68" s="1371"/>
      <c r="K68" s="836" t="s">
        <v>2658</v>
      </c>
      <c r="L68" s="1329"/>
      <c r="M68" s="1342"/>
      <c r="N68" s="457" t="s">
        <v>2864</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2870</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2659</v>
      </c>
      <c r="Q72" s="1300"/>
      <c r="R72" s="1305"/>
      <c r="S72" s="1301"/>
    </row>
    <row r="73" spans="2:19" s="449" customFormat="1" ht="13.15" customHeight="1">
      <c r="E73" s="455" t="s">
        <v>2655</v>
      </c>
      <c r="H73" s="1306"/>
      <c r="I73" s="483" t="s">
        <v>3138</v>
      </c>
      <c r="J73" s="1303"/>
      <c r="K73" s="1342"/>
      <c r="O73" s="827" t="s">
        <v>2859</v>
      </c>
      <c r="Q73" s="1300"/>
      <c r="R73" s="1305"/>
      <c r="S73" s="1301"/>
    </row>
    <row r="74" spans="2:19" s="449" customFormat="1" ht="13.15" customHeight="1">
      <c r="D74" s="498"/>
      <c r="E74" s="455" t="s">
        <v>2865</v>
      </c>
      <c r="H74" s="1300"/>
      <c r="I74" s="1301"/>
      <c r="J74" s="1371"/>
      <c r="K74" s="836" t="s">
        <v>2658</v>
      </c>
      <c r="L74" s="1329"/>
      <c r="M74" s="1342"/>
      <c r="N74" s="457" t="s">
        <v>2864</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3005</v>
      </c>
      <c r="C76" s="452" t="s">
        <v>351</v>
      </c>
      <c r="H76" s="1292" t="s">
        <v>3999</v>
      </c>
      <c r="I76" s="1341"/>
      <c r="J76" s="1341"/>
      <c r="K76" s="1341"/>
      <c r="L76" s="1341"/>
      <c r="M76" s="1341"/>
      <c r="N76" s="1342"/>
      <c r="O76" s="827" t="s">
        <v>2870</v>
      </c>
      <c r="P76" s="827"/>
      <c r="Q76" s="1292" t="s">
        <v>4001</v>
      </c>
      <c r="R76" s="1341"/>
      <c r="S76" s="1342"/>
    </row>
    <row r="77" spans="2:19" s="449" customFormat="1" ht="13.15" customHeight="1">
      <c r="D77" s="498"/>
      <c r="E77" s="455" t="s">
        <v>1527</v>
      </c>
      <c r="F77" s="463"/>
      <c r="H77" s="1292" t="s">
        <v>4000</v>
      </c>
      <c r="I77" s="1341"/>
      <c r="J77" s="1341"/>
      <c r="K77" s="1341"/>
      <c r="L77" s="1341"/>
      <c r="M77" s="1341"/>
      <c r="N77" s="1342"/>
      <c r="O77" s="827" t="s">
        <v>2601</v>
      </c>
      <c r="Q77" s="1292" t="s">
        <v>4002</v>
      </c>
      <c r="R77" s="1341"/>
      <c r="S77" s="1342"/>
    </row>
    <row r="78" spans="2:19" s="449" customFormat="1" ht="13.15" customHeight="1">
      <c r="D78" s="498"/>
      <c r="E78" s="455" t="s">
        <v>876</v>
      </c>
      <c r="H78" s="1292" t="s">
        <v>1893</v>
      </c>
      <c r="I78" s="1341"/>
      <c r="J78" s="1342"/>
      <c r="O78" s="827" t="s">
        <v>2659</v>
      </c>
      <c r="Q78" s="1300"/>
      <c r="R78" s="1305"/>
      <c r="S78" s="1301"/>
    </row>
    <row r="79" spans="2:19" s="449" customFormat="1" ht="13.15" customHeight="1">
      <c r="E79" s="455" t="s">
        <v>2655</v>
      </c>
      <c r="H79" s="1306" t="s">
        <v>1337</v>
      </c>
      <c r="I79" s="483" t="s">
        <v>3138</v>
      </c>
      <c r="J79" s="1303">
        <v>314055433</v>
      </c>
      <c r="K79" s="1342"/>
      <c r="O79" s="827" t="s">
        <v>2859</v>
      </c>
      <c r="Q79" s="1300">
        <v>9123084351</v>
      </c>
      <c r="R79" s="1305"/>
      <c r="S79" s="1301"/>
    </row>
    <row r="80" spans="2:19" s="449" customFormat="1" ht="13.15" customHeight="1">
      <c r="D80" s="498"/>
      <c r="E80" s="455" t="s">
        <v>2865</v>
      </c>
      <c r="H80" s="1300">
        <v>9126911165</v>
      </c>
      <c r="I80" s="1301"/>
      <c r="J80" s="1371"/>
      <c r="K80" s="836" t="s">
        <v>2658</v>
      </c>
      <c r="L80" s="1329"/>
      <c r="M80" s="1342"/>
      <c r="N80" s="457" t="s">
        <v>2864</v>
      </c>
      <c r="O80" s="1307" t="s">
        <v>4003</v>
      </c>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2863</v>
      </c>
      <c r="C84" s="452" t="s">
        <v>353</v>
      </c>
      <c r="H84" s="1292"/>
      <c r="I84" s="1341"/>
      <c r="J84" s="1341"/>
      <c r="K84" s="1341"/>
      <c r="L84" s="1341"/>
      <c r="M84" s="1341"/>
      <c r="N84" s="1342"/>
      <c r="O84" s="827" t="s">
        <v>2870</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2659</v>
      </c>
      <c r="Q86" s="1300"/>
      <c r="R86" s="1305"/>
      <c r="S86" s="1301"/>
    </row>
    <row r="87" spans="1:19" s="449" customFormat="1" ht="13.15" customHeight="1">
      <c r="E87" s="455" t="s">
        <v>2655</v>
      </c>
      <c r="H87" s="1306"/>
      <c r="I87" s="483" t="s">
        <v>3138</v>
      </c>
      <c r="J87" s="1303"/>
      <c r="K87" s="1342"/>
      <c r="O87" s="827" t="s">
        <v>2859</v>
      </c>
      <c r="Q87" s="1300"/>
      <c r="R87" s="1305"/>
      <c r="S87" s="1301"/>
    </row>
    <row r="88" spans="1:19" s="449" customFormat="1" ht="13.15" customHeight="1">
      <c r="D88" s="498"/>
      <c r="E88" s="455" t="s">
        <v>2865</v>
      </c>
      <c r="H88" s="1300"/>
      <c r="I88" s="1301"/>
      <c r="J88" s="1371"/>
      <c r="K88" s="836" t="s">
        <v>2658</v>
      </c>
      <c r="L88" s="1329"/>
      <c r="M88" s="1342"/>
      <c r="N88" s="457" t="s">
        <v>2864</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2866</v>
      </c>
      <c r="C90" s="452" t="s">
        <v>354</v>
      </c>
      <c r="H90" s="1292" t="s">
        <v>4004</v>
      </c>
      <c r="I90" s="1341"/>
      <c r="J90" s="1341"/>
      <c r="K90" s="1341"/>
      <c r="L90" s="1341"/>
      <c r="M90" s="1341"/>
      <c r="N90" s="1342"/>
      <c r="O90" s="827" t="s">
        <v>2870</v>
      </c>
      <c r="P90" s="827"/>
      <c r="Q90" s="1292" t="s">
        <v>4006</v>
      </c>
      <c r="R90" s="1341"/>
      <c r="S90" s="1342"/>
    </row>
    <row r="91" spans="1:19" s="449" customFormat="1" ht="13.15" customHeight="1">
      <c r="D91" s="498"/>
      <c r="E91" s="455" t="s">
        <v>1527</v>
      </c>
      <c r="F91" s="463"/>
      <c r="H91" s="1292" t="s">
        <v>4005</v>
      </c>
      <c r="I91" s="1341"/>
      <c r="J91" s="1341"/>
      <c r="K91" s="1341"/>
      <c r="L91" s="1341"/>
      <c r="M91" s="1341"/>
      <c r="N91" s="1342"/>
      <c r="O91" s="827" t="s">
        <v>2601</v>
      </c>
      <c r="Q91" s="1292" t="s">
        <v>3979</v>
      </c>
      <c r="R91" s="1341"/>
      <c r="S91" s="1342"/>
    </row>
    <row r="92" spans="1:19" s="449" customFormat="1" ht="13.15" customHeight="1">
      <c r="D92" s="498"/>
      <c r="E92" s="455" t="s">
        <v>876</v>
      </c>
      <c r="H92" s="1292" t="s">
        <v>1893</v>
      </c>
      <c r="I92" s="1341"/>
      <c r="J92" s="1342"/>
      <c r="O92" s="827" t="s">
        <v>2659</v>
      </c>
      <c r="Q92" s="1300">
        <v>9126446969</v>
      </c>
      <c r="R92" s="1305"/>
      <c r="S92" s="1301"/>
    </row>
    <row r="93" spans="1:19" s="449" customFormat="1" ht="13.15" customHeight="1">
      <c r="E93" s="455" t="s">
        <v>2655</v>
      </c>
      <c r="H93" s="1306" t="s">
        <v>1337</v>
      </c>
      <c r="I93" s="483" t="s">
        <v>3138</v>
      </c>
      <c r="J93" s="1303">
        <v>314063617</v>
      </c>
      <c r="K93" s="1342"/>
      <c r="O93" s="827" t="s">
        <v>2859</v>
      </c>
      <c r="Q93" s="1300"/>
      <c r="R93" s="1305"/>
      <c r="S93" s="1301"/>
    </row>
    <row r="94" spans="1:19" s="449" customFormat="1" ht="13.15" customHeight="1">
      <c r="D94" s="498"/>
      <c r="E94" s="455" t="s">
        <v>2865</v>
      </c>
      <c r="H94" s="1300">
        <v>9123546096</v>
      </c>
      <c r="I94" s="1301"/>
      <c r="J94" s="1371"/>
      <c r="K94" s="836" t="s">
        <v>2658</v>
      </c>
      <c r="L94" s="1329">
        <v>9123523451</v>
      </c>
      <c r="M94" s="1342"/>
      <c r="N94" s="457" t="s">
        <v>2864</v>
      </c>
      <c r="O94" s="1307" t="s">
        <v>4007</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4008</v>
      </c>
      <c r="I96" s="1341"/>
      <c r="J96" s="1341"/>
      <c r="K96" s="1341"/>
      <c r="L96" s="1341"/>
      <c r="M96" s="1341"/>
      <c r="N96" s="1342"/>
      <c r="O96" s="827" t="s">
        <v>2870</v>
      </c>
      <c r="P96" s="827"/>
      <c r="Q96" s="1292" t="s">
        <v>4009</v>
      </c>
      <c r="R96" s="1341"/>
      <c r="S96" s="1342"/>
    </row>
    <row r="97" spans="2:19" s="449" customFormat="1" ht="13.15" customHeight="1">
      <c r="D97" s="498"/>
      <c r="E97" s="455" t="s">
        <v>1527</v>
      </c>
      <c r="F97" s="463"/>
      <c r="H97" s="1292" t="s">
        <v>3978</v>
      </c>
      <c r="I97" s="1341"/>
      <c r="J97" s="1341"/>
      <c r="K97" s="1341"/>
      <c r="L97" s="1341"/>
      <c r="M97" s="1341"/>
      <c r="N97" s="1342"/>
      <c r="O97" s="827" t="s">
        <v>2601</v>
      </c>
      <c r="Q97" s="1292" t="s">
        <v>4010</v>
      </c>
      <c r="R97" s="1341"/>
      <c r="S97" s="1342"/>
    </row>
    <row r="98" spans="2:19" s="449" customFormat="1" ht="13.15" customHeight="1">
      <c r="D98" s="498"/>
      <c r="E98" s="455" t="s">
        <v>876</v>
      </c>
      <c r="H98" s="1292" t="s">
        <v>1743</v>
      </c>
      <c r="I98" s="1341"/>
      <c r="J98" s="1342"/>
      <c r="O98" s="827" t="s">
        <v>2659</v>
      </c>
      <c r="Q98" s="1300">
        <v>4049754194</v>
      </c>
      <c r="R98" s="1305"/>
      <c r="S98" s="1301"/>
    </row>
    <row r="99" spans="2:19" s="449" customFormat="1" ht="13.15" customHeight="1">
      <c r="D99" s="498"/>
      <c r="E99" s="455" t="s">
        <v>2655</v>
      </c>
      <c r="H99" s="1306" t="s">
        <v>1337</v>
      </c>
      <c r="I99" s="483" t="s">
        <v>3138</v>
      </c>
      <c r="J99" s="1303">
        <v>303082857</v>
      </c>
      <c r="K99" s="1342"/>
      <c r="O99" s="827" t="s">
        <v>2859</v>
      </c>
      <c r="Q99" s="1300"/>
      <c r="R99" s="1305"/>
      <c r="S99" s="1301"/>
    </row>
    <row r="100" spans="2:19" s="449" customFormat="1" ht="13.15" customHeight="1">
      <c r="D100" s="498"/>
      <c r="E100" s="455" t="s">
        <v>2865</v>
      </c>
      <c r="H100" s="1300">
        <v>4048733887</v>
      </c>
      <c r="I100" s="1301"/>
      <c r="J100" s="1371"/>
      <c r="K100" s="836" t="s">
        <v>2658</v>
      </c>
      <c r="L100" s="1329">
        <v>4048811191</v>
      </c>
      <c r="M100" s="1342"/>
      <c r="N100" s="457" t="s">
        <v>2864</v>
      </c>
      <c r="O100" s="1307" t="s">
        <v>4011</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3005</v>
      </c>
      <c r="C102" s="452" t="s">
        <v>356</v>
      </c>
      <c r="H102" s="1292" t="s">
        <v>4012</v>
      </c>
      <c r="I102" s="1341"/>
      <c r="J102" s="1341"/>
      <c r="K102" s="1341"/>
      <c r="L102" s="1341"/>
      <c r="M102" s="1341"/>
      <c r="N102" s="1342"/>
      <c r="O102" s="827" t="s">
        <v>2870</v>
      </c>
      <c r="P102" s="827"/>
      <c r="Q102" s="1292" t="s">
        <v>4014</v>
      </c>
      <c r="R102" s="1341"/>
      <c r="S102" s="1342"/>
    </row>
    <row r="103" spans="2:19" s="449" customFormat="1" ht="13.15" customHeight="1">
      <c r="D103" s="498"/>
      <c r="E103" s="455" t="s">
        <v>1527</v>
      </c>
      <c r="F103" s="463"/>
      <c r="H103" s="1292" t="s">
        <v>4013</v>
      </c>
      <c r="I103" s="1341"/>
      <c r="J103" s="1341"/>
      <c r="K103" s="1341"/>
      <c r="L103" s="1341"/>
      <c r="M103" s="1341"/>
      <c r="N103" s="1342"/>
      <c r="O103" s="827" t="s">
        <v>2601</v>
      </c>
      <c r="Q103" s="1292" t="s">
        <v>4015</v>
      </c>
      <c r="R103" s="1341"/>
      <c r="S103" s="1342"/>
    </row>
    <row r="104" spans="2:19" s="449" customFormat="1" ht="13.15" customHeight="1">
      <c r="D104" s="498"/>
      <c r="E104" s="455" t="s">
        <v>876</v>
      </c>
      <c r="H104" s="1292" t="s">
        <v>1893</v>
      </c>
      <c r="I104" s="1341"/>
      <c r="J104" s="1342"/>
      <c r="O104" s="827" t="s">
        <v>2659</v>
      </c>
      <c r="Q104" s="1300">
        <v>9129441635</v>
      </c>
      <c r="R104" s="1305"/>
      <c r="S104" s="1301"/>
    </row>
    <row r="105" spans="2:19" s="449" customFormat="1" ht="13.15" customHeight="1">
      <c r="D105" s="498"/>
      <c r="E105" s="455" t="s">
        <v>2655</v>
      </c>
      <c r="H105" s="1306" t="s">
        <v>1337</v>
      </c>
      <c r="I105" s="483" t="s">
        <v>3138</v>
      </c>
      <c r="J105" s="1303">
        <v>314012700</v>
      </c>
      <c r="K105" s="1342"/>
      <c r="O105" s="827" t="s">
        <v>2859</v>
      </c>
      <c r="Q105" s="1300"/>
      <c r="R105" s="1305"/>
      <c r="S105" s="1301"/>
    </row>
    <row r="106" spans="2:19" ht="13.15" customHeight="1">
      <c r="E106" s="455" t="s">
        <v>2865</v>
      </c>
      <c r="F106" s="449"/>
      <c r="G106" s="449"/>
      <c r="H106" s="1300">
        <v>9122360261</v>
      </c>
      <c r="I106" s="1301"/>
      <c r="J106" s="1371"/>
      <c r="K106" s="836" t="s">
        <v>2658</v>
      </c>
      <c r="L106" s="1329">
        <v>9122364936</v>
      </c>
      <c r="M106" s="1342"/>
      <c r="N106" s="457" t="s">
        <v>2864</v>
      </c>
      <c r="O106" s="1307" t="s">
        <v>4016</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4017</v>
      </c>
      <c r="I109" s="1341"/>
      <c r="J109" s="1341"/>
      <c r="K109" s="1341"/>
      <c r="L109" s="1341"/>
      <c r="M109" s="1341"/>
      <c r="N109" s="1342"/>
      <c r="O109" s="827" t="s">
        <v>2870</v>
      </c>
      <c r="P109" s="827"/>
      <c r="Q109" s="1292" t="s">
        <v>4096</v>
      </c>
      <c r="R109" s="1341"/>
      <c r="S109" s="1342"/>
    </row>
    <row r="110" spans="2:19" s="449" customFormat="1" ht="13.15" customHeight="1">
      <c r="D110" s="498"/>
      <c r="E110" s="455" t="s">
        <v>1527</v>
      </c>
      <c r="F110" s="463"/>
      <c r="H110" s="1292" t="s">
        <v>4098</v>
      </c>
      <c r="I110" s="1341"/>
      <c r="J110" s="1341"/>
      <c r="K110" s="1341"/>
      <c r="L110" s="1341"/>
      <c r="M110" s="1341"/>
      <c r="N110" s="1342"/>
      <c r="O110" s="827" t="s">
        <v>2601</v>
      </c>
      <c r="Q110" s="1292" t="s">
        <v>3479</v>
      </c>
      <c r="R110" s="1341"/>
      <c r="S110" s="1342"/>
    </row>
    <row r="111" spans="2:19" s="449" customFormat="1" ht="13.15" customHeight="1">
      <c r="D111" s="498"/>
      <c r="E111" s="455" t="s">
        <v>876</v>
      </c>
      <c r="H111" s="1292" t="s">
        <v>4099</v>
      </c>
      <c r="I111" s="1341"/>
      <c r="J111" s="1342"/>
      <c r="O111" s="827" t="s">
        <v>2659</v>
      </c>
      <c r="Q111" s="1300"/>
      <c r="R111" s="1305"/>
      <c r="S111" s="1301"/>
    </row>
    <row r="112" spans="2:19" s="449" customFormat="1" ht="13.15" customHeight="1">
      <c r="D112" s="498"/>
      <c r="E112" s="455" t="s">
        <v>2655</v>
      </c>
      <c r="H112" s="1306" t="s">
        <v>1917</v>
      </c>
      <c r="I112" s="483" t="s">
        <v>3138</v>
      </c>
      <c r="J112" s="1303">
        <v>282020210</v>
      </c>
      <c r="K112" s="1342"/>
      <c r="O112" s="827" t="s">
        <v>2859</v>
      </c>
      <c r="Q112" s="1300"/>
      <c r="R112" s="1305"/>
      <c r="S112" s="1301"/>
    </row>
    <row r="113" spans="1:19" ht="13.15" customHeight="1">
      <c r="E113" s="455" t="s">
        <v>2865</v>
      </c>
      <c r="F113" s="449"/>
      <c r="G113" s="449"/>
      <c r="H113" s="1300">
        <v>7042959300</v>
      </c>
      <c r="I113" s="1301"/>
      <c r="J113" s="1371"/>
      <c r="K113" s="836" t="s">
        <v>2658</v>
      </c>
      <c r="L113" s="1329">
        <v>7043326444</v>
      </c>
      <c r="M113" s="1342"/>
      <c r="N113" s="457" t="s">
        <v>2864</v>
      </c>
      <c r="O113" s="1307" t="s">
        <v>4097</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4018</v>
      </c>
      <c r="I115" s="1341"/>
      <c r="J115" s="1341"/>
      <c r="K115" s="1341"/>
      <c r="L115" s="1341"/>
      <c r="M115" s="1341"/>
      <c r="N115" s="1342"/>
      <c r="O115" s="827" t="s">
        <v>2870</v>
      </c>
      <c r="P115" s="827"/>
      <c r="Q115" s="1292" t="s">
        <v>4020</v>
      </c>
      <c r="R115" s="1341"/>
      <c r="S115" s="1342"/>
    </row>
    <row r="116" spans="1:19" s="449" customFormat="1" ht="13.15" customHeight="1">
      <c r="D116" s="498"/>
      <c r="E116" s="455" t="s">
        <v>1527</v>
      </c>
      <c r="F116" s="463"/>
      <c r="H116" s="1292" t="s">
        <v>4019</v>
      </c>
      <c r="I116" s="1341"/>
      <c r="J116" s="1341"/>
      <c r="K116" s="1341"/>
      <c r="L116" s="1341"/>
      <c r="M116" s="1341"/>
      <c r="N116" s="1342"/>
      <c r="O116" s="827" t="s">
        <v>2601</v>
      </c>
      <c r="Q116" s="1292" t="s">
        <v>4021</v>
      </c>
      <c r="R116" s="1341"/>
      <c r="S116" s="1342"/>
    </row>
    <row r="117" spans="1:19" s="449" customFormat="1" ht="13.15" customHeight="1">
      <c r="D117" s="498"/>
      <c r="E117" s="455" t="s">
        <v>876</v>
      </c>
      <c r="H117" s="1292" t="s">
        <v>235</v>
      </c>
      <c r="I117" s="1341"/>
      <c r="J117" s="1342"/>
      <c r="O117" s="827" t="s">
        <v>2659</v>
      </c>
      <c r="Q117" s="1300"/>
      <c r="R117" s="1305"/>
      <c r="S117" s="1301"/>
    </row>
    <row r="118" spans="1:19" s="449" customFormat="1" ht="13.15" customHeight="1">
      <c r="D118" s="503"/>
      <c r="E118" s="455" t="s">
        <v>2655</v>
      </c>
      <c r="H118" s="1306" t="s">
        <v>1337</v>
      </c>
      <c r="I118" s="483" t="s">
        <v>3138</v>
      </c>
      <c r="J118" s="1303">
        <v>300303329</v>
      </c>
      <c r="K118" s="1342"/>
      <c r="O118" s="827" t="s">
        <v>2859</v>
      </c>
      <c r="Q118" s="1300"/>
      <c r="R118" s="1305"/>
      <c r="S118" s="1301"/>
    </row>
    <row r="119" spans="1:19" s="449" customFormat="1" ht="13.15" customHeight="1">
      <c r="D119" s="503"/>
      <c r="E119" s="455" t="s">
        <v>2865</v>
      </c>
      <c r="H119" s="1300">
        <v>4043732800</v>
      </c>
      <c r="I119" s="1301"/>
      <c r="J119" s="1371"/>
      <c r="K119" s="836" t="s">
        <v>2658</v>
      </c>
      <c r="L119" s="1329">
        <v>4043732888</v>
      </c>
      <c r="M119" s="1342"/>
      <c r="N119" s="457" t="s">
        <v>2864</v>
      </c>
      <c r="O119" s="1307" t="s">
        <v>4022</v>
      </c>
      <c r="P119" s="1308"/>
      <c r="Q119" s="1308"/>
      <c r="R119" s="1308"/>
      <c r="S119" s="1309"/>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85" t="s">
        <v>3983</v>
      </c>
      <c r="F128" s="1385" t="s">
        <v>3983</v>
      </c>
      <c r="G128" s="1386" t="s">
        <v>3983</v>
      </c>
      <c r="H128" s="1387"/>
      <c r="I128" s="1388"/>
      <c r="J128" s="1386" t="s">
        <v>3975</v>
      </c>
      <c r="K128" s="1388"/>
      <c r="L128" s="1386" t="s">
        <v>3983</v>
      </c>
      <c r="M128" s="1388"/>
      <c r="N128" s="1386" t="s">
        <v>3983</v>
      </c>
      <c r="O128" s="1388"/>
      <c r="P128" s="1389" t="s">
        <v>4023</v>
      </c>
      <c r="Q128" s="1390"/>
      <c r="R128" s="1391">
        <v>1E-4</v>
      </c>
      <c r="S128" s="1392"/>
    </row>
    <row r="129" spans="1:19" s="449" customFormat="1" ht="13.9" customHeight="1">
      <c r="A129" s="832" t="s">
        <v>3290</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9"/>
      <c r="E131" s="1393" t="s">
        <v>3983</v>
      </c>
      <c r="F131" s="1393" t="s">
        <v>3983</v>
      </c>
      <c r="G131" s="1394" t="s">
        <v>3983</v>
      </c>
      <c r="H131" s="1395"/>
      <c r="I131" s="1396"/>
      <c r="J131" s="1394" t="s">
        <v>3983</v>
      </c>
      <c r="K131" s="1396"/>
      <c r="L131" s="1394" t="s">
        <v>3983</v>
      </c>
      <c r="M131" s="1396"/>
      <c r="N131" s="1394" t="s">
        <v>3983</v>
      </c>
      <c r="O131" s="1396"/>
      <c r="P131" s="1397" t="s">
        <v>4023</v>
      </c>
      <c r="Q131" s="1398"/>
      <c r="R131" s="1399">
        <v>0.99980000000000002</v>
      </c>
      <c r="S131" s="1400"/>
    </row>
    <row r="132" spans="1:19" s="449" customFormat="1" ht="13.9" customHeight="1">
      <c r="A132" s="832" t="s">
        <v>3293</v>
      </c>
      <c r="B132" s="833"/>
      <c r="C132" s="833"/>
      <c r="D132" s="839"/>
      <c r="E132" s="1393" t="s">
        <v>3983</v>
      </c>
      <c r="F132" s="1393" t="s">
        <v>3983</v>
      </c>
      <c r="G132" s="1394" t="s">
        <v>3983</v>
      </c>
      <c r="H132" s="1395"/>
      <c r="I132" s="1396"/>
      <c r="J132" s="1394" t="s">
        <v>3983</v>
      </c>
      <c r="K132" s="1396"/>
      <c r="L132" s="1394" t="s">
        <v>3983</v>
      </c>
      <c r="M132" s="1396"/>
      <c r="N132" s="1394" t="s">
        <v>3983</v>
      </c>
      <c r="O132" s="1396"/>
      <c r="P132" s="1397" t="s">
        <v>4023</v>
      </c>
      <c r="Q132" s="1398"/>
      <c r="R132" s="1399">
        <v>1E-4</v>
      </c>
      <c r="S132" s="1400"/>
    </row>
    <row r="133" spans="1:19" s="449" customFormat="1" ht="13.9" customHeight="1">
      <c r="A133" s="832" t="s">
        <v>3294</v>
      </c>
      <c r="B133" s="833"/>
      <c r="C133" s="833"/>
      <c r="D133" s="839"/>
      <c r="E133" s="1393" t="s">
        <v>3983</v>
      </c>
      <c r="F133" s="1393" t="s">
        <v>3983</v>
      </c>
      <c r="G133" s="1394" t="s">
        <v>3983</v>
      </c>
      <c r="H133" s="1395"/>
      <c r="I133" s="1396"/>
      <c r="J133" s="1394" t="s">
        <v>3975</v>
      </c>
      <c r="K133" s="1396"/>
      <c r="L133" s="1394" t="s">
        <v>3983</v>
      </c>
      <c r="M133" s="1396"/>
      <c r="N133" s="1394" t="s">
        <v>3983</v>
      </c>
      <c r="O133" s="1396"/>
      <c r="P133" s="1397" t="s">
        <v>3639</v>
      </c>
      <c r="Q133" s="1398"/>
      <c r="R133" s="1399">
        <v>0</v>
      </c>
      <c r="S133" s="1400"/>
    </row>
    <row r="134" spans="1:19" s="449" customFormat="1" ht="13.9" customHeight="1">
      <c r="A134" s="832" t="s">
        <v>918</v>
      </c>
      <c r="B134" s="833"/>
      <c r="C134" s="833"/>
      <c r="D134" s="839"/>
      <c r="E134" s="1393" t="s">
        <v>3983</v>
      </c>
      <c r="F134" s="1393" t="s">
        <v>3983</v>
      </c>
      <c r="G134" s="1394" t="s">
        <v>3983</v>
      </c>
      <c r="H134" s="1395"/>
      <c r="I134" s="1396"/>
      <c r="J134" s="1394" t="s">
        <v>3975</v>
      </c>
      <c r="K134" s="1396"/>
      <c r="L134" s="1394" t="s">
        <v>3983</v>
      </c>
      <c r="M134" s="1396"/>
      <c r="N134" s="1394" t="s">
        <v>3983</v>
      </c>
      <c r="O134" s="1396"/>
      <c r="P134" s="1397" t="s">
        <v>3639</v>
      </c>
      <c r="Q134" s="1398"/>
      <c r="R134" s="1399">
        <v>0</v>
      </c>
      <c r="S134" s="1400"/>
    </row>
    <row r="135" spans="1:19" s="449" customFormat="1" ht="13.9" customHeight="1">
      <c r="A135" s="832" t="s">
        <v>3295</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9"/>
      <c r="E138" s="1393" t="s">
        <v>3983</v>
      </c>
      <c r="F138" s="1393" t="s">
        <v>3975</v>
      </c>
      <c r="G138" s="1394" t="s">
        <v>3983</v>
      </c>
      <c r="H138" s="1395"/>
      <c r="I138" s="1396"/>
      <c r="J138" s="1394" t="s">
        <v>3983</v>
      </c>
      <c r="K138" s="1396"/>
      <c r="L138" s="1394" t="s">
        <v>3983</v>
      </c>
      <c r="M138" s="1396"/>
      <c r="N138" s="1394" t="s">
        <v>3983</v>
      </c>
      <c r="O138" s="1396"/>
      <c r="P138" s="1397" t="s">
        <v>4023</v>
      </c>
      <c r="Q138" s="1398"/>
      <c r="R138" s="1399">
        <v>0</v>
      </c>
      <c r="S138" s="1400"/>
    </row>
    <row r="139" spans="1:19" s="449" customFormat="1" ht="13.9" customHeight="1">
      <c r="A139" s="832" t="s">
        <v>2130</v>
      </c>
      <c r="B139" s="833"/>
      <c r="C139" s="833"/>
      <c r="D139" s="839"/>
      <c r="E139" s="1393" t="s">
        <v>3983</v>
      </c>
      <c r="F139" s="1393" t="s">
        <v>3983</v>
      </c>
      <c r="G139" s="1394" t="s">
        <v>3983</v>
      </c>
      <c r="H139" s="1395"/>
      <c r="I139" s="1396"/>
      <c r="J139" s="1394" t="s">
        <v>3983</v>
      </c>
      <c r="K139" s="1396"/>
      <c r="L139" s="1394" t="s">
        <v>3983</v>
      </c>
      <c r="M139" s="1396"/>
      <c r="N139" s="1394" t="s">
        <v>3975</v>
      </c>
      <c r="O139" s="1396"/>
      <c r="P139" s="1397" t="s">
        <v>4023</v>
      </c>
      <c r="Q139" s="1398"/>
      <c r="R139" s="1399">
        <v>0</v>
      </c>
      <c r="S139" s="1400"/>
    </row>
    <row r="140" spans="1:19" s="449" customFormat="1" ht="13.9" customHeight="1">
      <c r="A140" s="837" t="s">
        <v>3299</v>
      </c>
      <c r="B140" s="838"/>
      <c r="C140" s="838"/>
      <c r="D140" s="504"/>
      <c r="E140" s="1401" t="s">
        <v>3983</v>
      </c>
      <c r="F140" s="1401" t="s">
        <v>3983</v>
      </c>
      <c r="G140" s="1402" t="s">
        <v>3983</v>
      </c>
      <c r="H140" s="1403"/>
      <c r="I140" s="1404"/>
      <c r="J140" s="1402" t="s">
        <v>3975</v>
      </c>
      <c r="K140" s="1404"/>
      <c r="L140" s="1402" t="s">
        <v>3983</v>
      </c>
      <c r="M140" s="1404"/>
      <c r="N140" s="1402" t="s">
        <v>3983</v>
      </c>
      <c r="O140" s="1404"/>
      <c r="P140" s="1405" t="s">
        <v>3639</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58.5" customHeight="1">
      <c r="A145" s="1360" t="s">
        <v>4106</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A10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activeCell="E32" sqref="E32:G32"/>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2012-008 Savannah Gardens Phase IV, Savannah, Chatham County</v>
      </c>
      <c r="B1" s="916"/>
      <c r="C1" s="916"/>
      <c r="D1" s="916"/>
      <c r="E1" s="916"/>
      <c r="F1" s="916"/>
      <c r="G1" s="916"/>
      <c r="H1" s="916"/>
      <c r="I1" s="916"/>
      <c r="J1" s="916"/>
      <c r="K1" s="916"/>
      <c r="L1" s="916"/>
      <c r="M1" s="916"/>
      <c r="N1" s="916"/>
      <c r="O1" s="916"/>
      <c r="P1" s="916"/>
      <c r="Q1" s="917"/>
      <c r="S1" s="988" t="str">
        <f>$A$1</f>
        <v>PART THREE - SOURCES OF FUNDS  -  2012-008 Savannah Gardens Phase IV, Savannah, Chatham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06" t="s">
        <v>3975</v>
      </c>
      <c r="C5" s="827" t="s">
        <v>3392</v>
      </c>
      <c r="D5" s="449"/>
      <c r="E5" s="1306" t="s">
        <v>3983</v>
      </c>
      <c r="F5" s="829" t="s">
        <v>2494</v>
      </c>
      <c r="G5" s="449"/>
      <c r="J5" s="1410"/>
      <c r="K5" s="1411"/>
      <c r="M5" s="1306" t="s">
        <v>3983</v>
      </c>
      <c r="N5" s="827" t="s">
        <v>786</v>
      </c>
      <c r="P5" s="1306" t="s">
        <v>3983</v>
      </c>
      <c r="Q5" s="990" t="s">
        <v>3655</v>
      </c>
      <c r="S5" s="1412"/>
      <c r="T5" s="1413"/>
    </row>
    <row r="6" spans="1:20" s="397" customFormat="1" ht="16.899999999999999" customHeight="1">
      <c r="A6" s="844"/>
      <c r="B6" s="1306" t="s">
        <v>3983</v>
      </c>
      <c r="C6" s="827" t="s">
        <v>2660</v>
      </c>
      <c r="D6" s="449"/>
      <c r="E6" s="1306" t="s">
        <v>3983</v>
      </c>
      <c r="F6" s="829" t="s">
        <v>3099</v>
      </c>
      <c r="H6" s="1306" t="s">
        <v>3983</v>
      </c>
      <c r="I6" s="833" t="s">
        <v>787</v>
      </c>
      <c r="J6" s="1306" t="s">
        <v>3983</v>
      </c>
      <c r="K6" s="833" t="s">
        <v>2140</v>
      </c>
      <c r="M6" s="1306" t="s">
        <v>3975</v>
      </c>
      <c r="N6" s="829" t="s">
        <v>785</v>
      </c>
      <c r="Q6" s="990"/>
      <c r="S6" s="1414"/>
      <c r="T6" s="1415"/>
    </row>
    <row r="7" spans="1:20" s="397" customFormat="1" ht="16.899999999999999" customHeight="1">
      <c r="A7" s="449"/>
      <c r="B7" s="1306" t="s">
        <v>3983</v>
      </c>
      <c r="C7" s="827" t="s">
        <v>2661</v>
      </c>
      <c r="E7" s="1306" t="s">
        <v>3983</v>
      </c>
      <c r="F7" s="829" t="s">
        <v>3098</v>
      </c>
      <c r="G7" s="449"/>
      <c r="H7" s="1306" t="s">
        <v>3983</v>
      </c>
      <c r="I7" s="989" t="s">
        <v>3653</v>
      </c>
      <c r="J7" s="1306" t="s">
        <v>3983</v>
      </c>
      <c r="K7" s="990" t="s">
        <v>3652</v>
      </c>
      <c r="L7" s="991"/>
      <c r="M7" s="1306" t="s">
        <v>3983</v>
      </c>
      <c r="N7" s="455" t="s">
        <v>3654</v>
      </c>
      <c r="Q7" s="992"/>
      <c r="S7" s="1414"/>
      <c r="T7" s="1415"/>
    </row>
    <row r="8" spans="1:20" s="397" customFormat="1" ht="16.899999999999999" customHeight="1">
      <c r="A8" s="844"/>
      <c r="B8" s="1306" t="s">
        <v>3983</v>
      </c>
      <c r="C8" s="833" t="s">
        <v>3640</v>
      </c>
      <c r="D8" s="449"/>
      <c r="E8" s="1306" t="s">
        <v>3983</v>
      </c>
      <c r="F8" s="477" t="s">
        <v>3641</v>
      </c>
      <c r="I8" s="989"/>
      <c r="K8" s="990"/>
      <c r="L8" s="991"/>
      <c r="M8" s="1306" t="s">
        <v>3983</v>
      </c>
      <c r="N8" s="1292" t="s">
        <v>3025</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2744</v>
      </c>
      <c r="C13" s="449"/>
      <c r="D13" s="449"/>
      <c r="E13" s="449"/>
      <c r="F13" s="449"/>
      <c r="G13" s="449"/>
      <c r="H13" s="964" t="s">
        <v>1864</v>
      </c>
      <c r="I13" s="964"/>
      <c r="J13" s="964"/>
      <c r="K13" s="964"/>
      <c r="L13" s="896" t="s">
        <v>2871</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4068</v>
      </c>
      <c r="I14" s="1293"/>
      <c r="J14" s="1293"/>
      <c r="K14" s="1294"/>
      <c r="L14" s="1418">
        <v>5593400</v>
      </c>
      <c r="M14" s="1419"/>
      <c r="N14" s="1420">
        <v>4.4499999999999998E-2</v>
      </c>
      <c r="O14" s="1421"/>
      <c r="P14" s="1422">
        <v>16</v>
      </c>
      <c r="Q14" s="1423"/>
      <c r="S14" s="1412"/>
      <c r="T14" s="1413"/>
    </row>
    <row r="15" spans="1:20" s="397" customFormat="1" ht="16.899999999999999" customHeight="1">
      <c r="A15" s="449"/>
      <c r="B15" s="957" t="s">
        <v>2196</v>
      </c>
      <c r="C15" s="958"/>
      <c r="D15" s="958"/>
      <c r="E15" s="833"/>
      <c r="F15" s="833"/>
      <c r="G15" s="833"/>
      <c r="H15" s="1292" t="s">
        <v>4041</v>
      </c>
      <c r="I15" s="1293"/>
      <c r="J15" s="1293"/>
      <c r="K15" s="1294"/>
      <c r="L15" s="1418">
        <v>825000</v>
      </c>
      <c r="M15" s="1419"/>
      <c r="N15" s="1420">
        <v>0.04</v>
      </c>
      <c r="O15" s="1421"/>
      <c r="P15" s="1424">
        <v>24</v>
      </c>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3118</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c r="I19" s="1293"/>
      <c r="J19" s="1293"/>
      <c r="K19" s="1294"/>
      <c r="L19" s="1418"/>
      <c r="M19" s="1419"/>
      <c r="N19" s="970"/>
      <c r="O19" s="971"/>
      <c r="P19" s="969"/>
      <c r="Q19" s="969"/>
      <c r="S19" s="1414"/>
      <c r="T19" s="1415"/>
    </row>
    <row r="20" spans="1:20" s="397" customFormat="1" ht="16.899999999999999" customHeight="1">
      <c r="A20" s="449"/>
      <c r="B20" s="957" t="s">
        <v>1288</v>
      </c>
      <c r="C20" s="958"/>
      <c r="D20" s="958"/>
      <c r="E20" s="833"/>
      <c r="H20" s="1292" t="s">
        <v>4041</v>
      </c>
      <c r="I20" s="1293"/>
      <c r="J20" s="1293"/>
      <c r="K20" s="1294"/>
      <c r="L20" s="1418">
        <v>4220938</v>
      </c>
      <c r="M20" s="1419"/>
      <c r="N20" s="449"/>
      <c r="O20" s="449"/>
      <c r="P20" s="449"/>
      <c r="Q20" s="449"/>
      <c r="S20" s="1416"/>
      <c r="T20" s="1417"/>
    </row>
    <row r="21" spans="1:20" s="397" customFormat="1" ht="16.899999999999999" customHeight="1">
      <c r="A21" s="449"/>
      <c r="B21" s="957" t="s">
        <v>1289</v>
      </c>
      <c r="C21" s="958"/>
      <c r="D21" s="958"/>
      <c r="E21" s="833"/>
      <c r="H21" s="1292" t="s">
        <v>4041</v>
      </c>
      <c r="I21" s="1293"/>
      <c r="J21" s="1293"/>
      <c r="K21" s="1294"/>
      <c r="L21" s="1418">
        <v>1439287</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12078625</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12078625</v>
      </c>
      <c r="M26" s="1428"/>
      <c r="N26" s="967"/>
      <c r="O26" s="968"/>
      <c r="P26" s="968"/>
      <c r="Q26" s="968"/>
      <c r="S26" s="1414"/>
      <c r="T26" s="1415"/>
    </row>
    <row r="27" spans="1:20" s="397" customFormat="1" ht="16.899999999999999" customHeight="1">
      <c r="A27" s="449"/>
      <c r="B27" s="455" t="s">
        <v>3050</v>
      </c>
      <c r="C27" s="449"/>
      <c r="D27" s="449"/>
      <c r="E27" s="449"/>
      <c r="F27" s="449"/>
      <c r="G27" s="449"/>
      <c r="H27" s="449"/>
      <c r="I27" s="449"/>
      <c r="L27" s="974">
        <f>L25-L26</f>
        <v>0</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2988</v>
      </c>
      <c r="K30" s="836" t="s">
        <v>1862</v>
      </c>
      <c r="L30" s="836" t="s">
        <v>1867</v>
      </c>
      <c r="M30" s="903" t="s">
        <v>39</v>
      </c>
      <c r="N30" s="903"/>
      <c r="O30" s="828"/>
      <c r="P30" s="836"/>
      <c r="Q30" s="977" t="s">
        <v>3267</v>
      </c>
      <c r="S30" s="507"/>
    </row>
    <row r="31" spans="1:20" s="397" customFormat="1" ht="13.15" customHeight="1">
      <c r="A31" s="449"/>
      <c r="B31" s="840" t="s">
        <v>2744</v>
      </c>
      <c r="C31" s="838"/>
      <c r="D31" s="838"/>
      <c r="E31" s="958" t="s">
        <v>1864</v>
      </c>
      <c r="F31" s="958"/>
      <c r="G31" s="958"/>
      <c r="H31" s="896" t="s">
        <v>676</v>
      </c>
      <c r="I31" s="896"/>
      <c r="J31" s="826" t="s">
        <v>2667</v>
      </c>
      <c r="K31" s="826" t="s">
        <v>3117</v>
      </c>
      <c r="L31" s="826" t="s">
        <v>3117</v>
      </c>
      <c r="M31" s="1429"/>
      <c r="N31" s="1429"/>
      <c r="O31" s="896" t="s">
        <v>80</v>
      </c>
      <c r="P31" s="896"/>
      <c r="Q31" s="978"/>
      <c r="S31" s="976" t="s">
        <v>3865</v>
      </c>
      <c r="T31" s="976"/>
    </row>
    <row r="32" spans="1:20" s="397" customFormat="1" ht="13.15" customHeight="1">
      <c r="A32" s="449"/>
      <c r="B32" s="959" t="s">
        <v>3663</v>
      </c>
      <c r="C32" s="960"/>
      <c r="D32" s="960"/>
      <c r="E32" s="1430" t="s">
        <v>4068</v>
      </c>
      <c r="F32" s="1431"/>
      <c r="G32" s="1432"/>
      <c r="H32" s="1433">
        <v>5593400</v>
      </c>
      <c r="I32" s="1434"/>
      <c r="J32" s="1435">
        <v>4.4499999999999998E-2</v>
      </c>
      <c r="K32" s="1306">
        <v>40</v>
      </c>
      <c r="L32" s="1306">
        <v>40</v>
      </c>
      <c r="M32" s="1436">
        <f t="shared" ref="M32:M36" si="0">IF(OR(H32&lt;=0,H32=""),"",IF(O32="Amortizing",-PMT(J32/12,L32*12,H32,0,0)*12,""))</f>
        <v>299596.27127579704</v>
      </c>
      <c r="N32" s="1437"/>
      <c r="O32" s="1286" t="s">
        <v>4042</v>
      </c>
      <c r="P32" s="1287"/>
      <c r="Q32" s="1438">
        <v>1.2</v>
      </c>
      <c r="S32" s="1412"/>
      <c r="T32" s="1413"/>
    </row>
    <row r="33" spans="1:20" s="397" customFormat="1" ht="13.15" customHeight="1">
      <c r="A33" s="449"/>
      <c r="B33" s="957" t="s">
        <v>3664</v>
      </c>
      <c r="C33" s="958"/>
      <c r="D33" s="958"/>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7" t="s">
        <v>3665</v>
      </c>
      <c r="C34" s="958"/>
      <c r="D34" s="958"/>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0.24114261650758001</v>
      </c>
      <c r="E37" s="1292" t="s">
        <v>3998</v>
      </c>
      <c r="F37" s="1442"/>
      <c r="G37" s="1434"/>
      <c r="H37" s="1441">
        <v>429475</v>
      </c>
      <c r="I37" s="1434"/>
      <c r="J37" s="1435">
        <v>0</v>
      </c>
      <c r="K37" s="1306">
        <v>15</v>
      </c>
      <c r="L37" s="1306">
        <v>15</v>
      </c>
      <c r="M37" s="1436">
        <v>63000</v>
      </c>
      <c r="N37" s="1437"/>
      <c r="O37" s="1286" t="s">
        <v>1687</v>
      </c>
      <c r="P37" s="1287"/>
      <c r="Q37" s="1438"/>
      <c r="S37" s="1414"/>
      <c r="T37" s="1415"/>
    </row>
    <row r="38" spans="1:20" s="397" customFormat="1" ht="13.15" customHeight="1">
      <c r="A38" s="449"/>
      <c r="B38" s="959" t="s">
        <v>3118</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t="s">
        <v>4041</v>
      </c>
      <c r="F40" s="1293"/>
      <c r="G40" s="1294"/>
      <c r="H40" s="1441">
        <v>6802641</v>
      </c>
      <c r="I40" s="1445"/>
      <c r="J40" s="983">
        <f>'Part IV-Uses of Funds'!$J$165*10*'Part IV-Uses of Funds'!$N$158</f>
        <v>6803317.3500000006</v>
      </c>
      <c r="K40" s="984"/>
      <c r="L40" s="979">
        <f>H40-J40</f>
        <v>-676.35000000055879</v>
      </c>
      <c r="M40" s="979"/>
      <c r="O40" s="626" t="s">
        <v>3590</v>
      </c>
      <c r="P40" s="545"/>
      <c r="Q40" s="544"/>
      <c r="S40" s="1414"/>
      <c r="T40" s="1415"/>
    </row>
    <row r="41" spans="1:20" s="397" customFormat="1" ht="13.15" customHeight="1">
      <c r="A41" s="449"/>
      <c r="B41" s="957" t="s">
        <v>1289</v>
      </c>
      <c r="C41" s="958"/>
      <c r="D41" s="963"/>
      <c r="E41" s="1292" t="s">
        <v>4041</v>
      </c>
      <c r="F41" s="1293"/>
      <c r="G41" s="1294"/>
      <c r="H41" s="1441">
        <v>1974960</v>
      </c>
      <c r="I41" s="1445"/>
      <c r="J41" s="983">
        <f>'Part IV-Uses of Funds'!$J$165*10*'Part IV-Uses of Funds'!$Q$158</f>
        <v>1975156.6500000001</v>
      </c>
      <c r="K41" s="984"/>
      <c r="L41" s="979">
        <f>H41-J41</f>
        <v>-196.6500000001397</v>
      </c>
      <c r="M41" s="979"/>
      <c r="O41" s="627">
        <f>H40/H50</f>
        <v>0.4596231229319922</v>
      </c>
      <c r="P41" s="545"/>
      <c r="Q41" s="544"/>
      <c r="S41" s="1414"/>
      <c r="T41" s="1415"/>
    </row>
    <row r="42" spans="1:20" s="397" customFormat="1" ht="13.15" customHeight="1">
      <c r="A42" s="449"/>
      <c r="B42" s="957" t="s">
        <v>1984</v>
      </c>
      <c r="C42" s="958"/>
      <c r="D42" s="963"/>
      <c r="E42" s="1292"/>
      <c r="F42" s="1293"/>
      <c r="G42" s="1294"/>
      <c r="H42" s="1441"/>
      <c r="I42" s="1445"/>
      <c r="M42" s="545"/>
      <c r="O42" s="627">
        <f>H41/H50</f>
        <v>0.13343895155804447</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0.59306207449003667</v>
      </c>
      <c r="P43" s="545"/>
      <c r="Q43" s="544"/>
      <c r="S43" s="1414"/>
      <c r="T43" s="1415"/>
    </row>
    <row r="44" spans="1:20" s="397" customFormat="1" ht="13.15" customHeight="1">
      <c r="A44" s="449"/>
      <c r="B44" s="832" t="s">
        <v>2742</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2743</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3119</v>
      </c>
      <c r="C49" s="449"/>
      <c r="D49" s="449"/>
      <c r="E49" s="449"/>
      <c r="F49" s="449"/>
      <c r="G49" s="449"/>
      <c r="H49" s="954">
        <f>SUM(H32:I48)</f>
        <v>14800476</v>
      </c>
      <c r="I49" s="955"/>
      <c r="J49" s="472"/>
      <c r="K49" s="449"/>
      <c r="L49" s="546"/>
      <c r="M49" s="545"/>
      <c r="N49" s="545"/>
      <c r="O49" s="545"/>
      <c r="P49" s="545"/>
      <c r="Q49" s="544"/>
      <c r="S49" s="1414"/>
      <c r="T49" s="1415"/>
    </row>
    <row r="50" spans="1:23" s="397" customFormat="1" ht="13.15" customHeight="1" thickBot="1">
      <c r="A50" s="449"/>
      <c r="B50" s="827" t="s">
        <v>3120</v>
      </c>
      <c r="C50" s="449"/>
      <c r="D50" s="449"/>
      <c r="E50" s="449"/>
      <c r="F50" s="449"/>
      <c r="G50" s="449"/>
      <c r="H50" s="952">
        <f>'Part IV-Uses of Funds'!$G$123</f>
        <v>14800476</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4116</v>
      </c>
      <c r="B55" s="1446"/>
      <c r="C55" s="1446"/>
      <c r="D55" s="1446"/>
      <c r="E55" s="1446"/>
      <c r="F55" s="1446"/>
      <c r="G55" s="1446"/>
      <c r="H55" s="1446"/>
      <c r="I55" s="1446"/>
      <c r="J55" s="1447"/>
      <c r="K55" s="1363"/>
      <c r="L55" s="1446"/>
      <c r="M55" s="1446"/>
      <c r="N55" s="1446"/>
      <c r="O55" s="1446"/>
      <c r="P55" s="1446"/>
      <c r="Q55" s="1447"/>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A10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2012-008 Savannah Gardens Phase IV, Savannah, Chatham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2012-008 Savannah Gardens Phase IV, Savannah, Chatham County</v>
      </c>
      <c r="B58" s="1000"/>
      <c r="C58" s="1000"/>
      <c r="D58" s="1000"/>
      <c r="E58" s="1000"/>
      <c r="F58" s="1000"/>
      <c r="G58" s="1000" t="str">
        <f>CONCATENATE('Part I-Project Information'!$O$4," ",'Part I-Project Information'!$F$22,", ",'Part I-Project Information'!$F$24,", ",'Part I-Project Information'!$J$25," County")</f>
        <v>2012-008 Savannah Gardens Phase IV, Savannah, Chatham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2012-008 Savannah Gardens Phase IV, Savannah, Chatham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2012-008 Savannah Gardens Phase IV, Savannah, Chatham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2012-008 Savannah Gardens Phase IV, Savannah, Chatham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2012-008 Savannah Gardens Phase IV, Savannah, Chatham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2881</v>
      </c>
      <c r="G8" s="1418">
        <v>10000</v>
      </c>
      <c r="H8" s="1419"/>
      <c r="J8" s="1418">
        <v>10000</v>
      </c>
      <c r="K8" s="1419"/>
      <c r="L8" s="843"/>
      <c r="M8" s="1418"/>
      <c r="N8" s="1419"/>
      <c r="P8" s="1418"/>
      <c r="Q8" s="1419"/>
      <c r="S8" s="1418"/>
      <c r="T8" s="1419"/>
      <c r="V8" s="1448"/>
      <c r="W8" s="1449"/>
    </row>
    <row r="9" spans="1:23" s="449" customFormat="1" ht="12.6" customHeight="1">
      <c r="B9" s="449" t="s">
        <v>631</v>
      </c>
      <c r="G9" s="1418">
        <v>10000</v>
      </c>
      <c r="H9" s="1419"/>
      <c r="J9" s="1418">
        <v>10000</v>
      </c>
      <c r="K9" s="1419"/>
      <c r="L9" s="843"/>
      <c r="M9" s="1418"/>
      <c r="N9" s="1419"/>
      <c r="P9" s="1418"/>
      <c r="Q9" s="1419"/>
      <c r="S9" s="1418"/>
      <c r="T9" s="1419"/>
      <c r="V9" s="1450"/>
      <c r="W9" s="1451"/>
    </row>
    <row r="10" spans="1:23" s="449" customFormat="1" ht="12.6" customHeight="1">
      <c r="B10" s="449" t="s">
        <v>674</v>
      </c>
      <c r="G10" s="1418">
        <v>10000</v>
      </c>
      <c r="H10" s="1419"/>
      <c r="J10" s="1418">
        <v>10000</v>
      </c>
      <c r="K10" s="1419"/>
      <c r="L10" s="843"/>
      <c r="M10" s="1418"/>
      <c r="N10" s="1419"/>
      <c r="P10" s="1418"/>
      <c r="Q10" s="1419"/>
      <c r="S10" s="1418"/>
      <c r="T10" s="1419"/>
      <c r="V10" s="1450"/>
      <c r="W10" s="1451"/>
    </row>
    <row r="11" spans="1:23" s="449" customFormat="1" ht="12.6" customHeight="1">
      <c r="B11" s="449" t="s">
        <v>675</v>
      </c>
      <c r="G11" s="1418">
        <v>10000</v>
      </c>
      <c r="H11" s="1419"/>
      <c r="J11" s="1418">
        <v>10000</v>
      </c>
      <c r="K11" s="1419"/>
      <c r="L11" s="843"/>
      <c r="M11" s="1418"/>
      <c r="N11" s="1419"/>
      <c r="P11" s="1418"/>
      <c r="Q11" s="1419"/>
      <c r="S11" s="1418"/>
      <c r="T11" s="1419"/>
      <c r="V11" s="1450"/>
      <c r="W11" s="1451"/>
    </row>
    <row r="12" spans="1:23" s="449" customFormat="1" ht="12.6" customHeight="1">
      <c r="B12" s="449" t="s">
        <v>3507</v>
      </c>
      <c r="G12" s="1418">
        <v>5000</v>
      </c>
      <c r="H12" s="1419"/>
      <c r="J12" s="1418">
        <v>5000</v>
      </c>
      <c r="K12" s="1419"/>
      <c r="L12" s="843"/>
      <c r="M12" s="1418"/>
      <c r="N12" s="1419"/>
      <c r="P12" s="1418"/>
      <c r="Q12" s="1419"/>
      <c r="S12" s="1418"/>
      <c r="T12" s="1419"/>
      <c r="V12" s="1450"/>
      <c r="W12" s="1451"/>
    </row>
    <row r="13" spans="1:23" s="449" customFormat="1" ht="12.6" customHeight="1">
      <c r="B13" s="449" t="s">
        <v>229</v>
      </c>
      <c r="G13" s="1418">
        <v>100</v>
      </c>
      <c r="H13" s="1419"/>
      <c r="J13" s="1418">
        <v>100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4030</v>
      </c>
      <c r="D14" s="1298"/>
      <c r="E14" s="1298"/>
      <c r="F14" s="1299"/>
      <c r="G14" s="1418">
        <v>7500</v>
      </c>
      <c r="H14" s="1419"/>
      <c r="J14" s="1418">
        <v>7500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52600</v>
      </c>
      <c r="H17" s="1019"/>
      <c r="J17" s="1018">
        <f>SUM(J8:K16)</f>
        <v>52600</v>
      </c>
      <c r="K17" s="1066"/>
      <c r="L17" s="843"/>
      <c r="M17" s="1018">
        <f>SUM(M8:N16)</f>
        <v>0</v>
      </c>
      <c r="N17" s="1019"/>
      <c r="P17" s="1018">
        <f>SUM(P8:Q16)</f>
        <v>0</v>
      </c>
      <c r="Q17" s="1019"/>
      <c r="S17" s="1018">
        <f>SUM(S8:T16)</f>
        <v>0</v>
      </c>
      <c r="T17" s="1019"/>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1140000</v>
      </c>
      <c r="H19" s="1419"/>
      <c r="J19" s="515"/>
      <c r="K19" s="512"/>
      <c r="L19" s="515"/>
      <c r="M19" s="515"/>
      <c r="N19" s="512"/>
      <c r="P19" s="515"/>
      <c r="Q19" s="512"/>
      <c r="S19" s="1418">
        <v>1140000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1140000</v>
      </c>
      <c r="H23" s="1019"/>
      <c r="J23" s="515"/>
      <c r="K23" s="512"/>
      <c r="L23" s="515"/>
      <c r="M23" s="1018">
        <f>SUM(M21:N22)</f>
        <v>0</v>
      </c>
      <c r="N23" s="1019"/>
      <c r="P23" s="515"/>
      <c r="Q23" s="512"/>
      <c r="S23" s="1018">
        <f>SUM(S19:T22)</f>
        <v>1140000</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938764</v>
      </c>
      <c r="H25" s="1419"/>
      <c r="J25" s="1452">
        <v>710764</v>
      </c>
      <c r="K25" s="1453"/>
      <c r="L25" s="843"/>
      <c r="M25" s="1452"/>
      <c r="N25" s="1453"/>
      <c r="P25" s="1452"/>
      <c r="Q25" s="1453"/>
      <c r="S25" s="1418">
        <v>228000</v>
      </c>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938764</v>
      </c>
      <c r="H27" s="1019"/>
      <c r="J27" s="1018">
        <f>SUM(J25:K26)</f>
        <v>710764</v>
      </c>
      <c r="K27" s="1019"/>
      <c r="L27" s="515"/>
      <c r="M27" s="1018">
        <f>M25</f>
        <v>0</v>
      </c>
      <c r="N27" s="1019"/>
      <c r="P27" s="1018">
        <f>P25</f>
        <v>0</v>
      </c>
      <c r="Q27" s="1019"/>
      <c r="S27" s="1018">
        <f>SUM(S25:T26)</f>
        <v>228000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7113764</v>
      </c>
      <c r="H29" s="1419"/>
      <c r="J29" s="1418">
        <v>7113764</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7113764</v>
      </c>
      <c r="H32" s="1019"/>
      <c r="J32" s="1018">
        <f>SUM(J29:K31)</f>
        <v>7113764</v>
      </c>
      <c r="K32" s="1019"/>
      <c r="L32" s="843"/>
      <c r="M32" s="1018">
        <f>SUM(M29:N31)</f>
        <v>0</v>
      </c>
      <c r="N32" s="1019"/>
      <c r="P32" s="1018">
        <f>SUM(P29:Q31)</f>
        <v>0</v>
      </c>
      <c r="Q32" s="1019"/>
      <c r="S32" s="1018">
        <f>SUM(S29:T31)</f>
        <v>0</v>
      </c>
      <c r="T32" s="1019"/>
      <c r="V32" s="1454"/>
      <c r="W32" s="1455"/>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483151.68</v>
      </c>
      <c r="G34" s="1418">
        <v>483151</v>
      </c>
      <c r="H34" s="1419"/>
      <c r="I34" s="472"/>
      <c r="J34" s="1418">
        <v>483151</v>
      </c>
      <c r="K34" s="1419"/>
      <c r="L34" s="843"/>
      <c r="M34" s="1418"/>
      <c r="N34" s="1419"/>
      <c r="P34" s="1418"/>
      <c r="Q34" s="1419"/>
      <c r="S34" s="1418"/>
      <c r="T34" s="1419"/>
      <c r="V34" s="1448"/>
      <c r="W34" s="1449"/>
    </row>
    <row r="35" spans="1:23" s="449" customFormat="1" ht="12.6" customHeight="1" thickBot="1">
      <c r="B35" s="449" t="s">
        <v>2924</v>
      </c>
      <c r="E35" s="604">
        <f>'DCA Underwriting Assumptions'!$R$39+'DCA Underwriting Assumptions'!$R$40</f>
        <v>0.08</v>
      </c>
      <c r="F35" s="605">
        <f>E35*($G$27+$G$32)</f>
        <v>644202.23999999999</v>
      </c>
      <c r="G35" s="1418">
        <v>641321</v>
      </c>
      <c r="H35" s="1419"/>
      <c r="I35" s="472"/>
      <c r="J35" s="1418">
        <v>641321</v>
      </c>
      <c r="K35" s="1419"/>
      <c r="L35" s="843"/>
      <c r="M35" s="1418"/>
      <c r="N35" s="1419"/>
      <c r="P35" s="1418"/>
      <c r="Q35" s="1419"/>
      <c r="S35" s="1418"/>
      <c r="T35" s="1419"/>
      <c r="V35" s="1450"/>
      <c r="W35" s="1451"/>
    </row>
    <row r="36" spans="1:23" s="449" customFormat="1" ht="12.6" customHeight="1" thickTop="1">
      <c r="B36" s="449" t="s">
        <v>2925</v>
      </c>
      <c r="D36" s="520"/>
      <c r="E36" s="833"/>
      <c r="F36" s="606" t="s">
        <v>230</v>
      </c>
      <c r="G36" s="1018">
        <f>SUM(G34:H35)</f>
        <v>1124472</v>
      </c>
      <c r="H36" s="1019"/>
      <c r="J36" s="1018">
        <f>SUM(J34:K35)</f>
        <v>1124472</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80500</v>
      </c>
      <c r="E38" s="523"/>
      <c r="F38" s="524" t="s">
        <v>1974</v>
      </c>
      <c r="V38" s="1448"/>
      <c r="W38" s="1449"/>
    </row>
    <row r="39" spans="1:23" s="449" customFormat="1" ht="12.6" customHeight="1">
      <c r="B39" s="1062">
        <f>G27+G32+G36</f>
        <v>9177000</v>
      </c>
      <c r="C39" s="1063"/>
      <c r="D39" s="525">
        <f>B39/'Part VI-Revenues &amp; Expenses'!$M$100</f>
        <v>74.935084023320755</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0.05</v>
      </c>
      <c r="G42" s="1418">
        <v>458850</v>
      </c>
      <c r="H42" s="1419"/>
      <c r="I42" s="449"/>
      <c r="J42" s="1418">
        <v>458850</v>
      </c>
      <c r="K42" s="1419"/>
      <c r="L42" s="843"/>
      <c r="M42" s="1418"/>
      <c r="N42" s="1419"/>
      <c r="O42" s="449"/>
      <c r="P42" s="1418"/>
      <c r="Q42" s="1419"/>
      <c r="R42" s="449"/>
      <c r="S42" s="1418"/>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c r="H48" s="1419"/>
      <c r="J48" s="1418"/>
      <c r="K48" s="1419"/>
      <c r="L48" s="843"/>
      <c r="M48" s="1418"/>
      <c r="N48" s="1419"/>
      <c r="P48" s="1418"/>
      <c r="Q48" s="1419"/>
      <c r="S48" s="1418"/>
      <c r="T48" s="1419"/>
      <c r="V48" s="1448"/>
      <c r="W48" s="1449"/>
    </row>
    <row r="49" spans="1:23" s="449" customFormat="1" ht="12" customHeight="1">
      <c r="B49" s="449" t="s">
        <v>3272</v>
      </c>
      <c r="G49" s="1418">
        <v>225000</v>
      </c>
      <c r="H49" s="1419"/>
      <c r="J49" s="1418">
        <v>90000</v>
      </c>
      <c r="K49" s="1419"/>
      <c r="L49" s="843"/>
      <c r="M49" s="1418"/>
      <c r="N49" s="1419"/>
      <c r="P49" s="1418"/>
      <c r="Q49" s="1419"/>
      <c r="S49" s="1418">
        <v>135000</v>
      </c>
      <c r="T49" s="1419"/>
      <c r="V49" s="1450"/>
      <c r="W49" s="1451"/>
    </row>
    <row r="50" spans="1:23" s="449" customFormat="1" ht="12" customHeight="1">
      <c r="B50" s="449" t="s">
        <v>3273</v>
      </c>
      <c r="G50" s="1418">
        <v>80000</v>
      </c>
      <c r="H50" s="1419"/>
      <c r="J50" s="1418">
        <v>80000</v>
      </c>
      <c r="K50" s="1419"/>
      <c r="L50" s="843"/>
      <c r="M50" s="1418"/>
      <c r="N50" s="1419"/>
      <c r="P50" s="1418"/>
      <c r="Q50" s="1419"/>
      <c r="S50" s="1418"/>
      <c r="T50" s="1419"/>
      <c r="V50" s="1450"/>
      <c r="W50" s="1451"/>
    </row>
    <row r="51" spans="1:23" s="449" customFormat="1" ht="12" customHeight="1">
      <c r="B51" s="449" t="s">
        <v>3934</v>
      </c>
      <c r="G51" s="1418">
        <v>5135</v>
      </c>
      <c r="H51" s="1419"/>
      <c r="J51" s="1418">
        <v>5135</v>
      </c>
      <c r="K51" s="1419"/>
      <c r="L51" s="843"/>
      <c r="M51" s="1418"/>
      <c r="N51" s="1419"/>
      <c r="P51" s="1418"/>
      <c r="Q51" s="1419"/>
      <c r="S51" s="1418"/>
      <c r="T51" s="1419"/>
      <c r="V51" s="1450"/>
      <c r="W51" s="1451"/>
    </row>
    <row r="52" spans="1:23" s="449" customFormat="1" ht="12" customHeight="1">
      <c r="B52" s="449" t="s">
        <v>1004</v>
      </c>
      <c r="G52" s="1418">
        <v>3000</v>
      </c>
      <c r="H52" s="1419"/>
      <c r="J52" s="1418">
        <v>3000</v>
      </c>
      <c r="K52" s="1419"/>
      <c r="L52" s="843"/>
      <c r="M52" s="1418"/>
      <c r="N52" s="1419"/>
      <c r="P52" s="1418"/>
      <c r="Q52" s="1419"/>
      <c r="S52" s="1418"/>
      <c r="T52" s="1419"/>
      <c r="V52" s="1450"/>
      <c r="W52" s="1451"/>
    </row>
    <row r="53" spans="1:23" s="449" customFormat="1" ht="12" customHeight="1">
      <c r="B53" s="449" t="s">
        <v>3274</v>
      </c>
      <c r="G53" s="1418">
        <v>60000</v>
      </c>
      <c r="H53" s="1419"/>
      <c r="J53" s="1418">
        <v>60000</v>
      </c>
      <c r="K53" s="1419"/>
      <c r="L53" s="843"/>
      <c r="M53" s="1418"/>
      <c r="N53" s="1419"/>
      <c r="P53" s="1418"/>
      <c r="Q53" s="1419"/>
      <c r="S53" s="1418"/>
      <c r="T53" s="1419"/>
      <c r="V53" s="1450"/>
      <c r="W53" s="1451"/>
    </row>
    <row r="54" spans="1:23" s="449" customFormat="1" ht="12" customHeight="1">
      <c r="B54" s="449" t="s">
        <v>345</v>
      </c>
      <c r="G54" s="1418">
        <v>38000</v>
      </c>
      <c r="H54" s="1419"/>
      <c r="J54" s="1418">
        <v>10012</v>
      </c>
      <c r="K54" s="1419"/>
      <c r="L54" s="843"/>
      <c r="M54" s="1418"/>
      <c r="N54" s="1419"/>
      <c r="P54" s="1418"/>
      <c r="Q54" s="1419"/>
      <c r="S54" s="1418">
        <v>27988</v>
      </c>
      <c r="T54" s="1419"/>
      <c r="V54" s="1450"/>
      <c r="W54" s="1451"/>
    </row>
    <row r="55" spans="1:23" s="449" customFormat="1" ht="12" customHeight="1">
      <c r="B55" s="519" t="s">
        <v>1674</v>
      </c>
      <c r="D55" s="517"/>
      <c r="E55" s="517"/>
      <c r="F55" s="518"/>
      <c r="G55" s="1418">
        <v>78000</v>
      </c>
      <c r="H55" s="1419"/>
      <c r="I55" s="472"/>
      <c r="J55" s="1418">
        <v>78000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4028</v>
      </c>
      <c r="D56" s="1298"/>
      <c r="E56" s="1298"/>
      <c r="F56" s="1299"/>
      <c r="G56" s="1456">
        <v>4950</v>
      </c>
      <c r="H56" s="1457"/>
      <c r="J56" s="1456">
        <v>2950</v>
      </c>
      <c r="K56" s="1457"/>
      <c r="L56" s="843"/>
      <c r="M56" s="1456"/>
      <c r="N56" s="1457"/>
      <c r="P56" s="1456"/>
      <c r="Q56" s="1457"/>
      <c r="S56" s="1418">
        <v>2000</v>
      </c>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494085</v>
      </c>
      <c r="H57" s="1019"/>
      <c r="J57" s="1018">
        <f>SUM(J48:K56)</f>
        <v>329097</v>
      </c>
      <c r="K57" s="1019"/>
      <c r="L57" s="515"/>
      <c r="M57" s="1018">
        <f>SUM(M48:N56)</f>
        <v>0</v>
      </c>
      <c r="N57" s="1019"/>
      <c r="P57" s="1018">
        <f>SUM(P48:Q56)</f>
        <v>0</v>
      </c>
      <c r="Q57" s="1019"/>
      <c r="S57" s="1018">
        <f>SUM(S48:T56)</f>
        <v>164988</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223600</v>
      </c>
      <c r="H59" s="1419"/>
      <c r="J59" s="1418">
        <v>223600</v>
      </c>
      <c r="K59" s="1419"/>
      <c r="L59" s="843"/>
      <c r="M59" s="1418"/>
      <c r="N59" s="1419"/>
      <c r="P59" s="1418"/>
      <c r="Q59" s="1419"/>
      <c r="S59" s="1418"/>
      <c r="T59" s="1419"/>
      <c r="V59" s="1448"/>
      <c r="W59" s="1449"/>
    </row>
    <row r="60" spans="1:23" s="449" customFormat="1" ht="12" customHeight="1">
      <c r="B60" s="449" t="s">
        <v>663</v>
      </c>
      <c r="G60" s="1418">
        <v>55900</v>
      </c>
      <c r="H60" s="1419"/>
      <c r="J60" s="1418">
        <v>55900</v>
      </c>
      <c r="K60" s="1419"/>
      <c r="L60" s="843"/>
      <c r="M60" s="1418"/>
      <c r="N60" s="1419"/>
      <c r="P60" s="1418"/>
      <c r="Q60" s="1419"/>
      <c r="S60" s="1418"/>
      <c r="T60" s="1419"/>
      <c r="V60" s="1450"/>
      <c r="W60" s="1451"/>
    </row>
    <row r="61" spans="1:23" s="449" customFormat="1" ht="12" customHeight="1">
      <c r="B61" s="449" t="s">
        <v>1643</v>
      </c>
      <c r="G61" s="1418">
        <v>20000</v>
      </c>
      <c r="H61" s="1419"/>
      <c r="J61" s="1418">
        <v>20000</v>
      </c>
      <c r="K61" s="1419"/>
      <c r="L61" s="843"/>
      <c r="M61" s="1418"/>
      <c r="N61" s="1419"/>
      <c r="P61" s="1418"/>
      <c r="Q61" s="1419"/>
      <c r="S61" s="1418"/>
      <c r="T61" s="1419"/>
      <c r="V61" s="1450"/>
      <c r="W61" s="1451"/>
    </row>
    <row r="62" spans="1:23" s="449" customFormat="1" ht="12" customHeight="1">
      <c r="B62" s="449" t="s">
        <v>1644</v>
      </c>
      <c r="G62" s="1418">
        <v>11150</v>
      </c>
      <c r="H62" s="1419"/>
      <c r="J62" s="1418">
        <v>11150</v>
      </c>
      <c r="K62" s="1419"/>
      <c r="L62" s="843"/>
      <c r="M62" s="1418"/>
      <c r="N62" s="1419"/>
      <c r="P62" s="1418"/>
      <c r="Q62" s="1419"/>
      <c r="S62" s="1418"/>
      <c r="T62" s="1419"/>
      <c r="V62" s="1450"/>
      <c r="W62" s="1451"/>
    </row>
    <row r="63" spans="1:23" s="449" customFormat="1" ht="12" customHeight="1">
      <c r="B63" s="449" t="s">
        <v>1645</v>
      </c>
      <c r="G63" s="1418">
        <v>4800</v>
      </c>
      <c r="H63" s="1419"/>
      <c r="J63" s="1418">
        <v>4800</v>
      </c>
      <c r="K63" s="1419"/>
      <c r="L63" s="843"/>
      <c r="M63" s="1418"/>
      <c r="N63" s="1419"/>
      <c r="P63" s="1418"/>
      <c r="Q63" s="1419"/>
      <c r="S63" s="1418"/>
      <c r="T63" s="1419"/>
      <c r="V63" s="1450"/>
      <c r="W63" s="1451"/>
    </row>
    <row r="64" spans="1:23" s="449" customFormat="1" ht="12" customHeight="1">
      <c r="B64" s="449" t="s">
        <v>1646</v>
      </c>
      <c r="G64" s="1418">
        <v>40000</v>
      </c>
      <c r="H64" s="1419"/>
      <c r="J64" s="1418">
        <v>40000</v>
      </c>
      <c r="K64" s="1419"/>
      <c r="L64" s="843"/>
      <c r="M64" s="1418"/>
      <c r="N64" s="1419"/>
      <c r="P64" s="1418"/>
      <c r="Q64" s="1419"/>
      <c r="S64" s="1418"/>
      <c r="T64" s="1419"/>
      <c r="V64" s="1450"/>
      <c r="W64" s="1451"/>
    </row>
    <row r="65" spans="1:23" s="449" customFormat="1" ht="12" customHeight="1">
      <c r="B65" s="449" t="s">
        <v>664</v>
      </c>
      <c r="G65" s="1418">
        <v>63000</v>
      </c>
      <c r="H65" s="1419"/>
      <c r="J65" s="1418">
        <v>63000</v>
      </c>
      <c r="K65" s="1419"/>
      <c r="L65" s="843"/>
      <c r="M65" s="1418"/>
      <c r="N65" s="1419"/>
      <c r="P65" s="1418"/>
      <c r="Q65" s="1419"/>
      <c r="S65" s="1418"/>
      <c r="T65" s="1419"/>
      <c r="V65" s="1450"/>
      <c r="W65" s="1451"/>
    </row>
    <row r="66" spans="1:23" s="449" customFormat="1" ht="12" customHeight="1">
      <c r="B66" s="449" t="s">
        <v>665</v>
      </c>
      <c r="G66" s="1418">
        <v>5000</v>
      </c>
      <c r="H66" s="1419"/>
      <c r="J66" s="1418">
        <v>5000</v>
      </c>
      <c r="K66" s="1419"/>
      <c r="L66" s="843"/>
      <c r="M66" s="1418"/>
      <c r="N66" s="1419"/>
      <c r="P66" s="1418"/>
      <c r="Q66" s="1419"/>
      <c r="S66" s="1418"/>
      <c r="T66" s="1419"/>
      <c r="V66" s="1450"/>
      <c r="W66" s="1451"/>
    </row>
    <row r="67" spans="1:23" s="449" customFormat="1" ht="12" customHeight="1">
      <c r="B67" s="449" t="s">
        <v>2935</v>
      </c>
      <c r="G67" s="1418">
        <v>36300</v>
      </c>
      <c r="H67" s="1419"/>
      <c r="J67" s="1418">
        <v>21300</v>
      </c>
      <c r="K67" s="1419"/>
      <c r="L67" s="843"/>
      <c r="M67" s="1418"/>
      <c r="N67" s="1419"/>
      <c r="P67" s="1418"/>
      <c r="Q67" s="1419"/>
      <c r="S67" s="1418">
        <v>15000</v>
      </c>
      <c r="T67" s="1419"/>
      <c r="V67" s="1450"/>
      <c r="W67" s="1451"/>
    </row>
    <row r="68" spans="1:23" s="449" customFormat="1" ht="12" customHeight="1" thickBot="1">
      <c r="A68" s="548" t="str">
        <f>IF(AND(G68&gt;0,OR(C68="",C68="&lt;Enter detailed description here; use Comments section if needed&gt;")),"X","")</f>
        <v/>
      </c>
      <c r="B68" s="449" t="s">
        <v>1137</v>
      </c>
      <c r="C68" s="1298" t="s">
        <v>4029</v>
      </c>
      <c r="D68" s="1298"/>
      <c r="E68" s="1298"/>
      <c r="F68" s="1299"/>
      <c r="G68" s="1418">
        <v>27967</v>
      </c>
      <c r="H68" s="1419"/>
      <c r="J68" s="1418">
        <v>27967</v>
      </c>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487717</v>
      </c>
      <c r="H69" s="1019"/>
      <c r="J69" s="1018">
        <f>SUM(J59:K68)</f>
        <v>472717</v>
      </c>
      <c r="K69" s="1019"/>
      <c r="L69" s="515"/>
      <c r="M69" s="1018">
        <f>SUM(M59:N68)</f>
        <v>0</v>
      </c>
      <c r="N69" s="1019"/>
      <c r="P69" s="1018">
        <f>SUM(P59:Q68)</f>
        <v>0</v>
      </c>
      <c r="Q69" s="1019"/>
      <c r="S69" s="1018">
        <f>SUM(S59:T68)</f>
        <v>15000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66000</v>
      </c>
      <c r="H71" s="1419"/>
      <c r="J71" s="1418">
        <v>66000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3975</v>
      </c>
      <c r="G73" s="1418"/>
      <c r="H73" s="1419"/>
      <c r="I73" s="472"/>
      <c r="J73" s="1418"/>
      <c r="K73" s="1419"/>
      <c r="L73" s="843"/>
      <c r="M73" s="1418"/>
      <c r="N73" s="1419"/>
      <c r="P73" s="1418"/>
      <c r="Q73" s="1419"/>
      <c r="S73" s="1418"/>
      <c r="T73" s="1419"/>
      <c r="V73" s="1462"/>
      <c r="W73" s="1463"/>
    </row>
    <row r="74" spans="1:23" s="449" customFormat="1" ht="12" customHeight="1" thickBot="1">
      <c r="B74" s="449" t="s">
        <v>1828</v>
      </c>
      <c r="D74" s="529" t="s">
        <v>1975</v>
      </c>
      <c r="E74" s="1464" t="s">
        <v>3975</v>
      </c>
      <c r="G74" s="1418"/>
      <c r="H74" s="1419"/>
      <c r="I74" s="472"/>
      <c r="J74" s="1418"/>
      <c r="K74" s="1419"/>
      <c r="L74" s="843"/>
      <c r="M74" s="1418"/>
      <c r="N74" s="1419"/>
      <c r="P74" s="1418"/>
      <c r="Q74" s="1419"/>
      <c r="S74" s="1418"/>
      <c r="T74" s="1419"/>
      <c r="V74" s="1462"/>
      <c r="W74" s="1463"/>
    </row>
    <row r="75" spans="1:23" s="449" customFormat="1" ht="12" customHeight="1" thickTop="1">
      <c r="F75" s="513" t="s">
        <v>230</v>
      </c>
      <c r="G75" s="1018">
        <f>SUM(G71:H74)</f>
        <v>66000</v>
      </c>
      <c r="H75" s="1019"/>
      <c r="J75" s="1018">
        <f>SUM(J71:K74)</f>
        <v>66000</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142632</v>
      </c>
      <c r="H77" s="1419"/>
      <c r="J77" s="1026"/>
      <c r="K77" s="1026"/>
      <c r="L77" s="843"/>
      <c r="M77" s="1026"/>
      <c r="N77" s="1026"/>
      <c r="P77" s="1026"/>
      <c r="Q77" s="1026"/>
      <c r="S77" s="1418">
        <v>142632</v>
      </c>
      <c r="T77" s="1419"/>
      <c r="V77" s="1460"/>
      <c r="W77" s="1461"/>
    </row>
    <row r="78" spans="1:23" s="449" customFormat="1" ht="12" customHeight="1">
      <c r="B78" s="449" t="s">
        <v>1830</v>
      </c>
      <c r="G78" s="1418"/>
      <c r="H78" s="1419"/>
      <c r="J78" s="1010"/>
      <c r="K78" s="1010"/>
      <c r="L78" s="843"/>
      <c r="M78" s="1010"/>
      <c r="N78" s="1010"/>
      <c r="P78" s="1010"/>
      <c r="Q78" s="1010"/>
      <c r="S78" s="1418"/>
      <c r="T78" s="1419"/>
      <c r="V78" s="1462"/>
      <c r="W78" s="1463"/>
    </row>
    <row r="79" spans="1:23" s="449" customFormat="1" ht="12" customHeight="1">
      <c r="B79" s="449" t="s">
        <v>1831</v>
      </c>
      <c r="G79" s="1418">
        <v>45000</v>
      </c>
      <c r="H79" s="1419"/>
      <c r="J79" s="1418">
        <v>40000</v>
      </c>
      <c r="K79" s="1419"/>
      <c r="L79" s="843"/>
      <c r="M79" s="1418"/>
      <c r="N79" s="1419"/>
      <c r="P79" s="1418"/>
      <c r="Q79" s="1419"/>
      <c r="S79" s="1418">
        <v>5000</v>
      </c>
      <c r="T79" s="1419"/>
      <c r="V79" s="1462"/>
      <c r="W79" s="1463"/>
    </row>
    <row r="80" spans="1:23" s="449" customFormat="1" ht="12" customHeight="1">
      <c r="B80" s="449" t="s">
        <v>1832</v>
      </c>
      <c r="G80" s="1418">
        <v>5000</v>
      </c>
      <c r="H80" s="1419"/>
      <c r="J80" s="1418">
        <v>5000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4101</v>
      </c>
      <c r="D83" s="1298"/>
      <c r="E83" s="1298"/>
      <c r="F83" s="1299"/>
      <c r="G83" s="1418">
        <v>50341</v>
      </c>
      <c r="H83" s="1419"/>
      <c r="J83" s="1418"/>
      <c r="K83" s="1419"/>
      <c r="L83" s="843"/>
      <c r="M83" s="1418"/>
      <c r="N83" s="1419"/>
      <c r="P83" s="1418"/>
      <c r="Q83" s="1419"/>
      <c r="S83" s="1418">
        <v>50341</v>
      </c>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242973</v>
      </c>
      <c r="H84" s="1019"/>
      <c r="J84" s="1018">
        <f>SUM(J79:K83)</f>
        <v>45000</v>
      </c>
      <c r="K84" s="1019"/>
      <c r="L84" s="515"/>
      <c r="M84" s="1018">
        <f>SUM(M79:N83)</f>
        <v>0</v>
      </c>
      <c r="N84" s="1019"/>
      <c r="P84" s="1018">
        <f>SUM(P79:Q83)</f>
        <v>0</v>
      </c>
      <c r="Q84" s="1019"/>
      <c r="S84" s="1018">
        <f>SUM(S77:T83)</f>
        <v>197973</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5500</v>
      </c>
      <c r="H90" s="1419"/>
      <c r="J90" s="515"/>
      <c r="K90" s="515"/>
      <c r="L90" s="530"/>
      <c r="M90" s="515"/>
      <c r="N90" s="515"/>
      <c r="P90" s="515"/>
      <c r="Q90" s="515"/>
      <c r="S90" s="1418">
        <v>5500</v>
      </c>
      <c r="T90" s="1419"/>
      <c r="V90" s="1462"/>
      <c r="W90" s="1463"/>
    </row>
    <row r="91" spans="1:23" s="449" customFormat="1" ht="12.6" customHeight="1">
      <c r="B91" s="449" t="s">
        <v>3953</v>
      </c>
      <c r="G91" s="1418">
        <v>1000</v>
      </c>
      <c r="H91" s="1419"/>
      <c r="J91" s="515"/>
      <c r="K91" s="515"/>
      <c r="L91" s="530"/>
      <c r="M91" s="515"/>
      <c r="N91" s="515"/>
      <c r="O91" s="833"/>
      <c r="P91" s="515"/>
      <c r="Q91" s="515"/>
      <c r="S91" s="1418">
        <v>1000</v>
      </c>
      <c r="T91" s="1419"/>
      <c r="V91" s="1462"/>
      <c r="W91" s="1463"/>
    </row>
    <row r="92" spans="1:23" s="449" customFormat="1" ht="12.6" customHeight="1">
      <c r="B92" s="449" t="s">
        <v>754</v>
      </c>
      <c r="E92" s="1064">
        <f>'DCA Underwriting Assumptions'!$Q$41*$J$165</f>
        <v>58523.16</v>
      </c>
      <c r="F92" s="1065"/>
      <c r="G92" s="1418">
        <v>58523</v>
      </c>
      <c r="H92" s="1419"/>
      <c r="J92" s="515"/>
      <c r="K92" s="515"/>
      <c r="L92" s="843"/>
      <c r="M92" s="515"/>
      <c r="N92" s="515"/>
      <c r="O92" s="833"/>
      <c r="P92" s="515"/>
      <c r="Q92" s="515"/>
      <c r="S92" s="1418">
        <v>58523</v>
      </c>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91200</v>
      </c>
      <c r="F93" s="1065"/>
      <c r="G93" s="1418">
        <v>91200</v>
      </c>
      <c r="H93" s="1419"/>
      <c r="J93" s="416"/>
      <c r="K93" s="416"/>
      <c r="L93" s="416"/>
      <c r="M93" s="416"/>
      <c r="N93" s="416"/>
      <c r="O93" s="416"/>
      <c r="P93" s="416"/>
      <c r="Q93" s="416"/>
      <c r="S93" s="1418">
        <v>91200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159223</v>
      </c>
      <c r="H98" s="1019"/>
      <c r="J98" s="515"/>
      <c r="K98" s="515"/>
      <c r="L98" s="843"/>
      <c r="M98" s="515"/>
      <c r="N98" s="515"/>
      <c r="P98" s="515"/>
      <c r="Q98" s="515"/>
      <c r="S98" s="1018">
        <f>SUM(S89:T97)</f>
        <v>159223</v>
      </c>
      <c r="T98" s="1019"/>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c r="H100" s="1419"/>
      <c r="J100" s="1026"/>
      <c r="K100" s="1026"/>
      <c r="L100" s="843"/>
      <c r="M100" s="1026"/>
      <c r="N100" s="1026"/>
      <c r="O100" s="833"/>
      <c r="P100" s="1026"/>
      <c r="Q100" s="1026"/>
      <c r="S100" s="1418"/>
      <c r="T100" s="1419"/>
      <c r="V100" s="1460"/>
      <c r="W100" s="1461"/>
    </row>
    <row r="101" spans="1:23" s="449" customFormat="1" ht="12.6" customHeight="1">
      <c r="B101" s="449" t="s">
        <v>346</v>
      </c>
      <c r="G101" s="1418">
        <v>20000</v>
      </c>
      <c r="H101" s="1419"/>
      <c r="J101" s="1026"/>
      <c r="K101" s="1026"/>
      <c r="L101" s="843"/>
      <c r="M101" s="1026"/>
      <c r="N101" s="1026"/>
      <c r="O101" s="833"/>
      <c r="P101" s="1026"/>
      <c r="Q101" s="1026"/>
      <c r="S101" s="1418">
        <v>20000</v>
      </c>
      <c r="T101" s="1419"/>
      <c r="V101" s="1462"/>
      <c r="W101" s="1463"/>
    </row>
    <row r="102" spans="1:23" s="449" customFormat="1" ht="12.6" customHeight="1">
      <c r="B102" s="449" t="s">
        <v>3359</v>
      </c>
      <c r="G102" s="1418">
        <v>50000</v>
      </c>
      <c r="H102" s="1419"/>
      <c r="J102" s="1026"/>
      <c r="K102" s="1026"/>
      <c r="L102" s="843"/>
      <c r="M102" s="1026"/>
      <c r="N102" s="1026"/>
      <c r="O102" s="833"/>
      <c r="P102" s="1026"/>
      <c r="Q102" s="1026"/>
      <c r="S102" s="1418">
        <v>50000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70000</v>
      </c>
      <c r="H104" s="1019"/>
      <c r="J104" s="1026"/>
      <c r="K104" s="1026"/>
      <c r="L104" s="843"/>
      <c r="M104" s="1026"/>
      <c r="N104" s="1026"/>
      <c r="O104" s="833"/>
      <c r="P104" s="1026"/>
      <c r="Q104" s="1026"/>
      <c r="S104" s="1018">
        <f>SUM(S100:T103)</f>
        <v>70000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v>
      </c>
      <c r="G106" s="1418">
        <v>356200</v>
      </c>
      <c r="H106" s="1419"/>
      <c r="J106" s="1418">
        <v>356200</v>
      </c>
      <c r="K106" s="1419"/>
      <c r="L106" s="514"/>
      <c r="M106" s="1418"/>
      <c r="N106" s="1419"/>
      <c r="P106" s="1418"/>
      <c r="Q106" s="1419"/>
      <c r="S106" s="1418"/>
      <c r="T106" s="1419"/>
      <c r="V106" s="1460"/>
      <c r="W106" s="1461"/>
    </row>
    <row r="107" spans="1:23" s="449" customFormat="1" ht="12.6" customHeight="1">
      <c r="B107" s="449" t="s">
        <v>2733</v>
      </c>
      <c r="F107" s="624">
        <f>G107/$G$109</f>
        <v>0.14317798989331837</v>
      </c>
      <c r="G107" s="1418">
        <v>255000</v>
      </c>
      <c r="H107" s="1419"/>
      <c r="J107" s="1418">
        <v>255000</v>
      </c>
      <c r="K107" s="1419"/>
      <c r="L107" s="843"/>
      <c r="M107" s="1418"/>
      <c r="N107" s="1419"/>
      <c r="P107" s="1418"/>
      <c r="Q107" s="1419"/>
      <c r="S107" s="1418"/>
      <c r="T107" s="1419"/>
      <c r="V107" s="1462"/>
      <c r="W107" s="1463"/>
    </row>
    <row r="108" spans="1:23" s="449" customFormat="1" ht="12.6" customHeight="1" thickBot="1">
      <c r="B108" s="449" t="s">
        <v>2725</v>
      </c>
      <c r="F108" s="624">
        <f>G108/$G$109</f>
        <v>0.65682201010668162</v>
      </c>
      <c r="G108" s="1418">
        <v>1169800</v>
      </c>
      <c r="H108" s="1419"/>
      <c r="J108" s="1418">
        <v>1169800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1781000</v>
      </c>
      <c r="H109" s="1019"/>
      <c r="J109" s="1018">
        <f>SUM(J106:K108)</f>
        <v>1781000</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20000</v>
      </c>
      <c r="H111" s="1419"/>
      <c r="J111" s="531"/>
      <c r="K111" s="531"/>
      <c r="L111" s="531"/>
      <c r="M111" s="531"/>
      <c r="N111" s="531"/>
      <c r="P111" s="531"/>
      <c r="Q111" s="531"/>
      <c r="S111" s="1418">
        <v>20000</v>
      </c>
      <c r="T111" s="1419"/>
      <c r="V111" s="1460"/>
      <c r="W111" s="1461"/>
    </row>
    <row r="112" spans="1:23" s="449" customFormat="1" ht="12.6" customHeight="1">
      <c r="B112" s="449" t="s">
        <v>2137</v>
      </c>
      <c r="G112" s="1418">
        <v>125410</v>
      </c>
      <c r="H112" s="1419"/>
      <c r="J112" s="1026"/>
      <c r="K112" s="1026"/>
      <c r="L112" s="843"/>
      <c r="M112" s="1026"/>
      <c r="N112" s="1026"/>
      <c r="O112" s="833"/>
      <c r="P112" s="1026"/>
      <c r="Q112" s="1026"/>
      <c r="R112" s="833"/>
      <c r="S112" s="1418">
        <v>125410</v>
      </c>
      <c r="T112" s="1419"/>
      <c r="V112" s="1462"/>
      <c r="W112" s="1463"/>
    </row>
    <row r="113" spans="1:23" s="449" customFormat="1" ht="12.6" customHeight="1">
      <c r="B113" s="449" t="s">
        <v>948</v>
      </c>
      <c r="F113" s="472"/>
      <c r="G113" s="1418">
        <v>400618</v>
      </c>
      <c r="H113" s="1419"/>
      <c r="J113" s="530"/>
      <c r="K113" s="530"/>
      <c r="L113" s="530"/>
      <c r="M113" s="530"/>
      <c r="N113" s="530"/>
      <c r="O113" s="833"/>
      <c r="P113" s="530"/>
      <c r="Q113" s="530"/>
      <c r="R113" s="833"/>
      <c r="S113" s="1418">
        <v>400618</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1096.4912280701753</v>
      </c>
      <c r="G115" s="1418">
        <v>125000</v>
      </c>
      <c r="H115" s="1419"/>
      <c r="J115" s="1418">
        <v>125000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671028</v>
      </c>
      <c r="H117" s="1019"/>
      <c r="J117" s="1018">
        <f>SUM(J115:K116)</f>
        <v>125000</v>
      </c>
      <c r="K117" s="1019"/>
      <c r="L117" s="843"/>
      <c r="M117" s="1018">
        <f>SUM(M115:N116)</f>
        <v>0</v>
      </c>
      <c r="N117" s="1019"/>
      <c r="P117" s="1018">
        <f>SUM(P115:Q116)</f>
        <v>0</v>
      </c>
      <c r="Q117" s="1019"/>
      <c r="S117" s="1018">
        <f>SUM(S111:T116)</f>
        <v>546028</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14800476</v>
      </c>
      <c r="H123" s="1023"/>
      <c r="J123" s="1022">
        <f>J17+J23+J27+J32+J36+J42+J57+J69+J75+J84+J98+J104+J109+J117+J121</f>
        <v>12279264</v>
      </c>
      <c r="K123" s="1023"/>
      <c r="M123" s="1022">
        <f>M17+M23+M27+M32+M36+M42+M57+M69+M75+M84+M98+M104+M109+M117+M121</f>
        <v>0</v>
      </c>
      <c r="N123" s="1023"/>
      <c r="P123" s="1022">
        <f>P17+P23+P27+P32+P36+P42+P57+P69+P75+P84+P98+P104+P109+P117+P121</f>
        <v>0</v>
      </c>
      <c r="Q123" s="1023"/>
      <c r="S123" s="1022">
        <f>S17+S23+S27+S32+S36+S42+S57+S69+S75+S84+S98+S104+S109+S117+S121</f>
        <v>2521212</v>
      </c>
      <c r="T123" s="1023"/>
      <c r="V123" s="1465"/>
      <c r="W123" s="1466"/>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18856206</v>
      </c>
      <c r="E125" s="1021"/>
      <c r="F125" s="452" t="s">
        <v>957</v>
      </c>
      <c r="G125" s="1024">
        <f>G123/'Part VI-Revenues &amp; Expenses'!$M$62</f>
        <v>129828.73684210527</v>
      </c>
      <c r="H125" s="1025"/>
      <c r="I125" s="533"/>
      <c r="J125" s="456" t="s">
        <v>958</v>
      </c>
      <c r="M125" s="1024">
        <f>G123/'Part VI-Revenues &amp; Expenses'!$M$100</f>
        <v>120.85375532800941</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2930</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c r="K131" s="1468"/>
      <c r="P131" s="1467"/>
      <c r="Q131" s="1468"/>
      <c r="V131" s="1460"/>
      <c r="W131" s="1461"/>
    </row>
    <row r="132" spans="2:23" s="449" customFormat="1" ht="13.9" customHeight="1">
      <c r="B132" s="833" t="s">
        <v>3045</v>
      </c>
      <c r="D132" s="833"/>
      <c r="E132" s="833"/>
      <c r="F132" s="833"/>
      <c r="G132" s="833"/>
      <c r="H132" s="833"/>
      <c r="I132" s="535"/>
      <c r="J132" s="1467"/>
      <c r="K132" s="1468"/>
      <c r="P132" s="1467"/>
      <c r="Q132" s="1468"/>
      <c r="V132" s="1462"/>
      <c r="W132" s="1463"/>
    </row>
    <row r="133" spans="2:23" s="449" customFormat="1" ht="13.9" customHeight="1">
      <c r="B133" s="833" t="s">
        <v>2735</v>
      </c>
      <c r="D133" s="833"/>
      <c r="E133" s="833"/>
      <c r="I133" s="535"/>
      <c r="J133" s="1467"/>
      <c r="K133" s="1468"/>
      <c r="P133" s="1467"/>
      <c r="Q133" s="1468"/>
      <c r="V133" s="1462"/>
      <c r="W133" s="1463"/>
    </row>
    <row r="134" spans="2:23" s="449" customFormat="1" ht="13.9" customHeight="1">
      <c r="B134" s="833" t="s">
        <v>2736</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2737</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12279264</v>
      </c>
      <c r="K140" s="1056"/>
      <c r="M140" s="1058">
        <f>M123</f>
        <v>0</v>
      </c>
      <c r="N140" s="1059"/>
      <c r="P140" s="1055">
        <f>P123</f>
        <v>0</v>
      </c>
      <c r="Q140" s="1056"/>
      <c r="V140" s="1460"/>
      <c r="W140" s="1461"/>
    </row>
    <row r="141" spans="2:23" s="449" customFormat="1" ht="13.9" customHeight="1">
      <c r="B141" s="449" t="s">
        <v>3128</v>
      </c>
      <c r="J141" s="1042">
        <f>J137</f>
        <v>0</v>
      </c>
      <c r="K141" s="1049"/>
      <c r="M141" s="1043"/>
      <c r="N141" s="1043"/>
      <c r="P141" s="1042">
        <f>P137</f>
        <v>0</v>
      </c>
      <c r="Q141" s="1049"/>
      <c r="V141" s="1462"/>
      <c r="W141" s="1463"/>
    </row>
    <row r="142" spans="2:23" s="449" customFormat="1" ht="13.9" customHeight="1">
      <c r="B142" s="449" t="s">
        <v>3129</v>
      </c>
      <c r="J142" s="1042">
        <f>J140-J141</f>
        <v>12279264</v>
      </c>
      <c r="K142" s="1049"/>
      <c r="M142" s="1042">
        <f>M140</f>
        <v>0</v>
      </c>
      <c r="N142" s="1049"/>
      <c r="P142" s="1042">
        <f>P140-P141</f>
        <v>0</v>
      </c>
      <c r="Q142" s="1049"/>
      <c r="V142" s="1462"/>
      <c r="W142" s="1463"/>
    </row>
    <row r="143" spans="2:23" s="449" customFormat="1" ht="13.9" customHeight="1">
      <c r="B143" s="449" t="s">
        <v>2080</v>
      </c>
      <c r="G143" s="828" t="s">
        <v>2563</v>
      </c>
      <c r="H143" s="1286" t="s">
        <v>2626</v>
      </c>
      <c r="I143" s="1287"/>
      <c r="J143" s="1469">
        <v>1</v>
      </c>
      <c r="K143" s="1470"/>
      <c r="M143" s="1054"/>
      <c r="N143" s="1054"/>
      <c r="P143" s="1469"/>
      <c r="Q143" s="1470"/>
      <c r="V143" s="1462"/>
      <c r="W143" s="1463"/>
    </row>
    <row r="144" spans="2:23" s="449" customFormat="1" ht="13.9" customHeight="1">
      <c r="B144" s="449" t="s">
        <v>2943</v>
      </c>
      <c r="J144" s="1042">
        <f>J142*J143</f>
        <v>12279264</v>
      </c>
      <c r="K144" s="1049"/>
      <c r="M144" s="1042">
        <f>+M142</f>
        <v>0</v>
      </c>
      <c r="N144" s="1049"/>
      <c r="P144" s="1042">
        <f>P142*P143</f>
        <v>0</v>
      </c>
      <c r="Q144" s="1049"/>
      <c r="V144" s="1462"/>
      <c r="W144" s="1463"/>
    </row>
    <row r="145" spans="1:23" s="449" customFormat="1" ht="13.9" customHeight="1">
      <c r="B145" s="449" t="s">
        <v>3566</v>
      </c>
      <c r="J145" s="1050">
        <f>MIN('Part VI-Revenues &amp; Expenses'!$M$58/'Part VI-Revenues &amp; Expenses'!$M$60,'Part VI-Revenues &amp; Expenses'!$M$96/'Part VI-Revenues &amp; Expenses'!$M$98)</f>
        <v>0.79646017699115046</v>
      </c>
      <c r="K145" s="1051"/>
      <c r="M145" s="1050">
        <f>MIN('Part VI-Revenues &amp; Expenses'!$M$58/'Part VI-Revenues &amp; Expenses'!$M$60,'Part VI-Revenues &amp; Expenses'!$M$96/'Part VI-Revenues &amp; Expenses'!$M$98)</f>
        <v>0.79646017699115046</v>
      </c>
      <c r="N145" s="1051"/>
      <c r="P145" s="1050">
        <f>MIN('Part VI-Revenues &amp; Expenses'!$M$58/'Part VI-Revenues &amp; Expenses'!$M$60,'Part VI-Revenues &amp; Expenses'!$M$96/'Part VI-Revenues &amp; Expenses'!$M$98)</f>
        <v>0.79646017699115046</v>
      </c>
      <c r="Q145" s="1051"/>
      <c r="V145" s="1462"/>
      <c r="W145" s="1463"/>
    </row>
    <row r="146" spans="1:23" s="449" customFormat="1" ht="13.9" customHeight="1">
      <c r="B146" s="449" t="s">
        <v>2931</v>
      </c>
      <c r="J146" s="1042">
        <f>J144*J145</f>
        <v>9779944.7787610628</v>
      </c>
      <c r="K146" s="1049"/>
      <c r="M146" s="1042">
        <f>M144*M145</f>
        <v>0</v>
      </c>
      <c r="N146" s="1049"/>
      <c r="P146" s="1042">
        <f>P144*P145</f>
        <v>0</v>
      </c>
      <c r="Q146" s="1049"/>
      <c r="V146" s="1462"/>
      <c r="W146" s="1463"/>
    </row>
    <row r="147" spans="1:23" s="449" customFormat="1" ht="13.9" customHeight="1">
      <c r="B147" s="449" t="s">
        <v>2932</v>
      </c>
      <c r="J147" s="1469">
        <v>7.4800000000000005E-2</v>
      </c>
      <c r="K147" s="1470"/>
      <c r="M147" s="1469"/>
      <c r="N147" s="1470"/>
      <c r="P147" s="1469"/>
      <c r="Q147" s="1470"/>
      <c r="V147" s="1462"/>
      <c r="W147" s="1463"/>
    </row>
    <row r="148" spans="1:23" s="449" customFormat="1" ht="13.9" customHeight="1" thickBot="1">
      <c r="B148" s="449" t="s">
        <v>3567</v>
      </c>
      <c r="J148" s="1052">
        <f>J146*J147</f>
        <v>731539.8694513276</v>
      </c>
      <c r="K148" s="1053"/>
      <c r="M148" s="1052">
        <f>M146*M147</f>
        <v>0</v>
      </c>
      <c r="N148" s="1053"/>
      <c r="P148" s="1052">
        <f>P146*P147</f>
        <v>0</v>
      </c>
      <c r="Q148" s="1053"/>
      <c r="V148" s="1462"/>
      <c r="W148" s="1463"/>
    </row>
    <row r="149" spans="1:23" s="449" customFormat="1" ht="13.9" customHeight="1" thickBot="1">
      <c r="B149" s="452" t="s">
        <v>2004</v>
      </c>
      <c r="J149" s="965">
        <f>J148+M148+P148</f>
        <v>731539.8694513276</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14800476</v>
      </c>
      <c r="K152" s="1034"/>
      <c r="L152" s="1034"/>
      <c r="M152" s="1039" t="s">
        <v>3957</v>
      </c>
      <c r="N152" s="1040"/>
      <c r="O152" s="1040"/>
      <c r="P152" s="1040"/>
      <c r="Q152" s="1040"/>
      <c r="R152" s="1041"/>
      <c r="S152" s="1029"/>
      <c r="T152" s="1030"/>
      <c r="V152" s="1460"/>
      <c r="W152" s="1461"/>
    </row>
    <row r="153" spans="1:23" s="449" customFormat="1" ht="13.9" customHeight="1">
      <c r="B153" s="449" t="s">
        <v>2491</v>
      </c>
      <c r="J153" s="1471">
        <v>14800476</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5593400</v>
      </c>
      <c r="K154" s="1043"/>
      <c r="L154" s="1043"/>
      <c r="M154" s="1039"/>
      <c r="N154" s="1040"/>
      <c r="O154" s="1040"/>
      <c r="P154" s="1040"/>
      <c r="Q154" s="1040"/>
      <c r="R154" s="1041"/>
      <c r="S154" s="648"/>
      <c r="T154" s="651" t="s">
        <v>322</v>
      </c>
      <c r="V154" s="1462"/>
      <c r="W154" s="1463"/>
    </row>
    <row r="155" spans="1:23" s="449" customFormat="1" ht="13.9" customHeight="1">
      <c r="B155" s="449" t="s">
        <v>3141</v>
      </c>
      <c r="J155" s="1042">
        <f>+J153-J154</f>
        <v>9207076</v>
      </c>
      <c r="K155" s="1043"/>
      <c r="L155" s="1043"/>
      <c r="M155" s="1047" t="s">
        <v>3887</v>
      </c>
      <c r="N155" s="1473"/>
      <c r="O155" s="1473"/>
      <c r="P155" s="1473"/>
      <c r="Q155" s="1473"/>
      <c r="R155" s="1474"/>
      <c r="S155" s="649" t="s">
        <v>2493</v>
      </c>
      <c r="T155" s="1475" t="s">
        <v>3983</v>
      </c>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t="s">
        <v>3983</v>
      </c>
      <c r="V156" s="1462"/>
      <c r="W156" s="1463"/>
    </row>
    <row r="157" spans="1:23" s="449" customFormat="1" ht="13.9" customHeight="1">
      <c r="B157" s="449" t="s">
        <v>1854</v>
      </c>
      <c r="J157" s="1042">
        <f>J155/10</f>
        <v>920707.6</v>
      </c>
      <c r="K157" s="1043"/>
      <c r="L157" s="1049"/>
      <c r="M157" s="472"/>
      <c r="N157" s="896" t="s">
        <v>1855</v>
      </c>
      <c r="O157" s="896"/>
      <c r="Q157" s="896" t="s">
        <v>2655</v>
      </c>
      <c r="R157" s="896"/>
      <c r="V157" s="1462"/>
      <c r="W157" s="1463"/>
    </row>
    <row r="158" spans="1:23" s="449" customFormat="1" ht="13.9" customHeight="1" thickBot="1">
      <c r="B158" s="449" t="s">
        <v>2079</v>
      </c>
      <c r="J158" s="1031">
        <f>N158+Q158</f>
        <v>1.2000000000000002</v>
      </c>
      <c r="K158" s="1032"/>
      <c r="L158" s="1033"/>
      <c r="M158" s="828" t="s">
        <v>1856</v>
      </c>
      <c r="N158" s="1477">
        <v>0.93</v>
      </c>
      <c r="O158" s="1478"/>
      <c r="P158" s="828" t="s">
        <v>868</v>
      </c>
      <c r="Q158" s="1477">
        <v>0.27</v>
      </c>
      <c r="R158" s="1478"/>
      <c r="V158" s="1462"/>
      <c r="W158" s="1463"/>
    </row>
    <row r="159" spans="1:23" s="449" customFormat="1" ht="13.9" customHeight="1" thickBot="1">
      <c r="B159" s="452" t="s">
        <v>2005</v>
      </c>
      <c r="J159" s="965">
        <f>IF(J158=0,"",J157/J158)</f>
        <v>767256.33333333326</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731539.8694513276</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731539.5</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2648</v>
      </c>
      <c r="B165" s="685" t="s">
        <v>3670</v>
      </c>
      <c r="D165" s="472"/>
      <c r="E165" s="472"/>
      <c r="F165" s="455"/>
      <c r="J165" s="1011">
        <f>IF(J163="",0,+MIN(J161,J163))</f>
        <v>731539.5</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4107</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A10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2012-008 Savannah Gardens Phase IV, Savannah, Chatham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South</v>
      </c>
    </row>
    <row r="4" spans="1:20" s="9" customFormat="1"/>
    <row r="5" spans="1:20" s="9" customFormat="1">
      <c r="A5" s="16" t="s">
        <v>873</v>
      </c>
      <c r="B5" s="16" t="s">
        <v>3136</v>
      </c>
      <c r="F5" s="9" t="s">
        <v>3532</v>
      </c>
      <c r="I5" s="1487" t="s">
        <v>1793</v>
      </c>
      <c r="J5" s="1488"/>
      <c r="K5" s="1488"/>
      <c r="L5" s="1488"/>
      <c r="M5" s="1489"/>
    </row>
    <row r="6" spans="1:20" s="9" customFormat="1" ht="13.15" customHeight="1">
      <c r="A6" s="16"/>
      <c r="F6" s="9" t="s">
        <v>895</v>
      </c>
      <c r="H6" s="31"/>
      <c r="I6" s="1490">
        <v>41061</v>
      </c>
      <c r="J6" s="1491"/>
      <c r="K6" s="74" t="s">
        <v>776</v>
      </c>
      <c r="L6" s="1492" t="s">
        <v>4024</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3" t="s">
        <v>4025</v>
      </c>
      <c r="E10" s="1494"/>
      <c r="F10" s="1495" t="s">
        <v>612</v>
      </c>
      <c r="G10" s="1495"/>
      <c r="H10" s="343"/>
      <c r="I10" s="1496"/>
      <c r="J10" s="1496">
        <v>2</v>
      </c>
      <c r="K10" s="1496">
        <v>2</v>
      </c>
      <c r="L10" s="1496">
        <v>3</v>
      </c>
      <c r="M10" s="1496"/>
    </row>
    <row r="11" spans="1:20" s="9" customFormat="1">
      <c r="B11" s="344" t="s">
        <v>644</v>
      </c>
      <c r="C11" s="345"/>
      <c r="D11" s="344" t="s">
        <v>2204</v>
      </c>
      <c r="E11" s="345"/>
      <c r="F11" s="1497" t="s">
        <v>612</v>
      </c>
      <c r="G11" s="1497"/>
      <c r="H11" s="346"/>
      <c r="I11" s="1498"/>
      <c r="J11" s="1498">
        <v>11</v>
      </c>
      <c r="K11" s="1498">
        <v>13</v>
      </c>
      <c r="L11" s="1499">
        <v>16</v>
      </c>
      <c r="M11" s="1499"/>
    </row>
    <row r="12" spans="1:20" s="9" customFormat="1">
      <c r="B12" s="344" t="s">
        <v>2205</v>
      </c>
      <c r="C12" s="345"/>
      <c r="D12" s="1500" t="s">
        <v>2204</v>
      </c>
      <c r="E12" s="1501"/>
      <c r="F12" s="1497" t="s">
        <v>612</v>
      </c>
      <c r="G12" s="1497"/>
      <c r="H12" s="346"/>
      <c r="I12" s="1498"/>
      <c r="J12" s="1498">
        <v>6</v>
      </c>
      <c r="K12" s="1498">
        <v>6</v>
      </c>
      <c r="L12" s="1499">
        <v>7</v>
      </c>
      <c r="M12" s="1499"/>
    </row>
    <row r="13" spans="1:20" s="9" customFormat="1">
      <c r="B13" s="344" t="s">
        <v>2206</v>
      </c>
      <c r="C13" s="345"/>
      <c r="D13" s="1500" t="s">
        <v>2204</v>
      </c>
      <c r="E13" s="1501"/>
      <c r="F13" s="1497" t="s">
        <v>612</v>
      </c>
      <c r="G13" s="1497"/>
      <c r="H13" s="346"/>
      <c r="I13" s="1498"/>
      <c r="J13" s="1498">
        <v>24</v>
      </c>
      <c r="K13" s="1498">
        <v>28</v>
      </c>
      <c r="L13" s="1499">
        <v>35</v>
      </c>
      <c r="M13" s="1499"/>
    </row>
    <row r="14" spans="1:20" s="9" customFormat="1">
      <c r="B14" s="344" t="s">
        <v>2207</v>
      </c>
      <c r="C14" s="345"/>
      <c r="D14" s="344" t="s">
        <v>2204</v>
      </c>
      <c r="E14" s="347"/>
      <c r="F14" s="1497" t="s">
        <v>612</v>
      </c>
      <c r="G14" s="1497"/>
      <c r="H14" s="346"/>
      <c r="I14" s="1498"/>
      <c r="J14" s="1498">
        <v>31</v>
      </c>
      <c r="K14" s="1498">
        <v>35</v>
      </c>
      <c r="L14" s="1499">
        <v>41</v>
      </c>
      <c r="M14" s="1499"/>
    </row>
    <row r="15" spans="1:20" s="9" customFormat="1">
      <c r="B15" s="344" t="s">
        <v>1938</v>
      </c>
      <c r="C15" s="345"/>
      <c r="D15" s="344" t="s">
        <v>3135</v>
      </c>
      <c r="E15" s="1502" t="s">
        <v>3983</v>
      </c>
      <c r="F15" s="1497" t="s">
        <v>612</v>
      </c>
      <c r="G15" s="1497"/>
      <c r="H15" s="346"/>
      <c r="I15" s="1498"/>
      <c r="J15" s="1498">
        <v>33</v>
      </c>
      <c r="K15" s="1498">
        <v>41</v>
      </c>
      <c r="L15" s="1499">
        <v>55</v>
      </c>
      <c r="M15" s="1499"/>
    </row>
    <row r="16" spans="1:20" s="9" customFormat="1">
      <c r="B16" s="348" t="s">
        <v>2723</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107</v>
      </c>
      <c r="K17" s="847">
        <f>SUM(K10:K16)</f>
        <v>125</v>
      </c>
      <c r="L17" s="847">
        <f>SUM(L10:L16)</f>
        <v>157</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2723</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4100</v>
      </c>
      <c r="C36" s="1507"/>
      <c r="D36" s="1507"/>
      <c r="E36" s="1507"/>
      <c r="F36" s="1507"/>
      <c r="G36" s="1507"/>
      <c r="H36" s="1507"/>
      <c r="I36" s="1507"/>
      <c r="J36" s="1507"/>
      <c r="K36" s="1507"/>
      <c r="L36" s="1507"/>
      <c r="M36" s="150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password="A10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2012-06-11T18:40:14Z</cp:lastPrinted>
  <dcterms:created xsi:type="dcterms:W3CDTF">2005-09-15T20:51:37Z</dcterms:created>
  <dcterms:modified xsi:type="dcterms:W3CDTF">2012-07-31T14:18:32Z</dcterms:modified>
</cp:coreProperties>
</file>