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75" windowWidth="16875" windowHeight="892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10" i="36"/>
  <c r="L10" s="1"/>
  <c r="G98" i="15"/>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O274"/>
  <c r="O269"/>
  <c r="O267"/>
  <c r="O265"/>
  <c r="A2" i="39"/>
  <c r="I211" i="11"/>
  <c r="L169"/>
  <c r="B100" i="8"/>
  <c r="C100" s="1"/>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M291"/>
  <c r="M6" s="1"/>
  <c r="L277"/>
  <c r="A265"/>
  <c r="P246"/>
  <c r="P242" s="1"/>
  <c r="O246"/>
  <c r="L233"/>
  <c r="K221"/>
  <c r="O218" s="1"/>
  <c r="O242"/>
  <c r="L211"/>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62" s="1"/>
  <c r="A92" s="1"/>
  <c r="A31"/>
  <c r="A61" s="1"/>
  <c r="A91" s="1"/>
  <c r="M32" i="3"/>
  <c r="K83" i="8" s="1"/>
  <c r="B83"/>
  <c r="H83"/>
  <c r="K53"/>
  <c r="I83"/>
  <c r="Q18" i="36"/>
  <c r="Q19"/>
  <c r="Q20"/>
  <c r="Q21"/>
  <c r="Q22"/>
  <c r="Q23"/>
  <c r="Q24"/>
  <c r="Q25"/>
  <c r="Q26"/>
  <c r="Q27"/>
  <c r="Q28"/>
  <c r="Q29"/>
  <c r="Q30"/>
  <c r="Q31"/>
  <c r="Q32"/>
  <c r="Q33"/>
  <c r="Q34"/>
  <c r="Q35"/>
  <c r="Q36"/>
  <c r="Q37"/>
  <c r="Q38"/>
  <c r="Q39"/>
  <c r="Q40"/>
  <c r="Q41"/>
  <c r="Q42"/>
  <c r="Q43"/>
  <c r="Q44"/>
  <c r="Q45"/>
  <c r="Q46"/>
  <c r="Q47"/>
  <c r="J43" i="6"/>
  <c r="H23" i="8"/>
  <c r="H49" i="3"/>
  <c r="J154" i="15" s="1"/>
  <c r="J155" s="1"/>
  <c r="J157" s="1"/>
  <c r="J159" s="1"/>
  <c r="O41"/>
  <c r="M17"/>
  <c r="A104" i="11"/>
  <c r="O90"/>
  <c r="O8"/>
  <c r="O132"/>
  <c r="O161"/>
  <c r="O254"/>
  <c r="L254" s="1"/>
  <c r="G109" i="15"/>
  <c r="D37" i="3" s="1"/>
  <c r="J25" i="7"/>
  <c r="I17" i="29"/>
  <c r="J117" i="15"/>
  <c r="J17"/>
  <c r="J123" s="1"/>
  <c r="J140" s="1"/>
  <c r="J142" s="1"/>
  <c r="J144" s="1"/>
  <c r="J27"/>
  <c r="J32"/>
  <c r="J36"/>
  <c r="J57"/>
  <c r="J69"/>
  <c r="J75"/>
  <c r="J84"/>
  <c r="J109"/>
  <c r="J121"/>
  <c r="J137"/>
  <c r="J141"/>
  <c r="V10" i="36"/>
  <c r="V47"/>
  <c r="V18"/>
  <c r="AA10"/>
  <c r="AA47"/>
  <c r="AA18"/>
  <c r="W10"/>
  <c r="W47"/>
  <c r="W18"/>
  <c r="AB10"/>
  <c r="AB47"/>
  <c r="AB18"/>
  <c r="X10"/>
  <c r="X12"/>
  <c r="X13"/>
  <c r="X47"/>
  <c r="X18"/>
  <c r="AC10"/>
  <c r="AC47"/>
  <c r="AC18"/>
  <c r="Y10"/>
  <c r="Y47"/>
  <c r="Y18"/>
  <c r="AD10"/>
  <c r="AD47"/>
  <c r="AD18"/>
  <c r="Z10"/>
  <c r="Z47"/>
  <c r="Z18"/>
  <c r="AE10"/>
  <c r="AE47"/>
  <c r="AE18"/>
  <c r="AK10"/>
  <c r="AK47"/>
  <c r="AK18"/>
  <c r="AL10"/>
  <c r="AL48" s="1"/>
  <c r="I59" s="1"/>
  <c r="AL47"/>
  <c r="AL18"/>
  <c r="AM10"/>
  <c r="AM47"/>
  <c r="AM18"/>
  <c r="AN10"/>
  <c r="AN47"/>
  <c r="AN18"/>
  <c r="AO10"/>
  <c r="AO48" s="1"/>
  <c r="L59" s="1"/>
  <c r="AO47"/>
  <c r="AO18"/>
  <c r="BY10"/>
  <c r="BY47"/>
  <c r="BY18"/>
  <c r="CD10"/>
  <c r="CD47"/>
  <c r="CD18"/>
  <c r="BZ10"/>
  <c r="BZ47"/>
  <c r="BZ18"/>
  <c r="CE10"/>
  <c r="CE47"/>
  <c r="CE18"/>
  <c r="CA10"/>
  <c r="CA48" s="1"/>
  <c r="J94" s="1"/>
  <c r="CA47"/>
  <c r="CA18"/>
  <c r="CF10"/>
  <c r="CF47"/>
  <c r="CF18"/>
  <c r="CB10"/>
  <c r="CB47"/>
  <c r="CB18"/>
  <c r="CG10"/>
  <c r="CG47"/>
  <c r="CG18"/>
  <c r="CC10"/>
  <c r="CC47"/>
  <c r="CC18"/>
  <c r="CH10"/>
  <c r="CH47"/>
  <c r="CH18"/>
  <c r="CN10"/>
  <c r="CN47"/>
  <c r="CN18"/>
  <c r="CO10"/>
  <c r="CO47"/>
  <c r="CO18"/>
  <c r="CP10"/>
  <c r="CP48" s="1"/>
  <c r="J97" s="1"/>
  <c r="CP47"/>
  <c r="CP18"/>
  <c r="CQ10"/>
  <c r="CQ47"/>
  <c r="CQ18"/>
  <c r="CR10"/>
  <c r="CR47"/>
  <c r="CR18"/>
  <c r="M117" i="15"/>
  <c r="M23"/>
  <c r="M27"/>
  <c r="M32"/>
  <c r="M123" s="1"/>
  <c r="M140" s="1"/>
  <c r="M142" s="1"/>
  <c r="M144" s="1"/>
  <c r="M36"/>
  <c r="M57"/>
  <c r="M69"/>
  <c r="M75"/>
  <c r="M84"/>
  <c r="M109"/>
  <c r="M121"/>
  <c r="P117"/>
  <c r="P17"/>
  <c r="P27"/>
  <c r="P32"/>
  <c r="P123" s="1"/>
  <c r="P140" s="1"/>
  <c r="P142" s="1"/>
  <c r="P144" s="1"/>
  <c r="P36"/>
  <c r="P57"/>
  <c r="P69"/>
  <c r="P75"/>
  <c r="P84"/>
  <c r="P109"/>
  <c r="P121"/>
  <c r="P137"/>
  <c r="P14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48" s="1"/>
  <c r="I56" s="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48" s="1"/>
  <c r="K57" s="1"/>
  <c r="AD17"/>
  <c r="AD19"/>
  <c r="AD20"/>
  <c r="AD21"/>
  <c r="AD22"/>
  <c r="AD23"/>
  <c r="AD24"/>
  <c r="AD25"/>
  <c r="AD26"/>
  <c r="AD27"/>
  <c r="AD28"/>
  <c r="AD29"/>
  <c r="AD30"/>
  <c r="AD31"/>
  <c r="AD32"/>
  <c r="AD33"/>
  <c r="AD34"/>
  <c r="AD35"/>
  <c r="AD36"/>
  <c r="AD37"/>
  <c r="AD38"/>
  <c r="AD39"/>
  <c r="AD40"/>
  <c r="AD41"/>
  <c r="AD42"/>
  <c r="AD43"/>
  <c r="AD44"/>
  <c r="AD45"/>
  <c r="AD46"/>
  <c r="Z11"/>
  <c r="Z12"/>
  <c r="Z48" s="1"/>
  <c r="L56" s="1"/>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48" s="1"/>
  <c r="H59" s="1"/>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48" s="1"/>
  <c r="H95" s="1"/>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48" s="1"/>
  <c r="I94" s="1"/>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48" s="1"/>
  <c r="I95" s="1"/>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48" s="1"/>
  <c r="J95" s="1"/>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48" s="1"/>
  <c r="K94" s="1"/>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48" s="1"/>
  <c r="L94" s="1"/>
  <c r="CC17"/>
  <c r="CC19"/>
  <c r="CC20"/>
  <c r="CC21"/>
  <c r="CC22"/>
  <c r="CC23"/>
  <c r="CC24"/>
  <c r="CC25"/>
  <c r="CC26"/>
  <c r="CC27"/>
  <c r="CC28"/>
  <c r="CC29"/>
  <c r="CC30"/>
  <c r="CC31"/>
  <c r="CC32"/>
  <c r="CC33"/>
  <c r="CC34"/>
  <c r="CC35"/>
  <c r="CC36"/>
  <c r="CC37"/>
  <c r="CC38"/>
  <c r="CC39"/>
  <c r="CC40"/>
  <c r="CC41"/>
  <c r="CC42"/>
  <c r="CC43"/>
  <c r="CC44"/>
  <c r="CC45"/>
  <c r="CC46"/>
  <c r="CH11"/>
  <c r="CH12"/>
  <c r="CH48" s="1"/>
  <c r="L95" s="1"/>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48" s="1"/>
  <c r="H97" s="1"/>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48" s="1"/>
  <c r="I97" s="1"/>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48" s="1"/>
  <c r="K97" s="1"/>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48" s="1"/>
  <c r="L97" s="1"/>
  <c r="CR13"/>
  <c r="CR14"/>
  <c r="CR15"/>
  <c r="CR16"/>
  <c r="CR17"/>
  <c r="CR19"/>
  <c r="CR20"/>
  <c r="CR21"/>
  <c r="CR22"/>
  <c r="CR23"/>
  <c r="CR24"/>
  <c r="CR25"/>
  <c r="CR26"/>
  <c r="CR27"/>
  <c r="CR28"/>
  <c r="CR29"/>
  <c r="CR30"/>
  <c r="CR31"/>
  <c r="CR32"/>
  <c r="CR33"/>
  <c r="CR34"/>
  <c r="CR35"/>
  <c r="CR36"/>
  <c r="CR37"/>
  <c r="CR38"/>
  <c r="CR39"/>
  <c r="CR40"/>
  <c r="CR41"/>
  <c r="CR42"/>
  <c r="CR43"/>
  <c r="CR44"/>
  <c r="CR45"/>
  <c r="CR46"/>
  <c r="BP10"/>
  <c r="BP48" s="1"/>
  <c r="I68" s="1"/>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123" s="1"/>
  <c r="G27"/>
  <c r="G32"/>
  <c r="G36"/>
  <c r="G57"/>
  <c r="G69"/>
  <c r="G75"/>
  <c r="G84"/>
  <c r="G104"/>
  <c r="G121"/>
  <c r="BT10" i="36"/>
  <c r="BT11"/>
  <c r="BT48" s="1"/>
  <c r="H61" s="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48" s="1"/>
  <c r="L61" s="1"/>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I48" s="1"/>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R48" s="1"/>
  <c r="AS11"/>
  <c r="AT11"/>
  <c r="AU11"/>
  <c r="AV11"/>
  <c r="AW11"/>
  <c r="AX11"/>
  <c r="AY11"/>
  <c r="AZ11"/>
  <c r="AZ48" s="1"/>
  <c r="H64" s="1"/>
  <c r="BA11"/>
  <c r="BB11"/>
  <c r="BC11"/>
  <c r="BD11"/>
  <c r="AP12"/>
  <c r="AQ12"/>
  <c r="AR12"/>
  <c r="AS12"/>
  <c r="AT12"/>
  <c r="AU12"/>
  <c r="AV12"/>
  <c r="AW12"/>
  <c r="AX12"/>
  <c r="AY12"/>
  <c r="AZ12"/>
  <c r="BA12"/>
  <c r="BB12"/>
  <c r="BB13"/>
  <c r="BC12"/>
  <c r="BD12"/>
  <c r="AP13"/>
  <c r="AQ13"/>
  <c r="AR13"/>
  <c r="AS13"/>
  <c r="AT13"/>
  <c r="AU13"/>
  <c r="AV13"/>
  <c r="AW13"/>
  <c r="AX13"/>
  <c r="AY13"/>
  <c r="AZ13"/>
  <c r="BA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AP48" s="1"/>
  <c r="F107" i="15"/>
  <c r="F106"/>
  <c r="J158"/>
  <c r="E34"/>
  <c r="E35"/>
  <c r="F35" s="1"/>
  <c r="S36"/>
  <c r="S17"/>
  <c r="S123" s="1"/>
  <c r="S23"/>
  <c r="S27"/>
  <c r="S32"/>
  <c r="S57"/>
  <c r="S69"/>
  <c r="S75"/>
  <c r="S84"/>
  <c r="S98"/>
  <c r="S104"/>
  <c r="S109"/>
  <c r="S117"/>
  <c r="S121"/>
  <c r="CX10" i="36"/>
  <c r="CX11"/>
  <c r="CX12"/>
  <c r="CX13"/>
  <c r="CX14"/>
  <c r="CX48" s="1"/>
  <c r="H99" s="1"/>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48" s="1"/>
  <c r="I99" s="1"/>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48" s="1"/>
  <c r="K99" s="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56"/>
  <c r="A86" s="1"/>
  <c r="A55"/>
  <c r="A85"/>
  <c r="A54"/>
  <c r="A84" s="1"/>
  <c r="A53"/>
  <c r="A83"/>
  <c r="L182" i="11"/>
  <c r="R163"/>
  <c r="R162"/>
  <c r="L228"/>
  <c r="G133"/>
  <c r="M37" i="3"/>
  <c r="B28" i="8"/>
  <c r="M36" i="3"/>
  <c r="M35"/>
  <c r="E86" i="8" s="1"/>
  <c r="M34" i="3"/>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c r="B41" i="26"/>
  <c r="K136" i="36"/>
  <c r="F78" i="8" s="1"/>
  <c r="B42" i="26"/>
  <c r="L136" i="36"/>
  <c r="G78" i="8"/>
  <c r="B43" i="26"/>
  <c r="M136" i="36"/>
  <c r="H78" i="8" s="1"/>
  <c r="B44" i="26"/>
  <c r="N136" i="36"/>
  <c r="I78" i="8"/>
  <c r="B45" i="26"/>
  <c r="O136" i="36"/>
  <c r="J78" i="8" s="1"/>
  <c r="B46" i="26"/>
  <c r="P136" i="36"/>
  <c r="K78" i="8" s="1"/>
  <c r="B37" i="26"/>
  <c r="G136" i="36"/>
  <c r="B78" i="8" s="1"/>
  <c r="B28" i="26"/>
  <c r="H126" i="36"/>
  <c r="C48" i="8" s="1"/>
  <c r="B29" i="26"/>
  <c r="I126" i="36"/>
  <c r="D48" i="8" s="1"/>
  <c r="B30" i="26"/>
  <c r="J126" i="36"/>
  <c r="E48" i="8"/>
  <c r="B31" i="26"/>
  <c r="K126" i="36"/>
  <c r="F48" i="8" s="1"/>
  <c r="B32" i="26"/>
  <c r="L126" i="36"/>
  <c r="G48" i="8" s="1"/>
  <c r="B33" i="26"/>
  <c r="M126" i="36"/>
  <c r="H48" i="8" s="1"/>
  <c r="B34" i="26"/>
  <c r="N126" i="36"/>
  <c r="I48" i="8" s="1"/>
  <c r="B35" i="26"/>
  <c r="O126" i="36"/>
  <c r="J48" i="8" s="1"/>
  <c r="B36" i="26"/>
  <c r="P126" i="36"/>
  <c r="K48" i="8"/>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I12"/>
  <c r="GI13"/>
  <c r="GJ11"/>
  <c r="GK11"/>
  <c r="GL11"/>
  <c r="GM11"/>
  <c r="GN11"/>
  <c r="FU12"/>
  <c r="FV12"/>
  <c r="FW12"/>
  <c r="FX12"/>
  <c r="FY12"/>
  <c r="FZ12"/>
  <c r="GA12"/>
  <c r="GB12"/>
  <c r="GC12"/>
  <c r="GD12"/>
  <c r="GE12"/>
  <c r="GF12"/>
  <c r="GG12"/>
  <c r="GH12"/>
  <c r="GJ12"/>
  <c r="GK12"/>
  <c r="GL12"/>
  <c r="GM12"/>
  <c r="GN12"/>
  <c r="FU13"/>
  <c r="FV13"/>
  <c r="FW13"/>
  <c r="FX13"/>
  <c r="FY13"/>
  <c r="FZ13"/>
  <c r="GA13"/>
  <c r="GB13"/>
  <c r="GC13"/>
  <c r="GD13"/>
  <c r="GE13"/>
  <c r="GF13"/>
  <c r="GG13"/>
  <c r="GH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29" i="8"/>
  <c r="C29"/>
  <c r="G29"/>
  <c r="F46" i="7"/>
  <c r="K29" i="8"/>
  <c r="I29"/>
  <c r="C109" i="15"/>
  <c r="B29" i="8"/>
  <c r="J29"/>
  <c r="H29"/>
  <c r="F29"/>
  <c r="D29"/>
  <c r="Y48" i="36"/>
  <c r="K56" s="1"/>
  <c r="K84" i="8"/>
  <c r="I84"/>
  <c r="G84"/>
  <c r="E84"/>
  <c r="C84"/>
  <c r="K54"/>
  <c r="I54"/>
  <c r="G54"/>
  <c r="E54"/>
  <c r="C54"/>
  <c r="K24"/>
  <c r="I24"/>
  <c r="G24"/>
  <c r="E24"/>
  <c r="C24"/>
  <c r="J84"/>
  <c r="H84"/>
  <c r="F84"/>
  <c r="D84"/>
  <c r="B84"/>
  <c r="J54"/>
  <c r="H54"/>
  <c r="F54"/>
  <c r="D54"/>
  <c r="B54"/>
  <c r="J24"/>
  <c r="H24"/>
  <c r="F24"/>
  <c r="D24"/>
  <c r="B24"/>
  <c r="G86"/>
  <c r="K26"/>
  <c r="D86"/>
  <c r="H26"/>
  <c r="B18"/>
  <c r="K18"/>
  <c r="J18"/>
  <c r="H18"/>
  <c r="G18"/>
  <c r="F18"/>
  <c r="D18"/>
  <c r="C18"/>
  <c r="K85"/>
  <c r="I85"/>
  <c r="G85"/>
  <c r="E85"/>
  <c r="C85"/>
  <c r="K55"/>
  <c r="I55"/>
  <c r="G55"/>
  <c r="E55"/>
  <c r="C55"/>
  <c r="K25"/>
  <c r="I25"/>
  <c r="G25"/>
  <c r="E25"/>
  <c r="C25"/>
  <c r="J85"/>
  <c r="H85"/>
  <c r="F85"/>
  <c r="D85"/>
  <c r="B85"/>
  <c r="J55"/>
  <c r="H55"/>
  <c r="F55"/>
  <c r="D55"/>
  <c r="B55"/>
  <c r="J25"/>
  <c r="H25"/>
  <c r="F25"/>
  <c r="D25"/>
  <c r="B25"/>
  <c r="F108" i="15"/>
  <c r="AT48" i="36"/>
  <c r="A1" i="34"/>
  <c r="A3" i="39"/>
  <c r="BK48" i="36"/>
  <c r="I69" s="1"/>
  <c r="BV48"/>
  <c r="J61" s="1"/>
  <c r="D23" i="8"/>
  <c r="F23"/>
  <c r="J23"/>
  <c r="E23"/>
  <c r="G23"/>
  <c r="I23"/>
  <c r="K23"/>
  <c r="B59"/>
  <c r="C59"/>
  <c r="D59"/>
  <c r="E59"/>
  <c r="F59"/>
  <c r="G59"/>
  <c r="H59"/>
  <c r="I59"/>
  <c r="J59"/>
  <c r="K59"/>
  <c r="B89"/>
  <c r="C89"/>
  <c r="D89"/>
  <c r="E89"/>
  <c r="F89"/>
  <c r="G89"/>
  <c r="H89"/>
  <c r="I89"/>
  <c r="J89"/>
  <c r="K89"/>
  <c r="A1" i="11"/>
  <c r="A1" i="18"/>
  <c r="A1" i="15"/>
  <c r="V1" s="1"/>
  <c r="A1" i="8"/>
  <c r="M1" s="1"/>
  <c r="A1" i="6"/>
  <c r="A58" i="26"/>
  <c r="G58"/>
  <c r="A1" i="25"/>
  <c r="I3" i="29"/>
  <c r="A1" i="7"/>
  <c r="A1" i="36"/>
  <c r="T1" s="1"/>
  <c r="A1" i="3"/>
  <c r="S1" s="1"/>
  <c r="A50" i="25"/>
  <c r="A1" i="29"/>
  <c r="A1" i="26"/>
  <c r="A3" i="37"/>
  <c r="A3" i="38"/>
  <c r="I26" i="7"/>
  <c r="CG48" i="36"/>
  <c r="K95" s="1"/>
  <c r="N6"/>
  <c r="P6"/>
  <c r="Q10" s="1"/>
  <c r="E33" i="15" l="1"/>
  <c r="F34"/>
  <c r="B41" i="8"/>
  <c r="C70"/>
  <c r="D70" s="1"/>
  <c r="H50" i="3"/>
  <c r="O42" s="1"/>
  <c r="I213" i="11"/>
  <c r="I214" s="1"/>
  <c r="O201" s="1"/>
  <c r="B56" i="8"/>
  <c r="K86"/>
  <c r="CZ48" i="36"/>
  <c r="J99" s="1"/>
  <c r="M99" s="1"/>
  <c r="D56" i="8"/>
  <c r="J86"/>
  <c r="G56"/>
  <c r="C53"/>
  <c r="J26"/>
  <c r="C56"/>
  <c r="F56"/>
  <c r="C26"/>
  <c r="I56"/>
  <c r="GG48" i="36"/>
  <c r="J87" s="1"/>
  <c r="F43" i="7"/>
  <c r="H86" i="8"/>
  <c r="H94" s="1"/>
  <c r="E56"/>
  <c r="E26"/>
  <c r="H32"/>
  <c r="C28"/>
  <c r="D28" s="1"/>
  <c r="E28" s="1"/>
  <c r="D32"/>
  <c r="E18"/>
  <c r="I18"/>
  <c r="D26"/>
  <c r="J56"/>
  <c r="G26"/>
  <c r="C86"/>
  <c r="DB48" i="36"/>
  <c r="L99" s="1"/>
  <c r="D53" i="8"/>
  <c r="F86"/>
  <c r="I86"/>
  <c r="L26" i="3"/>
  <c r="L27" s="1"/>
  <c r="B26" i="8"/>
  <c r="H56"/>
  <c r="K56"/>
  <c r="F26"/>
  <c r="B86"/>
  <c r="I26"/>
  <c r="B39" i="15"/>
  <c r="Q11" i="36"/>
  <c r="Q16"/>
  <c r="Q14"/>
  <c r="Q17"/>
  <c r="Q15"/>
  <c r="FT48"/>
  <c r="L90" s="1"/>
  <c r="FD48"/>
  <c r="K89" s="1"/>
  <c r="GF48"/>
  <c r="I87" s="1"/>
  <c r="GH48"/>
  <c r="K87" s="1"/>
  <c r="FJ48"/>
  <c r="L92" s="1"/>
  <c r="FB48"/>
  <c r="I89" s="1"/>
  <c r="EZ48"/>
  <c r="EX48"/>
  <c r="CW48"/>
  <c r="GL48"/>
  <c r="J88" s="1"/>
  <c r="GD48"/>
  <c r="L86" s="1"/>
  <c r="FZ48"/>
  <c r="H86" s="1"/>
  <c r="FV48"/>
  <c r="I85" s="1"/>
  <c r="I84" s="1"/>
  <c r="BO48"/>
  <c r="H68" s="1"/>
  <c r="M68" s="1"/>
  <c r="Q68" s="1"/>
  <c r="AV48"/>
  <c r="I65" s="1"/>
  <c r="DZ48"/>
  <c r="K76" s="1"/>
  <c r="ES48"/>
  <c r="GI48"/>
  <c r="L87" s="1"/>
  <c r="GE48"/>
  <c r="H87" s="1"/>
  <c r="FH48"/>
  <c r="J92" s="1"/>
  <c r="FG48"/>
  <c r="I92" s="1"/>
  <c r="FF48"/>
  <c r="H92" s="1"/>
  <c r="FN48"/>
  <c r="K91" s="1"/>
  <c r="FL48"/>
  <c r="I91" s="1"/>
  <c r="FQ48"/>
  <c r="I90" s="1"/>
  <c r="FE48"/>
  <c r="L89" s="1"/>
  <c r="EY48"/>
  <c r="CL48"/>
  <c r="AF48"/>
  <c r="HC48"/>
  <c r="HB48"/>
  <c r="HA48"/>
  <c r="GZ48"/>
  <c r="GY48"/>
  <c r="HH48"/>
  <c r="HG48"/>
  <c r="HF48"/>
  <c r="HE48"/>
  <c r="HD48"/>
  <c r="HM48"/>
  <c r="HL48"/>
  <c r="HK48"/>
  <c r="HJ48"/>
  <c r="HI48"/>
  <c r="GS48"/>
  <c r="GR48"/>
  <c r="GQ48"/>
  <c r="GP48"/>
  <c r="GO48"/>
  <c r="GV48"/>
  <c r="GU48"/>
  <c r="GT48"/>
  <c r="EA48"/>
  <c r="L76" s="1"/>
  <c r="DV48"/>
  <c r="L75" s="1"/>
  <c r="ED48"/>
  <c r="DY48"/>
  <c r="J76" s="1"/>
  <c r="DT48"/>
  <c r="J75" s="1"/>
  <c r="EC48"/>
  <c r="DX48"/>
  <c r="I76" s="1"/>
  <c r="DS48"/>
  <c r="I75" s="1"/>
  <c r="EB48"/>
  <c r="DW48"/>
  <c r="H76" s="1"/>
  <c r="DR48"/>
  <c r="H75" s="1"/>
  <c r="EU48"/>
  <c r="EP48"/>
  <c r="L79" s="1"/>
  <c r="EK48"/>
  <c r="L78" s="1"/>
  <c r="ET48"/>
  <c r="EO48"/>
  <c r="K79" s="1"/>
  <c r="EJ48"/>
  <c r="K78" s="1"/>
  <c r="EN48"/>
  <c r="J79" s="1"/>
  <c r="EI48"/>
  <c r="J78" s="1"/>
  <c r="ER48"/>
  <c r="EM48"/>
  <c r="I79" s="1"/>
  <c r="EH48"/>
  <c r="I78" s="1"/>
  <c r="EQ48"/>
  <c r="H80" s="1"/>
  <c r="EL48"/>
  <c r="H79" s="1"/>
  <c r="EG48"/>
  <c r="H78" s="1"/>
  <c r="BJ48"/>
  <c r="H69" s="1"/>
  <c r="M69" s="1"/>
  <c r="Q69" s="1"/>
  <c r="BM48"/>
  <c r="K69" s="1"/>
  <c r="BY48"/>
  <c r="H94" s="1"/>
  <c r="H96" s="1"/>
  <c r="AB48"/>
  <c r="I57" s="1"/>
  <c r="DM48"/>
  <c r="DH48"/>
  <c r="H73" s="1"/>
  <c r="H74" s="1"/>
  <c r="DC48"/>
  <c r="H72" s="1"/>
  <c r="FR48"/>
  <c r="J90" s="1"/>
  <c r="FP48"/>
  <c r="H90" s="1"/>
  <c r="EV48"/>
  <c r="GK48"/>
  <c r="I88" s="1"/>
  <c r="FY48"/>
  <c r="L85" s="1"/>
  <c r="FW48"/>
  <c r="J85" s="1"/>
  <c r="GN48"/>
  <c r="L88" s="1"/>
  <c r="L84" s="1"/>
  <c r="GJ48"/>
  <c r="H88" s="1"/>
  <c r="GB48"/>
  <c r="J86" s="1"/>
  <c r="FO48"/>
  <c r="L91" s="1"/>
  <c r="FC48"/>
  <c r="J89" s="1"/>
  <c r="FA48"/>
  <c r="H89" s="1"/>
  <c r="CV48"/>
  <c r="BW48"/>
  <c r="K61" s="1"/>
  <c r="BU48"/>
  <c r="I61" s="1"/>
  <c r="GC48"/>
  <c r="K86" s="1"/>
  <c r="DQ48"/>
  <c r="DL48"/>
  <c r="L73" s="1"/>
  <c r="DG48"/>
  <c r="L72" s="1"/>
  <c r="DP48"/>
  <c r="DK48"/>
  <c r="K73" s="1"/>
  <c r="DF48"/>
  <c r="K72" s="1"/>
  <c r="DO48"/>
  <c r="DJ48"/>
  <c r="J73" s="1"/>
  <c r="DE48"/>
  <c r="J72" s="1"/>
  <c r="DN48"/>
  <c r="DI48"/>
  <c r="I73" s="1"/>
  <c r="DD48"/>
  <c r="I72" s="1"/>
  <c r="CI48"/>
  <c r="AI48"/>
  <c r="AH48"/>
  <c r="AQ48"/>
  <c r="BN48"/>
  <c r="L69" s="1"/>
  <c r="L70" s="1"/>
  <c r="BL48"/>
  <c r="J69" s="1"/>
  <c r="BS48"/>
  <c r="L68" s="1"/>
  <c r="BR48"/>
  <c r="K68" s="1"/>
  <c r="K70" s="1"/>
  <c r="BQ48"/>
  <c r="J68" s="1"/>
  <c r="AN48"/>
  <c r="K59" s="1"/>
  <c r="AE48"/>
  <c r="L57" s="1"/>
  <c r="L58" s="1"/>
  <c r="L60" s="1"/>
  <c r="L62" s="1"/>
  <c r="AC48"/>
  <c r="J57" s="1"/>
  <c r="AA48"/>
  <c r="H57" s="1"/>
  <c r="GA48"/>
  <c r="I86" s="1"/>
  <c r="GM48"/>
  <c r="K88" s="1"/>
  <c r="FU48"/>
  <c r="H85" s="1"/>
  <c r="FM48"/>
  <c r="J91" s="1"/>
  <c r="FK48"/>
  <c r="H91" s="1"/>
  <c r="FS48"/>
  <c r="K90" s="1"/>
  <c r="EW48"/>
  <c r="CK48"/>
  <c r="AJ48"/>
  <c r="AG48"/>
  <c r="GX48"/>
  <c r="GW48"/>
  <c r="EF48"/>
  <c r="EE48"/>
  <c r="DU48"/>
  <c r="K75" s="1"/>
  <c r="FI48"/>
  <c r="K92" s="1"/>
  <c r="CJ48"/>
  <c r="CT48"/>
  <c r="BC48"/>
  <c r="K64" s="1"/>
  <c r="BA48"/>
  <c r="I64" s="1"/>
  <c r="AY48"/>
  <c r="L65" s="1"/>
  <c r="AS48"/>
  <c r="BH48"/>
  <c r="BF48"/>
  <c r="FX48"/>
  <c r="K85" s="1"/>
  <c r="CM48"/>
  <c r="CS48"/>
  <c r="BD48"/>
  <c r="L64" s="1"/>
  <c r="AX48"/>
  <c r="K65" s="1"/>
  <c r="AM48"/>
  <c r="J59" s="1"/>
  <c r="V48"/>
  <c r="H56" s="1"/>
  <c r="BG48"/>
  <c r="BE48"/>
  <c r="X48"/>
  <c r="J56" s="1"/>
  <c r="K58"/>
  <c r="K60" s="1"/>
  <c r="K62" s="1"/>
  <c r="AW48"/>
  <c r="J65" s="1"/>
  <c r="M65" s="1"/>
  <c r="Q65" s="1"/>
  <c r="AU48"/>
  <c r="H65" s="1"/>
  <c r="H66" s="1"/>
  <c r="Q12"/>
  <c r="H93" i="8"/>
  <c r="L278" i="11"/>
  <c r="L214"/>
  <c r="B92" i="8"/>
  <c r="D33"/>
  <c r="K33"/>
  <c r="P264" i="11"/>
  <c r="O273"/>
  <c r="O263" s="1"/>
  <c r="P218"/>
  <c r="CU48" i="36"/>
  <c r="BB48"/>
  <c r="J64" s="1"/>
  <c r="I66"/>
  <c r="D100" i="8"/>
  <c r="Q13" i="36"/>
  <c r="I34" i="8"/>
  <c r="J34"/>
  <c r="G34"/>
  <c r="K32"/>
  <c r="J32"/>
  <c r="H92"/>
  <c r="O264" i="11"/>
  <c r="P273"/>
  <c r="C40" i="8"/>
  <c r="E33"/>
  <c r="I33"/>
  <c r="K34"/>
  <c r="E32"/>
  <c r="B93"/>
  <c r="I32"/>
  <c r="I96" i="36"/>
  <c r="I98" s="1"/>
  <c r="I100" s="1"/>
  <c r="J96"/>
  <c r="J98" s="1"/>
  <c r="K96"/>
  <c r="K98" s="1"/>
  <c r="K100" s="1"/>
  <c r="L96"/>
  <c r="L98" s="1"/>
  <c r="L100" s="1"/>
  <c r="M97"/>
  <c r="M95"/>
  <c r="Q95" s="1"/>
  <c r="I70"/>
  <c r="I58"/>
  <c r="H33" i="8"/>
  <c r="L48" i="36"/>
  <c r="L49" s="1"/>
  <c r="A48"/>
  <c r="A7" s="1"/>
  <c r="E83" i="8"/>
  <c r="G53"/>
  <c r="C23"/>
  <c r="D83"/>
  <c r="D94" s="1"/>
  <c r="H53"/>
  <c r="B23"/>
  <c r="I93"/>
  <c r="K63"/>
  <c r="G33"/>
  <c r="I94"/>
  <c r="K64"/>
  <c r="H34"/>
  <c r="K62"/>
  <c r="I92"/>
  <c r="G32"/>
  <c r="J33"/>
  <c r="F33"/>
  <c r="B33"/>
  <c r="R218" i="11"/>
  <c r="O41" i="3"/>
  <c r="O43" s="1"/>
  <c r="K94" i="8"/>
  <c r="K92"/>
  <c r="K93"/>
  <c r="F32"/>
  <c r="G83"/>
  <c r="C83"/>
  <c r="I53"/>
  <c r="E53"/>
  <c r="J83"/>
  <c r="F83"/>
  <c r="J53"/>
  <c r="F53"/>
  <c r="B53"/>
  <c r="H51" i="3" l="1"/>
  <c r="D64" i="8"/>
  <c r="E34"/>
  <c r="B34"/>
  <c r="C41"/>
  <c r="E70"/>
  <c r="Q99" i="36"/>
  <c r="P52" i="7"/>
  <c r="C63" i="8"/>
  <c r="J100" i="36"/>
  <c r="F34" i="8"/>
  <c r="C62"/>
  <c r="J282" i="11"/>
  <c r="F42" i="15"/>
  <c r="D63" i="8"/>
  <c r="M94" i="36"/>
  <c r="Q94" s="1"/>
  <c r="D62" i="8"/>
  <c r="D34"/>
  <c r="C64"/>
  <c r="P201" i="11"/>
  <c r="B94" i="8"/>
  <c r="K77" i="36"/>
  <c r="M73"/>
  <c r="Q73" s="1"/>
  <c r="K74"/>
  <c r="M61"/>
  <c r="H54" i="7" s="1"/>
  <c r="M79" i="36"/>
  <c r="Q79" s="1"/>
  <c r="I80"/>
  <c r="H77"/>
  <c r="M77" s="1"/>
  <c r="M78"/>
  <c r="Q78" s="1"/>
  <c r="M90"/>
  <c r="Q90" s="1"/>
  <c r="J77"/>
  <c r="H70"/>
  <c r="M76"/>
  <c r="Q76" s="1"/>
  <c r="M75"/>
  <c r="Q75" s="1"/>
  <c r="L77"/>
  <c r="I50" i="7"/>
  <c r="H58" i="36"/>
  <c r="H60" s="1"/>
  <c r="H62" s="1"/>
  <c r="L74"/>
  <c r="K80"/>
  <c r="M86"/>
  <c r="M87"/>
  <c r="L66"/>
  <c r="M85"/>
  <c r="M59"/>
  <c r="J70"/>
  <c r="M72"/>
  <c r="Q72" s="1"/>
  <c r="J74"/>
  <c r="M74" s="1"/>
  <c r="J80"/>
  <c r="L80"/>
  <c r="I77"/>
  <c r="M56"/>
  <c r="J66"/>
  <c r="H84"/>
  <c r="M92"/>
  <c r="Q92" s="1"/>
  <c r="M91"/>
  <c r="Q91" s="1"/>
  <c r="M88"/>
  <c r="M89"/>
  <c r="Q89" s="1"/>
  <c r="J84"/>
  <c r="M57"/>
  <c r="Q57" s="1"/>
  <c r="J58"/>
  <c r="J60" s="1"/>
  <c r="J62" s="1"/>
  <c r="I74"/>
  <c r="K84"/>
  <c r="K66"/>
  <c r="P263" i="11"/>
  <c r="M64" i="36"/>
  <c r="I51" i="7" s="1"/>
  <c r="D40" i="8"/>
  <c r="E100"/>
  <c r="H62"/>
  <c r="H63"/>
  <c r="H64"/>
  <c r="C34"/>
  <c r="C32"/>
  <c r="C33"/>
  <c r="E92"/>
  <c r="E94"/>
  <c r="E93"/>
  <c r="H51" i="7"/>
  <c r="H52"/>
  <c r="Q61" i="36"/>
  <c r="M96"/>
  <c r="H98"/>
  <c r="Q97"/>
  <c r="P50" i="7"/>
  <c r="B36" i="8"/>
  <c r="B32"/>
  <c r="D93"/>
  <c r="D92"/>
  <c r="G64"/>
  <c r="G63"/>
  <c r="G62"/>
  <c r="G104" i="36"/>
  <c r="B14" i="8"/>
  <c r="I60" i="36"/>
  <c r="F28" i="8"/>
  <c r="O193" i="11"/>
  <c r="F62" i="8"/>
  <c r="F64"/>
  <c r="F63"/>
  <c r="F93"/>
  <c r="F92"/>
  <c r="F94"/>
  <c r="E62"/>
  <c r="E64"/>
  <c r="E63"/>
  <c r="C92"/>
  <c r="C94"/>
  <c r="C93"/>
  <c r="B63"/>
  <c r="B62"/>
  <c r="B64"/>
  <c r="J63"/>
  <c r="J64"/>
  <c r="J62"/>
  <c r="J92"/>
  <c r="J93"/>
  <c r="J94"/>
  <c r="I64"/>
  <c r="I63"/>
  <c r="I62"/>
  <c r="G94"/>
  <c r="G93"/>
  <c r="G92"/>
  <c r="P193" i="11" l="1"/>
  <c r="F70" i="8"/>
  <c r="D41"/>
  <c r="Q59" i="36"/>
  <c r="H50" i="7"/>
  <c r="H49" s="1"/>
  <c r="H53" s="1"/>
  <c r="H55" s="1"/>
  <c r="Q56" i="36"/>
  <c r="M80"/>
  <c r="Q80" s="1"/>
  <c r="M70"/>
  <c r="Q70" s="1"/>
  <c r="M66"/>
  <c r="Q66" s="1"/>
  <c r="M58"/>
  <c r="M84"/>
  <c r="Q84" s="1"/>
  <c r="Q64"/>
  <c r="F100" i="8"/>
  <c r="E40"/>
  <c r="F44" i="7"/>
  <c r="Q77" i="36"/>
  <c r="I62"/>
  <c r="M60"/>
  <c r="O104"/>
  <c r="F42" i="7"/>
  <c r="J177" i="11"/>
  <c r="L177" s="1"/>
  <c r="Q74" i="36"/>
  <c r="Q96"/>
  <c r="P49" i="7"/>
  <c r="P51" s="1"/>
  <c r="P53" s="1"/>
  <c r="P58" s="1"/>
  <c r="Q58" i="36"/>
  <c r="B15" i="8"/>
  <c r="B16" s="1"/>
  <c r="J74"/>
  <c r="H74"/>
  <c r="F74"/>
  <c r="D74"/>
  <c r="B74"/>
  <c r="K44"/>
  <c r="J44"/>
  <c r="I44"/>
  <c r="H44"/>
  <c r="G44"/>
  <c r="F44"/>
  <c r="E44"/>
  <c r="D44"/>
  <c r="C44"/>
  <c r="B44"/>
  <c r="C14"/>
  <c r="D14"/>
  <c r="E14"/>
  <c r="F14"/>
  <c r="G14"/>
  <c r="H14"/>
  <c r="I14"/>
  <c r="J14"/>
  <c r="K14"/>
  <c r="K74"/>
  <c r="I74"/>
  <c r="G74"/>
  <c r="E74"/>
  <c r="C74"/>
  <c r="M98" i="36"/>
  <c r="Q98" s="1"/>
  <c r="H100"/>
  <c r="M100" s="1"/>
  <c r="C36" i="8"/>
  <c r="G28"/>
  <c r="G70" l="1"/>
  <c r="E41"/>
  <c r="F45" i="7"/>
  <c r="P145" i="15"/>
  <c r="P146" s="1"/>
  <c r="P148" s="1"/>
  <c r="G100" i="8"/>
  <c r="F40"/>
  <c r="B20"/>
  <c r="P147" i="36" s="1"/>
  <c r="D36" i="8"/>
  <c r="M145" i="15"/>
  <c r="M146" s="1"/>
  <c r="M148" s="1"/>
  <c r="J145"/>
  <c r="J146" s="1"/>
  <c r="J148" s="1"/>
  <c r="R11" i="24"/>
  <c r="D125" i="15" s="1"/>
  <c r="R13" i="24"/>
  <c r="M62" i="36"/>
  <c r="R12" i="24"/>
  <c r="Q100" i="36"/>
  <c r="D39" i="15"/>
  <c r="M125"/>
  <c r="I75" i="8"/>
  <c r="E75"/>
  <c r="E76" s="1"/>
  <c r="E80" s="1"/>
  <c r="K45"/>
  <c r="G45"/>
  <c r="G46" s="1"/>
  <c r="G50" s="1"/>
  <c r="C45"/>
  <c r="C46" s="1"/>
  <c r="E15"/>
  <c r="E16" s="1"/>
  <c r="E20" s="1"/>
  <c r="I15"/>
  <c r="J75"/>
  <c r="J76" s="1"/>
  <c r="J80" s="1"/>
  <c r="F75"/>
  <c r="F76" s="1"/>
  <c r="B75"/>
  <c r="B76" s="1"/>
  <c r="B80" s="1"/>
  <c r="H45"/>
  <c r="D45"/>
  <c r="D46" s="1"/>
  <c r="D50" s="1"/>
  <c r="D15"/>
  <c r="D16" s="1"/>
  <c r="H15"/>
  <c r="H16" s="1"/>
  <c r="H20" s="1"/>
  <c r="K75"/>
  <c r="G75"/>
  <c r="G76" s="1"/>
  <c r="G80" s="1"/>
  <c r="C75"/>
  <c r="I45"/>
  <c r="I46" s="1"/>
  <c r="I50" s="1"/>
  <c r="E45"/>
  <c r="E46" s="1"/>
  <c r="C15"/>
  <c r="C16" s="1"/>
  <c r="C20" s="1"/>
  <c r="G15"/>
  <c r="K15"/>
  <c r="K16" s="1"/>
  <c r="K20" s="1"/>
  <c r="H75"/>
  <c r="H76" s="1"/>
  <c r="H80" s="1"/>
  <c r="D75"/>
  <c r="J45"/>
  <c r="J46" s="1"/>
  <c r="J50" s="1"/>
  <c r="F45"/>
  <c r="B45"/>
  <c r="B46" s="1"/>
  <c r="B50" s="1"/>
  <c r="F15"/>
  <c r="F16" s="1"/>
  <c r="J15"/>
  <c r="J16" s="1"/>
  <c r="J20" s="1"/>
  <c r="K6"/>
  <c r="K5"/>
  <c r="L32" i="11"/>
  <c r="Q60" i="36"/>
  <c r="L31" i="11"/>
  <c r="P140" i="7"/>
  <c r="P141"/>
  <c r="H28" i="8"/>
  <c r="H70" l="1"/>
  <c r="F41"/>
  <c r="K7"/>
  <c r="G40"/>
  <c r="H100"/>
  <c r="J149" i="15"/>
  <c r="J161" s="1"/>
  <c r="J165" s="1"/>
  <c r="D76" i="8"/>
  <c r="D80" s="1"/>
  <c r="K46"/>
  <c r="K50" s="1"/>
  <c r="E50"/>
  <c r="C50"/>
  <c r="G16"/>
  <c r="G20" s="1"/>
  <c r="I16"/>
  <c r="I20" s="1"/>
  <c r="I76"/>
  <c r="I80" s="1"/>
  <c r="F80"/>
  <c r="H46"/>
  <c r="H50" s="1"/>
  <c r="F46"/>
  <c r="F50" s="1"/>
  <c r="D20"/>
  <c r="F20"/>
  <c r="K76"/>
  <c r="K80" s="1"/>
  <c r="C76"/>
  <c r="C80" s="1"/>
  <c r="E36"/>
  <c r="P157" i="36"/>
  <c r="N149"/>
  <c r="N148"/>
  <c r="O30" i="11"/>
  <c r="P30"/>
  <c r="P160" i="36"/>
  <c r="B21" i="8" s="1"/>
  <c r="E93" i="15"/>
  <c r="J158" i="36"/>
  <c r="J157"/>
  <c r="P71" i="7"/>
  <c r="Q62" i="36"/>
  <c r="Q53" s="1"/>
  <c r="J159"/>
  <c r="P67" i="7"/>
  <c r="D38" i="15"/>
  <c r="P69" i="7"/>
  <c r="G125" i="15"/>
  <c r="F115"/>
  <c r="J152"/>
  <c r="M151"/>
  <c r="I28" i="8"/>
  <c r="I70" l="1"/>
  <c r="G41"/>
  <c r="M163" i="15"/>
  <c r="I100" i="8"/>
  <c r="H40"/>
  <c r="P291" i="11"/>
  <c r="F51" i="8"/>
  <c r="G51"/>
  <c r="E21"/>
  <c r="C81"/>
  <c r="H51"/>
  <c r="I51"/>
  <c r="C21"/>
  <c r="H21"/>
  <c r="F81"/>
  <c r="E51"/>
  <c r="F21"/>
  <c r="K21"/>
  <c r="K51"/>
  <c r="D51"/>
  <c r="B51"/>
  <c r="G81"/>
  <c r="B81"/>
  <c r="I81"/>
  <c r="E81"/>
  <c r="K81"/>
  <c r="C51"/>
  <c r="J21"/>
  <c r="D21"/>
  <c r="D81"/>
  <c r="J81"/>
  <c r="G21"/>
  <c r="J51"/>
  <c r="H81"/>
  <c r="I21"/>
  <c r="R30" i="11"/>
  <c r="L30"/>
  <c r="O291"/>
  <c r="B19" i="8"/>
  <c r="P165" i="36"/>
  <c r="N157"/>
  <c r="F36" i="8"/>
  <c r="J40" i="3"/>
  <c r="L40" s="1"/>
  <c r="J6" i="7"/>
  <c r="J41" i="3"/>
  <c r="L41" s="1"/>
  <c r="E92" i="15"/>
  <c r="J28" i="8"/>
  <c r="J70" l="1"/>
  <c r="H41"/>
  <c r="J100"/>
  <c r="I40"/>
  <c r="G36"/>
  <c r="B79"/>
  <c r="J49"/>
  <c r="H19"/>
  <c r="I49"/>
  <c r="B22"/>
  <c r="J19"/>
  <c r="K19"/>
  <c r="E19"/>
  <c r="F49"/>
  <c r="D79"/>
  <c r="J79"/>
  <c r="F19"/>
  <c r="F79"/>
  <c r="I79"/>
  <c r="E79"/>
  <c r="K79"/>
  <c r="I19"/>
  <c r="C19"/>
  <c r="H49"/>
  <c r="B35"/>
  <c r="K49"/>
  <c r="D49"/>
  <c r="D19"/>
  <c r="G49"/>
  <c r="B49"/>
  <c r="G79"/>
  <c r="E49"/>
  <c r="G19"/>
  <c r="H79"/>
  <c r="C49"/>
  <c r="C79"/>
  <c r="O6" i="11"/>
  <c r="O292"/>
  <c r="P6"/>
  <c r="P292"/>
  <c r="K28" i="8"/>
  <c r="K70" l="1"/>
  <c r="I41"/>
  <c r="J40"/>
  <c r="K100"/>
  <c r="C52"/>
  <c r="C61" s="1"/>
  <c r="C65"/>
  <c r="G22"/>
  <c r="G35"/>
  <c r="G95"/>
  <c r="G82"/>
  <c r="G91" s="1"/>
  <c r="G65"/>
  <c r="G52"/>
  <c r="G61" s="1"/>
  <c r="D52"/>
  <c r="D61" s="1"/>
  <c r="D65"/>
  <c r="C35"/>
  <c r="C22"/>
  <c r="K95"/>
  <c r="K82"/>
  <c r="K91" s="1"/>
  <c r="I95"/>
  <c r="I82"/>
  <c r="I91" s="1"/>
  <c r="F35"/>
  <c r="F22"/>
  <c r="D95"/>
  <c r="D82"/>
  <c r="D91" s="1"/>
  <c r="E35"/>
  <c r="E22"/>
  <c r="J35"/>
  <c r="J22"/>
  <c r="B30"/>
  <c r="B31"/>
  <c r="H35"/>
  <c r="H22"/>
  <c r="B82"/>
  <c r="B91" s="1"/>
  <c r="B95"/>
  <c r="H36"/>
  <c r="C82"/>
  <c r="C91" s="1"/>
  <c r="C95"/>
  <c r="H82"/>
  <c r="H91" s="1"/>
  <c r="H95"/>
  <c r="E65"/>
  <c r="E52"/>
  <c r="E61" s="1"/>
  <c r="B52"/>
  <c r="B61" s="1"/>
  <c r="B65"/>
  <c r="D22"/>
  <c r="D35"/>
  <c r="K52"/>
  <c r="K61" s="1"/>
  <c r="K65"/>
  <c r="H52"/>
  <c r="H61" s="1"/>
  <c r="H65"/>
  <c r="I22"/>
  <c r="I35"/>
  <c r="E82"/>
  <c r="E91" s="1"/>
  <c r="E95"/>
  <c r="F82"/>
  <c r="F91" s="1"/>
  <c r="F95"/>
  <c r="J82"/>
  <c r="J91" s="1"/>
  <c r="J95"/>
  <c r="F52"/>
  <c r="F61" s="1"/>
  <c r="F65"/>
  <c r="K22"/>
  <c r="K35"/>
  <c r="I65"/>
  <c r="I52"/>
  <c r="I61" s="1"/>
  <c r="J65"/>
  <c r="J52"/>
  <c r="J61" s="1"/>
  <c r="B58"/>
  <c r="J41" l="1"/>
  <c r="K40"/>
  <c r="K31"/>
  <c r="K30"/>
  <c r="D30"/>
  <c r="D31"/>
  <c r="J31"/>
  <c r="J30"/>
  <c r="C31"/>
  <c r="C30"/>
  <c r="G30"/>
  <c r="G31"/>
  <c r="I31"/>
  <c r="I30"/>
  <c r="I36"/>
  <c r="H31"/>
  <c r="H30"/>
  <c r="E30"/>
  <c r="E31"/>
  <c r="F31"/>
  <c r="F30"/>
  <c r="C58"/>
  <c r="B60"/>
  <c r="K41" l="1"/>
  <c r="J36"/>
  <c r="D58"/>
  <c r="C60"/>
  <c r="B71" l="1"/>
  <c r="K36"/>
  <c r="E58"/>
  <c r="D60"/>
  <c r="C71" l="1"/>
  <c r="B66"/>
  <c r="F58"/>
  <c r="E60"/>
  <c r="D71" l="1"/>
  <c r="C66"/>
  <c r="G58"/>
  <c r="F60"/>
  <c r="E71" l="1"/>
  <c r="D66"/>
  <c r="H58"/>
  <c r="G60"/>
  <c r="F71" l="1"/>
  <c r="E66"/>
  <c r="I58"/>
  <c r="H60"/>
  <c r="G71" l="1"/>
  <c r="F66"/>
  <c r="J58"/>
  <c r="I60"/>
  <c r="H71" l="1"/>
  <c r="G66"/>
  <c r="K58"/>
  <c r="J60"/>
  <c r="I71" l="1"/>
  <c r="H66"/>
  <c r="B88"/>
  <c r="K60"/>
  <c r="J71" l="1"/>
  <c r="I66"/>
  <c r="C88"/>
  <c r="B90"/>
  <c r="K71" l="1"/>
  <c r="J66"/>
  <c r="D88"/>
  <c r="C90"/>
  <c r="B101" l="1"/>
  <c r="K66"/>
  <c r="E88"/>
  <c r="D90"/>
  <c r="C101" l="1"/>
  <c r="B96"/>
  <c r="F88"/>
  <c r="E90"/>
  <c r="D101" l="1"/>
  <c r="C96"/>
  <c r="G88"/>
  <c r="F90"/>
  <c r="E101" l="1"/>
  <c r="D96"/>
  <c r="H88"/>
  <c r="G90"/>
  <c r="F101" l="1"/>
  <c r="E96"/>
  <c r="I88"/>
  <c r="H90"/>
  <c r="G101" l="1"/>
  <c r="F96"/>
  <c r="J88"/>
  <c r="I90"/>
  <c r="H101" l="1"/>
  <c r="G96"/>
  <c r="K88"/>
  <c r="J90"/>
  <c r="I101" l="1"/>
  <c r="H96"/>
  <c r="K90"/>
  <c r="J101" l="1"/>
  <c r="I96"/>
  <c r="K101" l="1"/>
  <c r="J96"/>
  <c r="K96" l="1"/>
</calcChain>
</file>

<file path=xl/sharedStrings.xml><?xml version="1.0" encoding="utf-8"?>
<sst xmlns="http://schemas.openxmlformats.org/spreadsheetml/2006/main" count="7889" uniqueCount="4078">
  <si>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</si>
  <si>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</si>
  <si>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</si>
  <si>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</si>
  <si>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</si>
  <si>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</si>
  <si>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</si>
  <si>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</si>
  <si>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</si>
  <si>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</si>
  <si>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</si>
  <si>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</si>
  <si>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</si>
  <si>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</si>
  <si>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</si>
  <si>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</si>
  <si>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</si>
  <si>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</si>
  <si>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</si>
  <si>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</si>
  <si>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</si>
  <si>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</si>
  <si>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</si>
  <si>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</si>
  <si>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</si>
  <si>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</si>
  <si>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</si>
  <si>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</si>
  <si>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</si>
  <si>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</si>
  <si>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</si>
  <si>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</si>
  <si>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</si>
  <si>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</si>
  <si>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</si>
  <si>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</si>
  <si>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</si>
  <si>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</si>
  <si>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</si>
  <si>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</si>
  <si>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</si>
  <si>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</si>
  <si>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</si>
  <si>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</si>
  <si>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</si>
  <si>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</si>
  <si>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</si>
  <si>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</si>
  <si>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</si>
  <si>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</si>
  <si>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</si>
  <si>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</si>
  <si>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</si>
  <si>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</si>
  <si>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</si>
  <si>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</si>
  <si>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</si>
  <si>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</si>
  <si>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</si>
  <si>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</si>
  <si>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</si>
  <si>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</si>
  <si>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</si>
  <si>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</si>
  <si>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</si>
  <si>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</si>
  <si>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</si>
  <si>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</si>
  <si>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</si>
  <si>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</si>
  <si>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</si>
  <si>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</si>
  <si>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</si>
  <si>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</si>
  <si>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</si>
  <si>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</si>
  <si>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</si>
  <si>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</si>
  <si>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</si>
  <si>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</si>
  <si>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</si>
  <si>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</si>
  <si>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</si>
  <si>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</si>
  <si>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</si>
  <si>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</si>
  <si>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</si>
  <si>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</si>
  <si>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</si>
  <si>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</si>
  <si>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</si>
  <si>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</si>
  <si>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</si>
  <si>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</si>
  <si>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</si>
  <si>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</si>
  <si>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</si>
  <si>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</si>
  <si>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</si>
  <si>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</si>
  <si>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</si>
  <si>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</si>
  <si>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</si>
  <si>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</si>
  <si>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</si>
  <si>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</si>
  <si>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</si>
  <si>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</si>
  <si>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</si>
  <si>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</si>
  <si>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</si>
  <si>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</si>
  <si>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</si>
  <si>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</si>
  <si>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</si>
  <si>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</si>
  <si>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</si>
  <si>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</si>
  <si>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</si>
  <si>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</si>
  <si>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</si>
  <si>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</si>
  <si>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</si>
  <si>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</si>
  <si>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</si>
  <si>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</si>
  <si>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</si>
  <si>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</si>
  <si>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</si>
  <si>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</si>
  <si>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</si>
  <si>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</si>
  <si>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</si>
  <si>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</si>
  <si>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</si>
  <si>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</si>
  <si>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</si>
  <si>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</si>
  <si>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</si>
  <si>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</si>
  <si>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</si>
  <si>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</si>
  <si>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</si>
  <si>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</si>
  <si>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</si>
  <si>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</si>
  <si>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</si>
  <si>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</si>
  <si>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</si>
  <si>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</si>
  <si>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</si>
  <si>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</si>
  <si>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</si>
  <si>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</si>
  <si>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</si>
  <si>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</si>
  <si>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</si>
  <si>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</si>
  <si>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</si>
  <si>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</si>
  <si>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</si>
  <si>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</si>
  <si>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</si>
  <si>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</si>
  <si>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</si>
  <si>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</si>
  <si>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</si>
  <si>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</si>
  <si>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</si>
  <si>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</si>
  <si>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</si>
  <si>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</si>
  <si>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</si>
  <si>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</si>
  <si>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</si>
  <si>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</si>
  <si>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</si>
  <si>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</si>
  <si>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</si>
  <si>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</si>
  <si>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</si>
  <si>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</si>
  <si>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</si>
  <si>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</si>
  <si>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</si>
  <si>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</si>
  <si>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</si>
  <si>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</si>
  <si>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</si>
  <si>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</si>
  <si>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</si>
  <si>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</si>
  <si>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</si>
  <si>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</si>
  <si>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</si>
  <si>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</si>
  <si>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</si>
  <si>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</si>
  <si>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</si>
  <si>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</si>
  <si>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</si>
  <si>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</si>
  <si>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</si>
  <si>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</si>
  <si>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</si>
  <si>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</si>
  <si>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</si>
  <si>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</si>
  <si>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</si>
  <si>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</si>
  <si>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</si>
  <si>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</si>
  <si>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</si>
  <si>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</si>
  <si>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</si>
  <si>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</si>
  <si>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</si>
  <si>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</si>
  <si>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</si>
  <si>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</si>
  <si>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</si>
  <si>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</si>
  <si>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</si>
  <si>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</si>
  <si>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</si>
  <si>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</si>
  <si>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</si>
  <si>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</si>
  <si>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</si>
  <si>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</si>
  <si>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</si>
  <si>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</si>
  <si>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</si>
  <si>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</si>
  <si>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</si>
  <si>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</si>
  <si>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</si>
  <si>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</si>
  <si>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</si>
  <si>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</si>
  <si>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</si>
  <si>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</si>
  <si>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</si>
  <si>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</si>
  <si>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</si>
  <si>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</si>
  <si>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</si>
  <si>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</si>
  <si>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</si>
  <si>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</si>
  <si>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</si>
  <si>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</si>
  <si>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</si>
  <si>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</si>
  <si>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</si>
  <si>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</si>
  <si>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</si>
  <si>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</si>
  <si>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</si>
  <si>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</si>
  <si>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</si>
  <si>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</si>
  <si>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</si>
  <si>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</si>
  <si>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</si>
  <si>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</si>
  <si>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</si>
  <si>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</si>
  <si>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</si>
  <si>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</si>
  <si>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</si>
  <si>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</si>
  <si>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</si>
  <si>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</si>
  <si>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</si>
  <si>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</si>
  <si>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</si>
  <si>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</si>
  <si>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</si>
  <si>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</si>
  <si>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</si>
  <si>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</si>
  <si>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</si>
  <si>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</si>
  <si>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</si>
  <si>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</si>
  <si>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</si>
  <si>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</si>
  <si>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</si>
  <si>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</si>
  <si>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</si>
  <si>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</si>
  <si>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</si>
  <si>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</si>
  <si>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</si>
  <si>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</si>
  <si>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</si>
  <si>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</si>
  <si>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</si>
  <si>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</si>
  <si>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</si>
  <si>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</si>
  <si>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</si>
  <si>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</si>
  <si>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</si>
  <si>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</si>
  <si>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</si>
  <si>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</si>
  <si>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</si>
  <si>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</si>
  <si>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</si>
  <si>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</si>
  <si>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</si>
  <si>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</si>
  <si>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</si>
  <si>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</si>
  <si>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</si>
  <si>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</si>
  <si>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</si>
  <si>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</si>
  <si>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</si>
  <si>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</si>
  <si>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</si>
  <si>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</si>
  <si>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</si>
  <si>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</si>
  <si>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</si>
  <si>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</si>
  <si>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</si>
  <si>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</si>
  <si>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</si>
  <si>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</si>
  <si>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</si>
  <si>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</si>
  <si>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</si>
  <si>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</si>
  <si>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</si>
  <si>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</si>
  <si>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</si>
  <si>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</si>
  <si>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</si>
  <si>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</si>
  <si>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</si>
  <si>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</si>
  <si>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</si>
  <si>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</si>
  <si>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</si>
  <si>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</si>
  <si>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</si>
  <si>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</si>
  <si>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</si>
  <si>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</si>
  <si>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</si>
  <si>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</si>
  <si>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</si>
  <si>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</si>
  <si>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</si>
  <si>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</si>
  <si>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</si>
  <si>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</si>
  <si>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</si>
  <si>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</si>
  <si>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</si>
  <si>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</si>
  <si>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</si>
  <si>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</si>
  <si>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</si>
  <si>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</si>
  <si>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</si>
  <si>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</si>
  <si>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</si>
  <si>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</si>
  <si>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</si>
  <si>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</si>
  <si>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</si>
  <si>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</si>
  <si>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</si>
  <si>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</si>
  <si>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</si>
  <si>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</si>
  <si>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</si>
  <si>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</si>
  <si>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</si>
  <si>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</si>
  <si>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</si>
  <si>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</si>
  <si>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</si>
  <si>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</si>
  <si>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</si>
  <si>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</si>
  <si>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</si>
  <si>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</si>
  <si>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</si>
  <si>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</si>
  <si>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</si>
  <si>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</si>
  <si>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</si>
  <si>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</si>
  <si>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</si>
  <si>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</si>
  <si>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</si>
  <si>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</si>
  <si>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</si>
  <si>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</si>
  <si>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</si>
  <si>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</si>
  <si>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</si>
  <si>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</si>
  <si>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</si>
  <si>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</si>
  <si>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</si>
  <si>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</si>
  <si>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</si>
  <si>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</si>
  <si>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</si>
  <si>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</si>
  <si>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</si>
  <si>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</si>
  <si>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</si>
  <si>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</si>
  <si>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</si>
  <si>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</si>
  <si>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</si>
  <si>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</si>
  <si>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</si>
  <si>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</si>
  <si>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</si>
  <si>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</si>
  <si>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</si>
  <si>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</si>
  <si>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</si>
  <si>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</si>
  <si>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</si>
  <si>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</si>
  <si>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</si>
  <si>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</si>
  <si>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</si>
  <si>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</si>
  <si>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</si>
  <si>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</si>
  <si>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</si>
  <si>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</si>
  <si>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</si>
  <si>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</si>
  <si>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</si>
  <si>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</si>
  <si>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</si>
  <si>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</si>
  <si>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</si>
  <si>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</si>
  <si>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</si>
  <si>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</si>
  <si>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</si>
  <si>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</si>
  <si>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</si>
  <si>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</si>
  <si>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</si>
  <si>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</si>
  <si>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</si>
  <si>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</si>
  <si>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</si>
  <si>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</si>
  <si>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</si>
  <si>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</si>
  <si>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</si>
  <si>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</si>
  <si>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</si>
  <si>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</si>
  <si>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</si>
  <si>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</si>
  <si>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</si>
  <si>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</si>
  <si>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</si>
  <si>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</si>
  <si>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</si>
  <si>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</si>
  <si>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</si>
  <si>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</si>
  <si>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</si>
  <si>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</si>
  <si>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</si>
  <si>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</si>
  <si>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</si>
  <si>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</si>
  <si>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</si>
  <si>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</si>
  <si>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</si>
  <si>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</si>
  <si>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</si>
  <si>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</si>
  <si>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</si>
  <si>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</si>
  <si>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</si>
  <si>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</si>
  <si>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</si>
  <si>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</si>
  <si>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</si>
  <si>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</si>
  <si>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</si>
  <si>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</si>
  <si>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</si>
  <si>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</si>
  <si>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</si>
  <si>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</si>
  <si>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</si>
  <si>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</si>
  <si>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</si>
  <si>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</si>
  <si>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</si>
  <si>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</si>
  <si>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</si>
  <si>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</si>
  <si>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</si>
  <si>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</si>
  <si>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</si>
  <si>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</si>
  <si>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</si>
  <si>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</si>
  <si>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</si>
  <si>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</si>
  <si>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</si>
  <si>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</si>
  <si>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</si>
  <si>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</si>
  <si>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</si>
  <si>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</si>
  <si>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</si>
  <si>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</si>
  <si>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</si>
  <si>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</si>
  <si>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</si>
  <si>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</si>
  <si>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</si>
  <si>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</si>
  <si>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</si>
  <si>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</si>
  <si>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</si>
  <si>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</si>
  <si>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</si>
  <si>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</si>
  <si>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</si>
  <si>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</si>
  <si>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</si>
  <si>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</si>
  <si>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</si>
  <si>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</si>
  <si>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</si>
  <si>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</si>
  <si>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</si>
  <si>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</si>
  <si>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</si>
  <si>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</si>
  <si>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</si>
  <si>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</si>
  <si>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</si>
  <si>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</si>
  <si>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</si>
  <si>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</si>
  <si>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</si>
  <si>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</si>
  <si>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</si>
  <si>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</si>
  <si>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</si>
  <si>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</si>
  <si>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</si>
  <si>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</si>
  <si>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</si>
  <si>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</si>
  <si>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</si>
  <si>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</si>
  <si>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</si>
  <si>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</si>
  <si>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</si>
  <si>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</si>
  <si>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</si>
  <si>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</si>
  <si>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</si>
  <si>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</si>
  <si>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</si>
  <si>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</si>
  <si>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</si>
  <si>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</si>
  <si>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</si>
  <si>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</si>
  <si>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</si>
  <si>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</si>
  <si>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</si>
  <si>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</si>
  <si>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</si>
  <si>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</si>
  <si>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</si>
  <si>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</si>
  <si>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</si>
  <si>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</si>
  <si>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</si>
  <si>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</si>
  <si>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</si>
  <si>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</si>
  <si>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</si>
  <si>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</si>
  <si>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</si>
  <si>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</si>
  <si>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</si>
  <si>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</si>
  <si>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</si>
  <si>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</si>
  <si>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</si>
  <si>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</si>
  <si>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</si>
  <si>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</si>
  <si>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</si>
  <si>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</si>
  <si>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</si>
  <si>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</si>
  <si>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</si>
  <si>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</si>
  <si>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</si>
  <si>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</si>
  <si>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</si>
  <si>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</si>
  <si>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</si>
  <si>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</si>
  <si>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</si>
  <si>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</si>
  <si>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</si>
  <si>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</si>
  <si>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</si>
  <si>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</si>
  <si>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</si>
  <si>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</si>
  <si>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</si>
  <si>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</si>
  <si>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</si>
  <si>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</si>
  <si>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</si>
  <si>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</si>
  <si>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</si>
  <si>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</si>
  <si>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</si>
  <si>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</si>
  <si>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</si>
  <si>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</si>
  <si>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</si>
  <si>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</si>
  <si>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</si>
  <si>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</si>
  <si>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</si>
  <si>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</si>
  <si>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</si>
  <si>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</si>
  <si>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</si>
  <si>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</si>
  <si>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</si>
  <si>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</si>
  <si>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</si>
  <si>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</si>
  <si>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</si>
  <si>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</si>
  <si>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</si>
  <si>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</si>
  <si>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</si>
  <si>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</si>
  <si>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</si>
  <si>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</si>
  <si>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</si>
  <si>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</si>
  <si>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</si>
  <si>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</si>
  <si>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</si>
  <si>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</si>
  <si>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</si>
  <si>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</si>
  <si>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</si>
  <si>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</si>
  <si>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</si>
  <si>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</si>
  <si>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</si>
  <si>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</si>
  <si>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</si>
  <si>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</si>
  <si>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</si>
  <si>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</si>
  <si>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</si>
  <si>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</si>
  <si>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</si>
  <si>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</si>
  <si>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</si>
  <si>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</si>
  <si>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</si>
  <si>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</si>
  <si>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</si>
  <si>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</si>
  <si>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</si>
  <si>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</si>
  <si>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</si>
  <si>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</si>
  <si>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</si>
  <si>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</si>
  <si>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</si>
  <si>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</si>
  <si>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</si>
  <si>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</si>
  <si>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</si>
  <si>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</si>
  <si>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</si>
  <si>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</si>
  <si>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</si>
  <si>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</si>
  <si>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</si>
  <si>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</si>
  <si>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</si>
  <si>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</si>
  <si>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</si>
  <si>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</si>
  <si>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</si>
  <si>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</si>
  <si>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</si>
  <si>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</si>
  <si>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</si>
  <si>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</si>
  <si>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</si>
  <si>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</si>
  <si>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</si>
  <si>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</si>
  <si>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</si>
  <si>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</si>
  <si>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</si>
  <si>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</si>
  <si>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</si>
  <si>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</si>
  <si>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</si>
  <si>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</si>
  <si>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</si>
  <si>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</si>
  <si>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</si>
  <si>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</si>
  <si>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</si>
  <si>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</si>
  <si>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</si>
  <si>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</si>
  <si>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</si>
  <si>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</si>
  <si>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</si>
  <si>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</si>
  <si>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</si>
  <si>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</si>
  <si>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</si>
  <si>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</si>
  <si>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</si>
  <si>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</si>
  <si>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</si>
  <si>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</si>
  <si>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</si>
  <si>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</si>
  <si>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</si>
  <si>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</si>
  <si>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</si>
  <si>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</si>
  <si>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</si>
  <si>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</si>
  <si>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</si>
  <si>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</si>
  <si>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</si>
  <si>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</si>
  <si>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</si>
  <si>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</si>
  <si>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</si>
  <si>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</si>
  <si>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</si>
  <si>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</si>
  <si>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</si>
  <si>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</si>
  <si>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</si>
  <si>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</si>
  <si>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</si>
  <si>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</si>
  <si>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</si>
  <si>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</si>
  <si>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</si>
  <si>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</si>
  <si>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</si>
  <si>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</si>
  <si>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</si>
  <si>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</si>
  <si>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</si>
  <si>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</si>
  <si>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</si>
  <si>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</si>
  <si>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</si>
  <si>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</si>
  <si>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</si>
  <si>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</si>
  <si>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</si>
  <si>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</si>
  <si>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</si>
  <si>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</si>
  <si>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</si>
  <si>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</si>
  <si>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</si>
  <si>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</si>
  <si>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</si>
  <si>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</si>
  <si>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</si>
  <si>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</si>
  <si>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</si>
  <si>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</si>
  <si>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</si>
  <si>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</si>
  <si>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</si>
  <si>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</si>
  <si>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</si>
  <si>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</si>
  <si>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</si>
  <si>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</si>
  <si>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</si>
  <si>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</si>
  <si>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</si>
  <si>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</si>
  <si>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</si>
  <si>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</si>
  <si>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</si>
  <si>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</si>
  <si>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</si>
  <si>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</si>
  <si>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</si>
  <si>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</si>
  <si>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</si>
  <si>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</si>
  <si>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</si>
  <si>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</si>
  <si>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</si>
  <si>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</si>
  <si>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</si>
  <si>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</si>
  <si>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</si>
  <si>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</si>
  <si>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</si>
  <si>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</si>
  <si>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</si>
  <si>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</si>
  <si>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</si>
  <si>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</si>
  <si>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</si>
  <si>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</si>
  <si>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</si>
  <si>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</si>
  <si>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</si>
  <si>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</si>
  <si>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</si>
  <si>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</si>
  <si>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</si>
  <si>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</si>
  <si>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</si>
  <si>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</si>
  <si>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</si>
  <si>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</si>
  <si>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</si>
  <si>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</si>
  <si>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</si>
  <si>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</si>
  <si>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</si>
  <si>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</si>
  <si>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</si>
  <si>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</si>
  <si>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</si>
  <si>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</si>
  <si>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</si>
  <si>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</si>
  <si>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</si>
  <si>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</si>
  <si>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</si>
  <si>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</si>
  <si>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</si>
  <si>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</si>
  <si>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</si>
  <si>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</si>
  <si>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</si>
  <si>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</si>
  <si>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</si>
  <si>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</si>
  <si>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</si>
  <si>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</si>
  <si>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</si>
  <si>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</si>
  <si>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</si>
  <si>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</si>
  <si>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</si>
  <si>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</si>
  <si>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</si>
  <si>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</si>
  <si>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</si>
  <si>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</si>
  <si>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</si>
  <si>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</si>
  <si>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</si>
  <si>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</si>
  <si>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</si>
  <si>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</si>
  <si>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</si>
  <si>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</si>
  <si>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</si>
  <si>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</si>
  <si>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</si>
  <si>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</si>
  <si>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</si>
  <si>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</si>
  <si>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</si>
  <si>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</si>
  <si>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</si>
  <si>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</si>
  <si>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</si>
  <si>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</si>
  <si>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</si>
  <si>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</si>
  <si>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</si>
  <si>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</si>
  <si>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</si>
  <si>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</si>
  <si>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</si>
  <si>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</si>
  <si>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</si>
  <si>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</si>
  <si>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</si>
  <si>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</si>
  <si>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</si>
  <si>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</si>
  <si>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</si>
  <si>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</si>
  <si>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</si>
  <si>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</si>
  <si>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</si>
  <si>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</si>
  <si>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</si>
  <si>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</si>
  <si>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</si>
  <si>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</si>
  <si>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</si>
  <si>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</si>
  <si>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</si>
  <si>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</si>
  <si>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</si>
  <si>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</si>
  <si>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</si>
  <si>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</si>
  <si>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</si>
  <si>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</si>
  <si>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</si>
  <si>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</si>
  <si>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</si>
  <si>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</si>
  <si>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</si>
  <si>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</si>
  <si>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</si>
  <si>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</si>
  <si>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</si>
  <si>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</si>
  <si>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</si>
  <si>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</si>
  <si>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</si>
  <si>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</si>
  <si>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</si>
  <si>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</si>
  <si>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</si>
  <si>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</si>
  <si>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</si>
  <si>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</si>
  <si>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</si>
  <si>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</si>
  <si>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</si>
  <si>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</si>
  <si>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</si>
  <si>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</si>
  <si>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</si>
  <si>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</si>
  <si>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</si>
  <si>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</si>
  <si>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</si>
  <si>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</si>
  <si>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</si>
  <si>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</si>
  <si>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</si>
  <si>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</si>
  <si>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</si>
  <si>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</si>
  <si>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</si>
  <si>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</si>
  <si>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</si>
  <si>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</si>
  <si>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</si>
  <si>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</si>
  <si>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</si>
  <si>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</si>
  <si>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</si>
  <si>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</si>
  <si>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</si>
  <si>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</si>
  <si>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</si>
  <si>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</si>
  <si>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</si>
  <si>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</si>
  <si>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</si>
  <si>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</si>
  <si>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</si>
  <si>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</si>
  <si>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</si>
  <si>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</si>
  <si>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</si>
  <si>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</si>
  <si>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</si>
  <si>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</si>
  <si>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</si>
  <si>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</si>
  <si>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</si>
  <si>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</si>
  <si>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</si>
  <si>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</si>
  <si>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</si>
  <si>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</si>
  <si>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</si>
  <si>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</si>
  <si>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</si>
  <si>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</si>
  <si>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</si>
  <si>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</si>
  <si>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</si>
  <si>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</si>
  <si>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</si>
  <si>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</si>
  <si>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</si>
  <si>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</si>
  <si>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</si>
  <si>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</si>
  <si>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</si>
  <si>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</si>
  <si>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</si>
  <si>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</si>
  <si>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</si>
  <si>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</si>
  <si>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</si>
  <si>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</si>
  <si>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</si>
  <si>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</si>
  <si>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</si>
  <si>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</si>
  <si>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</si>
  <si>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</si>
  <si>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</si>
  <si>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</si>
  <si>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</si>
  <si>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</si>
  <si>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</si>
  <si>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</si>
  <si>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</si>
  <si>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</si>
  <si>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</si>
  <si>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</si>
  <si>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</si>
  <si>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</si>
  <si>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</si>
  <si>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</si>
  <si>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</si>
  <si>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</si>
  <si>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</si>
  <si>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</si>
  <si>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</si>
  <si>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</si>
  <si>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</si>
  <si>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</si>
  <si>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</si>
  <si>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</si>
  <si>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</si>
  <si>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</si>
  <si>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</si>
  <si>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</si>
  <si>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</si>
  <si>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</si>
  <si>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</si>
  <si>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</si>
  <si>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</si>
  <si>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</si>
  <si>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</si>
  <si>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</si>
  <si>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</si>
  <si>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</si>
  <si>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</si>
  <si>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</si>
  <si>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</si>
  <si>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</si>
  <si>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</si>
  <si>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</si>
  <si>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</si>
  <si>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</si>
  <si>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</si>
  <si>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</si>
  <si>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</si>
  <si>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</si>
  <si>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</si>
  <si>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</si>
  <si>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</si>
  <si>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</si>
  <si>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</si>
  <si>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</si>
  <si>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</si>
  <si>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</si>
  <si>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</si>
  <si>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</si>
  <si>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</si>
  <si>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</si>
  <si>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</si>
  <si>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</si>
  <si>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</si>
  <si>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</si>
  <si>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</si>
  <si>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</si>
  <si>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</si>
  <si>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</si>
  <si>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</si>
  <si>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</si>
  <si>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</si>
  <si>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</si>
  <si>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</si>
  <si>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</si>
  <si>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</si>
  <si>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</si>
  <si>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</si>
  <si>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</si>
  <si>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</si>
  <si>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</si>
  <si>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</si>
  <si>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</si>
  <si>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</si>
  <si>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</si>
  <si>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</si>
  <si>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</si>
  <si>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</si>
  <si>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</si>
  <si>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</si>
  <si>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</si>
  <si>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</si>
  <si>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</si>
  <si>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</si>
  <si>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</si>
  <si>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</si>
  <si>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</si>
  <si>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</si>
  <si>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</si>
  <si>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</si>
  <si>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</si>
  <si>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</si>
  <si>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</si>
  <si>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</si>
  <si>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</si>
  <si>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</si>
  <si>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</si>
  <si>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</si>
  <si>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</si>
  <si>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</si>
  <si>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</si>
  <si>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</si>
  <si>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</si>
  <si>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</si>
  <si>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</si>
  <si>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</si>
  <si>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</si>
  <si>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</si>
  <si>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</si>
  <si>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</si>
  <si>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</si>
  <si>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</si>
  <si>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</si>
  <si>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</si>
  <si>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</si>
  <si>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</si>
  <si>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</si>
  <si>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</si>
  <si>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</si>
  <si>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</si>
  <si>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</si>
  <si>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</si>
  <si>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</si>
  <si>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</si>
  <si>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</si>
  <si>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</si>
  <si>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</si>
  <si>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</si>
  <si>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</si>
  <si>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</si>
  <si>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</si>
  <si>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</si>
  <si>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</si>
  <si>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</si>
  <si>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</si>
  <si>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</si>
  <si>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</si>
  <si>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</si>
  <si>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</si>
  <si>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</si>
  <si>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</si>
  <si>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</si>
  <si>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</si>
  <si>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</si>
  <si>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</si>
  <si>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</si>
  <si>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</si>
  <si>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</si>
  <si>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</si>
  <si>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</si>
  <si>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</si>
  <si>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</si>
  <si>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</si>
  <si>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</si>
  <si>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</si>
  <si>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</si>
  <si>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</si>
  <si>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</si>
  <si>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</si>
  <si>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</si>
  <si>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</si>
  <si>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</si>
  <si>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</si>
  <si>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</si>
  <si>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</si>
  <si>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</si>
  <si>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</si>
  <si>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</si>
  <si>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</si>
  <si>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</si>
  <si>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</si>
  <si>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</si>
  <si>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</si>
  <si>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</si>
  <si>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</si>
  <si>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</si>
  <si>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</si>
  <si>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</si>
  <si>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</si>
  <si>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</si>
  <si>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</si>
  <si>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</si>
  <si>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</si>
  <si>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</si>
  <si>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</si>
  <si>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</si>
  <si>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</si>
  <si>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</si>
  <si>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</si>
  <si>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</si>
  <si>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</si>
  <si>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</si>
  <si>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</si>
  <si>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</si>
  <si>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</si>
  <si>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</si>
  <si>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</si>
  <si>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</si>
  <si>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</si>
  <si>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</si>
  <si>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</si>
  <si>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</si>
  <si>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</si>
  <si>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</si>
  <si>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</si>
  <si>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</si>
  <si>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</si>
  <si>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</si>
  <si>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</si>
  <si>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</si>
  <si>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</si>
  <si>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</si>
  <si>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</si>
  <si>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</si>
  <si>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</si>
  <si>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</si>
  <si>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</si>
  <si>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</si>
  <si>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</si>
  <si>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</si>
  <si>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</si>
  <si>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</si>
  <si>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</si>
  <si>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</si>
  <si>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</si>
  <si>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</si>
  <si>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</si>
  <si>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</si>
  <si>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</si>
  <si>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</si>
  <si>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</si>
  <si>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</si>
  <si>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</si>
  <si>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</si>
  <si>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</si>
  <si>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</si>
  <si>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</si>
  <si>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</si>
  <si>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</si>
  <si>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</si>
  <si>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</si>
  <si>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</si>
  <si>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</si>
  <si>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</si>
  <si>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</si>
  <si>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</si>
  <si>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</si>
  <si>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</si>
  <si>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</si>
  <si>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</si>
  <si>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</si>
  <si>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</si>
  <si>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</si>
  <si>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</si>
  <si>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</si>
  <si>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</si>
  <si>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</si>
  <si>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</si>
  <si>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</si>
  <si>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</si>
  <si>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</si>
  <si>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</si>
  <si>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</si>
  <si>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</si>
  <si>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</si>
  <si>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</si>
  <si>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</si>
  <si>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</si>
  <si>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</si>
  <si>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</si>
  <si>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</si>
  <si>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</si>
  <si>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</si>
  <si>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</si>
  <si>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</si>
  <si>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</si>
  <si>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</si>
  <si>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</si>
  <si>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</si>
  <si>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</si>
  <si>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</si>
  <si>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</si>
  <si>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</si>
  <si>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</si>
  <si>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</si>
  <si>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</si>
  <si>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</si>
  <si>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</si>
  <si>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</si>
  <si>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</si>
  <si>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</si>
  <si>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</si>
  <si>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</si>
  <si>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</si>
  <si>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</si>
  <si>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</si>
  <si>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</si>
  <si>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</si>
  <si>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</si>
  <si>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</si>
  <si>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</si>
  <si>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</si>
  <si>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</si>
  <si>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</si>
  <si>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</si>
  <si>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</si>
  <si>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</si>
  <si>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</si>
  <si>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</si>
  <si>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</si>
  <si>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</si>
  <si>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</si>
  <si>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</si>
  <si>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</si>
  <si>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</si>
  <si>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</si>
  <si>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</si>
  <si>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</si>
  <si>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</si>
  <si>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</si>
  <si>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</si>
  <si>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</si>
  <si>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</si>
  <si>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</si>
  <si>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</si>
  <si>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</si>
  <si>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</si>
  <si>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</si>
  <si>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</si>
  <si>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</si>
  <si>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</si>
  <si>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</si>
  <si>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</si>
  <si>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</si>
  <si>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</si>
  <si>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</si>
  <si>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</si>
  <si>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</si>
  <si>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</si>
  <si>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</si>
  <si>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</si>
  <si>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</si>
  <si>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</si>
  <si>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</si>
  <si>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</si>
  <si>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</si>
  <si>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</si>
  <si>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</si>
  <si>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</si>
  <si>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</si>
  <si>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</si>
  <si>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</si>
  <si>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</si>
  <si>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</si>
  <si>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</si>
  <si>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</si>
  <si>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</si>
  <si>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</si>
  <si>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</si>
  <si>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</si>
  <si>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</si>
  <si>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</si>
  <si>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</si>
  <si>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</si>
  <si>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</si>
  <si>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</si>
  <si>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</si>
  <si>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</si>
  <si>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</si>
  <si>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</si>
  <si>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</si>
  <si>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</si>
  <si>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</si>
  <si>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</si>
  <si>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</si>
  <si>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</si>
  <si>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</si>
  <si>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</si>
  <si>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</si>
  <si>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</si>
  <si>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</si>
  <si>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</si>
  <si>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</si>
  <si>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</si>
  <si>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</si>
  <si>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</si>
  <si>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</si>
  <si>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</si>
  <si>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</si>
  <si>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</si>
  <si>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</si>
  <si>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</si>
  <si>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</si>
  <si>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</si>
  <si>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</si>
  <si>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</si>
  <si>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</si>
  <si>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</si>
  <si>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</si>
  <si>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</si>
  <si>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</si>
  <si>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</si>
  <si>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</si>
  <si>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</si>
  <si>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</si>
  <si>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</si>
  <si>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</si>
  <si>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</si>
  <si>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</si>
  <si>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</si>
  <si>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</si>
  <si>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</si>
  <si>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</si>
  <si>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</si>
  <si>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</si>
  <si>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</si>
  <si>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</si>
  <si>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</si>
  <si>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</si>
  <si>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</si>
  <si>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</si>
  <si>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</si>
  <si>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</si>
  <si>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</si>
  <si>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</si>
  <si>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</si>
  <si>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</si>
  <si>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</si>
  <si>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</si>
  <si>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</si>
  <si>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</si>
  <si>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</si>
  <si>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</si>
  <si>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</si>
  <si>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</si>
  <si>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</si>
  <si>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</si>
  <si>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</si>
  <si>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</si>
  <si>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</si>
  <si>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</si>
  <si>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</si>
  <si>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</si>
  <si>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</si>
  <si>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</si>
  <si>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</si>
  <si>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</si>
  <si>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</si>
  <si>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</si>
  <si>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</si>
  <si>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</si>
  <si>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</si>
  <si>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</si>
  <si>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</si>
  <si>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</si>
  <si>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</si>
  <si>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</si>
  <si>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</si>
  <si>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</si>
  <si>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</si>
  <si>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</si>
  <si>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</si>
  <si>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</si>
  <si>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</si>
  <si>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</si>
  <si>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</si>
  <si>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</si>
  <si>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</si>
  <si>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</si>
  <si>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</si>
  <si>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</si>
  <si>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</si>
  <si>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</si>
  <si>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</si>
  <si>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</si>
  <si>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</si>
  <si>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</si>
  <si>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</si>
  <si>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</si>
  <si>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</si>
  <si>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</si>
  <si>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</si>
  <si>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</si>
  <si>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</si>
  <si>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</si>
  <si>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</si>
  <si>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</si>
  <si>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</si>
  <si>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</si>
  <si>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</si>
  <si>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</si>
  <si>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</si>
  <si>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</si>
  <si>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</si>
  <si>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</si>
  <si>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</si>
  <si>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</si>
  <si>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</si>
  <si>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</si>
  <si>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</si>
  <si>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</si>
  <si>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</si>
  <si>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</si>
  <si>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</si>
  <si>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</si>
  <si>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</si>
  <si>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</si>
  <si>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</si>
  <si>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</si>
  <si>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</si>
  <si>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</si>
  <si>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</si>
  <si>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</si>
  <si>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</si>
  <si>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</si>
  <si>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</si>
  <si>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</si>
  <si>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</si>
  <si>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</si>
  <si>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</si>
  <si>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</si>
  <si>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</si>
  <si>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</si>
  <si>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</si>
  <si>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</si>
  <si>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</si>
  <si>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</si>
  <si>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</si>
  <si>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</si>
  <si>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</si>
  <si>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</si>
  <si>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</si>
  <si>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</si>
  <si>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</si>
  <si>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</si>
  <si>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</si>
  <si>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</si>
  <si>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</si>
  <si>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</si>
  <si>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</si>
  <si>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</si>
  <si>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</si>
  <si>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</si>
  <si>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</si>
  <si>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</si>
  <si>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</si>
  <si>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</si>
  <si>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</si>
  <si>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</si>
  <si>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</si>
  <si>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</si>
  <si>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</si>
  <si>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</si>
  <si>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</si>
  <si>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</si>
  <si>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</si>
  <si>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</si>
  <si>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</si>
  <si>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</si>
  <si>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</si>
  <si>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</si>
  <si>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</si>
  <si>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</si>
  <si>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</si>
  <si>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</si>
  <si>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</si>
  <si>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</si>
  <si>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</si>
  <si>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</si>
  <si>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</si>
  <si>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</si>
  <si>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</si>
  <si>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</si>
  <si>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</si>
  <si>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</si>
  <si>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</si>
  <si>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</si>
  <si>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</si>
  <si>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</si>
  <si>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</si>
  <si>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</si>
  <si>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</si>
  <si>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</si>
  <si>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</si>
  <si>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</si>
  <si>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</si>
  <si>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</si>
  <si>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</si>
  <si>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</si>
  <si>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</si>
  <si>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</si>
  <si>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</si>
  <si>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</si>
  <si>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</si>
  <si>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</si>
  <si>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</si>
  <si>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</si>
  <si>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</si>
  <si>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</si>
  <si>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</si>
  <si>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</si>
  <si>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</si>
  <si>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</si>
  <si>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</si>
  <si>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</si>
  <si>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</si>
  <si>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</si>
  <si>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</si>
  <si>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</si>
  <si>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</si>
  <si>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</si>
  <si>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</si>
  <si>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</si>
  <si>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</si>
  <si>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</si>
  <si>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</si>
  <si>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</si>
  <si>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</si>
  <si>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</si>
  <si>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</si>
  <si>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</si>
  <si>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</si>
  <si>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</si>
  <si>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</si>
  <si>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</si>
  <si>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</si>
  <si>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</si>
  <si>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</si>
  <si>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</si>
  <si>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</si>
  <si>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</si>
  <si>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</si>
  <si>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</si>
  <si>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</si>
  <si>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</si>
  <si>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</si>
  <si>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</si>
  <si>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</si>
  <si>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</si>
  <si>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</si>
  <si>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</si>
  <si>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</si>
  <si>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</si>
  <si>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</si>
  <si>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</si>
  <si>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</si>
  <si>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</si>
  <si>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</si>
  <si>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</si>
  <si>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</si>
  <si>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</si>
  <si>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</si>
  <si>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</si>
  <si>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</si>
  <si>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</si>
  <si>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</si>
  <si>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</si>
  <si>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</si>
  <si>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</si>
  <si>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</si>
  <si>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</si>
  <si>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</si>
  <si>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</si>
  <si>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</si>
  <si>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</si>
  <si>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</si>
  <si>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</si>
  <si>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</si>
  <si>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</si>
  <si>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</si>
  <si>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</si>
  <si>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</si>
  <si>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</si>
  <si>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</si>
  <si>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</si>
  <si>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</si>
  <si>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</si>
  <si>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</si>
  <si>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</si>
  <si>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</si>
  <si>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</si>
  <si>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</si>
  <si>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</si>
  <si>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</si>
  <si>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</si>
  <si>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</si>
  <si>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</si>
  <si>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</si>
  <si>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</si>
  <si>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</si>
  <si>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</si>
  <si>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</si>
  <si>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</si>
  <si>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</si>
  <si>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</si>
  <si>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</si>
  <si>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</si>
  <si>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</si>
  <si>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</si>
  <si>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</si>
  <si>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</si>
  <si>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</si>
  <si>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</si>
  <si>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</si>
  <si>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</si>
  <si>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</si>
  <si>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</si>
  <si>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</si>
  <si>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</si>
  <si>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</si>
  <si>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</si>
  <si>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</si>
  <si>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</si>
  <si>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</si>
  <si>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</si>
  <si>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</si>
  <si>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</si>
  <si>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</si>
  <si>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</si>
  <si>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</si>
  <si>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</si>
  <si>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</si>
  <si>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</si>
  <si>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</si>
  <si>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</si>
  <si>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</si>
  <si>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</si>
  <si>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</si>
  <si>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</si>
  <si>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</si>
  <si>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</si>
  <si>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</si>
  <si>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</si>
  <si>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</si>
  <si>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</si>
  <si>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</si>
  <si>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</si>
  <si>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</si>
  <si>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</si>
  <si>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</si>
  <si>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</si>
  <si>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</si>
  <si>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</si>
  <si>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</si>
  <si>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</si>
  <si>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</si>
  <si>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</si>
  <si>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</si>
  <si>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</si>
  <si>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</si>
  <si>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</si>
  <si>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</si>
  <si>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</si>
  <si>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</si>
  <si>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</si>
  <si>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</si>
  <si>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</si>
  <si>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</si>
  <si>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</si>
  <si>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</si>
  <si>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</si>
  <si>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</si>
  <si>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</si>
  <si>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</si>
  <si>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</si>
  <si>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</si>
  <si>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</si>
  <si>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</si>
  <si>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</si>
  <si>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</si>
  <si>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</si>
  <si>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</si>
  <si>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</si>
  <si>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</si>
  <si>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</si>
  <si>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</si>
  <si>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</si>
  <si>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</si>
  <si>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</si>
  <si>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</si>
  <si>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</si>
  <si>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</si>
  <si>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</si>
  <si>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</si>
  <si>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</si>
  <si>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</si>
  <si>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</si>
  <si>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</si>
  <si>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</si>
  <si>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</si>
  <si>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</si>
  <si>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</si>
  <si>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</si>
  <si>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</si>
  <si>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</si>
  <si>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</si>
  <si>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</si>
  <si>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</si>
  <si>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</si>
  <si>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</si>
  <si>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</si>
  <si>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</si>
  <si>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</si>
  <si>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</si>
  <si>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</si>
  <si>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</si>
  <si>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</si>
  <si>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</si>
  <si>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</si>
  <si>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</si>
  <si>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</si>
  <si>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</si>
  <si>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</si>
  <si>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</si>
  <si>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</si>
  <si>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</si>
  <si>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</si>
  <si>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</si>
  <si>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</si>
  <si>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</si>
  <si>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</si>
  <si>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</si>
  <si>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</si>
  <si>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</si>
  <si>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</si>
  <si>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</si>
  <si>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</si>
  <si>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</si>
  <si>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</si>
  <si>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</si>
  <si>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</si>
  <si>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</si>
  <si>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</si>
  <si>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</si>
  <si>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</si>
  <si>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</si>
  <si>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</si>
  <si>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</si>
  <si>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</si>
  <si>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</si>
  <si>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</si>
  <si>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</si>
  <si>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</si>
  <si>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</si>
  <si>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</si>
  <si>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</si>
  <si>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</si>
  <si>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</si>
  <si>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</si>
  <si>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</si>
  <si>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</si>
  <si>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</si>
  <si>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</si>
  <si>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</si>
  <si>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</si>
  <si>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</si>
  <si>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</si>
  <si>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</si>
  <si>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</si>
  <si>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</si>
  <si>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</si>
  <si>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</si>
  <si>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</si>
  <si>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</si>
  <si>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</si>
  <si>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</si>
  <si>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</si>
  <si>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</si>
  <si>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</si>
  <si>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</si>
  <si>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</si>
  <si>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</si>
  <si>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</si>
  <si>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</si>
  <si>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</si>
  <si>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</si>
  <si>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</si>
  <si>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</si>
  <si>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</si>
  <si>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</si>
  <si>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</si>
  <si>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</si>
  <si>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</si>
  <si>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</si>
  <si>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</si>
  <si>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</si>
  <si>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</si>
  <si>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</si>
  <si>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</si>
  <si>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</si>
  <si>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</si>
  <si>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</si>
  <si>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</si>
  <si>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</si>
  <si>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</si>
  <si>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</si>
  <si>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</si>
  <si>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</si>
  <si>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</si>
  <si>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</si>
  <si>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</si>
  <si>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</si>
  <si>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</si>
  <si>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</si>
  <si>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</si>
  <si>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</si>
  <si>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</si>
  <si>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</si>
  <si>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</si>
  <si>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</si>
  <si>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</si>
  <si>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</si>
  <si>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</si>
  <si>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</si>
  <si>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</si>
  <si>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</si>
  <si>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</si>
  <si>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</si>
  <si>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</si>
  <si>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</si>
  <si>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</si>
  <si>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</si>
  <si>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</si>
  <si>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</si>
  <si>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</si>
  <si>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</si>
  <si>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</si>
  <si>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</si>
  <si>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</si>
  <si>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</si>
  <si>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</si>
  <si>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</si>
  <si>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</si>
  <si>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</si>
  <si>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</si>
  <si>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</si>
  <si>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</si>
  <si>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</si>
  <si>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</si>
  <si>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</si>
  <si>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</si>
  <si>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</si>
  <si>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</si>
  <si>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</si>
  <si>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</si>
  <si>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</si>
  <si>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</si>
  <si>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</si>
  <si>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</si>
  <si>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</si>
  <si>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</si>
  <si>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</si>
  <si>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</si>
  <si>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</si>
  <si>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</si>
  <si>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</si>
  <si>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</si>
  <si>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</si>
  <si>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</si>
  <si>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</si>
  <si>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</si>
  <si>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</si>
  <si>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</si>
  <si>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</si>
  <si>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</si>
  <si>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</si>
  <si>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</si>
  <si>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</si>
  <si>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</si>
  <si>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</si>
  <si>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</si>
  <si>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</si>
  <si>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</si>
  <si>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</si>
  <si>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</si>
  <si>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</si>
  <si>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</si>
  <si>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</si>
  <si>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</si>
  <si>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</si>
  <si>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</si>
  <si>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</si>
  <si>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</si>
  <si>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</si>
  <si>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</si>
  <si>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</si>
  <si>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</si>
  <si>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</si>
  <si>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</si>
  <si>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</si>
  <si>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</si>
  <si>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</si>
  <si>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</si>
  <si>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</si>
  <si>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</si>
  <si>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</si>
  <si>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</si>
  <si>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</si>
  <si>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</si>
  <si>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</si>
  <si>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</si>
  <si>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</si>
  <si>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</si>
  <si>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</si>
  <si>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</si>
  <si>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</si>
  <si>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</si>
  <si>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</si>
  <si>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</si>
  <si>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</si>
  <si>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</si>
  <si>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</si>
  <si>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</si>
  <si>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</si>
  <si>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</si>
  <si>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</si>
  <si>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</si>
  <si>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</si>
  <si>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</si>
  <si>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</si>
  <si>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</si>
  <si>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</si>
  <si>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</si>
  <si>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</si>
  <si>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</si>
  <si>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</si>
  <si>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</si>
  <si>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</si>
  <si>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</si>
  <si>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</si>
  <si>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</si>
  <si>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</si>
  <si>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</si>
  <si>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</si>
  <si>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</si>
  <si>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</si>
  <si>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</si>
  <si>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</si>
  <si>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</si>
  <si>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</si>
  <si>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</si>
  <si>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</si>
  <si>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</si>
  <si>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</si>
  <si>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</si>
  <si>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</si>
  <si>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</si>
  <si>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</si>
  <si>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</si>
  <si>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</si>
  <si>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</si>
  <si>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</si>
  <si>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</si>
  <si>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</si>
  <si>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</si>
  <si>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</si>
  <si>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</si>
  <si>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</si>
  <si>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</si>
  <si>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</si>
  <si>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</si>
  <si>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</si>
  <si>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</si>
  <si>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</si>
  <si>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</si>
  <si>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</si>
  <si>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</si>
  <si>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</si>
  <si>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</si>
  <si>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</si>
  <si>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</si>
  <si>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</si>
  <si>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</si>
  <si>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</si>
  <si>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</si>
  <si>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</si>
  <si>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</si>
  <si>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</si>
  <si>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</si>
  <si>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</si>
  <si>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</si>
  <si>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</si>
  <si>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</si>
  <si>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</si>
  <si>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</si>
  <si>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</si>
  <si>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</si>
  <si>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</si>
  <si>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</si>
  <si>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</si>
  <si>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</si>
  <si>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</si>
  <si>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</si>
  <si>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</si>
  <si>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</si>
  <si>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</si>
  <si>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</si>
  <si>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</si>
  <si>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</si>
  <si>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</si>
  <si>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</si>
  <si>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</si>
  <si>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</si>
  <si>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</si>
  <si>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</si>
  <si>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</si>
  <si>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</si>
  <si>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</si>
  <si>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</si>
  <si>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</si>
  <si>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</si>
  <si>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</si>
  <si>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</si>
  <si>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</si>
  <si>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</si>
  <si>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</si>
  <si>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</si>
  <si>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</si>
  <si>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</si>
  <si>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</si>
  <si>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</si>
  <si>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</si>
  <si>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</si>
  <si>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</si>
  <si>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</si>
  <si>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</si>
  <si>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</si>
  <si>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</si>
  <si>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</si>
  <si>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</si>
  <si>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</si>
  <si>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</si>
  <si>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</si>
  <si>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</si>
  <si>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</si>
  <si>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</si>
  <si>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</si>
  <si>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</si>
  <si>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</si>
  <si>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</si>
  <si>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</si>
  <si>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</si>
  <si>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</si>
  <si>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</si>
  <si>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</si>
  <si>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</si>
  <si>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</si>
  <si>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</si>
  <si>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</si>
  <si>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</si>
  <si>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</si>
  <si>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</si>
  <si>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</si>
  <si>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</si>
  <si>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</si>
  <si>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</si>
  <si>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</si>
  <si>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</si>
  <si>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</si>
  <si>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</si>
  <si>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</si>
  <si>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</si>
  <si>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</si>
  <si>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</si>
  <si>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</si>
  <si>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</si>
  <si>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</si>
  <si>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</si>
  <si>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</si>
  <si>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</si>
  <si>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</si>
  <si>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</si>
  <si>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</si>
  <si>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</si>
  <si>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</si>
  <si>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</si>
  <si>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</si>
  <si>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</si>
  <si>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</si>
  <si>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</si>
  <si>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</si>
  <si>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</si>
  <si>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</si>
  <si>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</si>
  <si>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</si>
  <si>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</si>
  <si>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</si>
  <si>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</si>
  <si>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</si>
  <si>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</si>
  <si>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</si>
  <si>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</si>
  <si>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</si>
  <si>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</si>
  <si>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</si>
  <si>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</si>
  <si>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</si>
  <si>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</si>
  <si>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</si>
  <si>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</si>
  <si>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</si>
  <si>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</si>
  <si>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</si>
  <si>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</si>
  <si>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</si>
  <si>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</si>
  <si>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</si>
  <si>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</si>
  <si>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</si>
  <si>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</si>
  <si>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</si>
  <si>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</si>
  <si>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</si>
  <si>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</si>
  <si>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</si>
  <si>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</si>
  <si>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</si>
  <si>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</si>
  <si>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</si>
  <si>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</si>
  <si>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</si>
  <si>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</si>
  <si>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</si>
  <si>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</si>
  <si>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</si>
  <si>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</si>
  <si>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</si>
  <si>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</si>
  <si>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</si>
  <si>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</si>
  <si>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</si>
  <si>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</si>
  <si>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</si>
  <si>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</si>
  <si>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</si>
  <si>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</si>
  <si>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</si>
  <si>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</si>
  <si>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</si>
  <si>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</si>
  <si>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</si>
  <si>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</si>
  <si>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</si>
  <si>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</si>
  <si>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</si>
  <si>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</si>
  <si>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</si>
  <si>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</si>
  <si>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</si>
  <si>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</si>
  <si>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</si>
  <si>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</si>
  <si>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</si>
  <si>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</si>
  <si>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</si>
  <si>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</si>
  <si>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</si>
  <si>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</si>
  <si>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</si>
  <si>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</si>
  <si>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</si>
  <si>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</si>
  <si>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</si>
  <si>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</si>
  <si>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</si>
  <si>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</si>
  <si>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</si>
  <si>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</si>
  <si>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</si>
  <si>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</si>
  <si>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</si>
  <si>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</si>
  <si>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</si>
  <si>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</si>
  <si>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</si>
  <si>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</si>
  <si>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</si>
  <si>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</si>
  <si>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</si>
  <si>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</si>
  <si>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</si>
  <si>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</si>
  <si>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</si>
  <si>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</si>
  <si>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</si>
  <si>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</si>
  <si>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</si>
  <si>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</si>
  <si>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</si>
  <si>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</si>
  <si>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</si>
  <si>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</si>
  <si>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</si>
  <si>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</si>
  <si>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</si>
  <si>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</si>
  <si>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</si>
  <si>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</si>
  <si>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</si>
  <si>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</si>
  <si>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</si>
  <si>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</si>
  <si>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</si>
  <si>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</si>
  <si>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</si>
  <si>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</si>
  <si>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</si>
  <si>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</si>
  <si>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</si>
  <si>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</si>
  <si>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</si>
  <si>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</si>
  <si>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</si>
  <si>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</si>
  <si>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</si>
  <si>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</si>
  <si>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</si>
  <si>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</si>
  <si>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</si>
  <si>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</si>
  <si>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</si>
  <si>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</si>
  <si>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</si>
  <si>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</si>
  <si>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</si>
  <si>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</si>
  <si>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</si>
  <si>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</si>
  <si>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</si>
  <si>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</si>
  <si>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</si>
  <si>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</si>
  <si>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</si>
  <si>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</si>
  <si>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</si>
  <si>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</si>
  <si>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</si>
  <si>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</si>
  <si>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</si>
  <si>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</si>
  <si>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</si>
  <si>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</si>
  <si>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</si>
  <si>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</si>
  <si>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</si>
  <si>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</si>
  <si>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</si>
  <si>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</si>
  <si>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</si>
  <si>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</si>
  <si>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</si>
  <si>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</si>
  <si>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</si>
  <si>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</si>
  <si>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</si>
  <si>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</si>
  <si>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</si>
  <si>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</si>
  <si>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</si>
  <si>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</si>
  <si>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</si>
  <si>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</si>
  <si>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</si>
  <si>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</si>
  <si>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</si>
  <si>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</si>
  <si>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</si>
  <si>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</si>
  <si>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</si>
  <si>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</si>
  <si>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</si>
  <si>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</si>
  <si>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</si>
  <si>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</si>
  <si>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</si>
  <si>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</si>
  <si>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</si>
  <si>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</si>
  <si>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</si>
  <si>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</si>
  <si>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</si>
  <si>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</si>
  <si>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</si>
  <si>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</si>
  <si>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</si>
  <si>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</si>
  <si>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</si>
  <si>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</si>
  <si>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</si>
  <si>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</si>
  <si>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</si>
  <si>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</si>
  <si>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</si>
  <si>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</si>
  <si>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</si>
  <si>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</si>
  <si>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</si>
  <si>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</si>
  <si>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</si>
  <si>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</si>
  <si>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</si>
  <si>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</si>
  <si>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</si>
  <si>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</si>
  <si>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</si>
  <si>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</si>
  <si>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</si>
  <si>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</si>
  <si>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</si>
  <si>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</si>
  <si>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</si>
  <si>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</si>
  <si>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</si>
  <si>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</si>
  <si>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</si>
  <si>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</si>
  <si>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</si>
  <si>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</si>
  <si>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</si>
  <si>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</si>
  <si>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</si>
  <si>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</si>
  <si>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</si>
  <si>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</si>
  <si>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</si>
  <si>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</si>
  <si>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</si>
  <si>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</si>
  <si>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</si>
  <si>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</si>
  <si>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</si>
  <si>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</si>
  <si>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</si>
  <si>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</si>
  <si>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</si>
  <si>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</si>
  <si>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</si>
  <si>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</si>
  <si>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</si>
  <si>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</si>
  <si>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</si>
  <si>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</si>
  <si>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</si>
  <si>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</si>
  <si>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</si>
  <si>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</si>
  <si>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</si>
  <si>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</si>
  <si>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</si>
  <si>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</si>
  <si>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</si>
  <si>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</si>
  <si>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</si>
  <si>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</si>
  <si>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</si>
  <si>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</si>
  <si>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</si>
  <si>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</si>
  <si>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</si>
  <si>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</si>
  <si>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</si>
  <si>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</si>
  <si>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</si>
  <si>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</si>
  <si>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</si>
  <si>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</si>
  <si>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</si>
  <si>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</si>
  <si>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</si>
  <si>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</si>
  <si>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</si>
  <si>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</si>
  <si>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</si>
  <si>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</si>
  <si>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</si>
  <si>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</si>
  <si>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</si>
  <si>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</si>
  <si>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</si>
  <si>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</si>
  <si>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</si>
  <si>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</si>
  <si>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</si>
  <si>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</si>
  <si>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</si>
  <si>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</si>
  <si>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</si>
  <si>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</si>
  <si>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</si>
  <si>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</si>
  <si>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</si>
  <si>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</si>
  <si>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</si>
  <si>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</si>
  <si>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</si>
  <si>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</si>
  <si>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</si>
  <si>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</si>
  <si>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</si>
  <si>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</si>
  <si>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</si>
  <si>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</si>
  <si>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</si>
  <si>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</si>
  <si>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</si>
  <si>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</si>
  <si>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</si>
  <si>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</si>
  <si>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</si>
  <si>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</si>
  <si>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</si>
  <si>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</si>
  <si>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</si>
  <si>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</si>
  <si>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</si>
  <si>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</si>
  <si>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</si>
  <si>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</si>
  <si>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</si>
  <si>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</si>
  <si>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</si>
  <si>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</si>
  <si>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</si>
  <si>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</si>
  <si>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</si>
  <si>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</si>
  <si>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</si>
  <si>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</si>
  <si>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</si>
  <si>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</si>
  <si>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</si>
  <si>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</si>
  <si>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</si>
  <si>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</si>
  <si>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</si>
  <si>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</si>
  <si>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</si>
  <si>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</si>
  <si>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</si>
  <si>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</si>
  <si>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</si>
  <si>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</si>
  <si>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</si>
  <si>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</si>
  <si>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</si>
  <si>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</si>
  <si>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</si>
  <si>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</si>
  <si>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</si>
  <si>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</si>
  <si>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</si>
  <si>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</si>
  <si>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</si>
  <si>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</si>
  <si>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</si>
  <si>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</si>
  <si>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</si>
  <si>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</si>
  <si>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</si>
  <si>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</si>
  <si>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</si>
  <si>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</si>
  <si>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</si>
  <si>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</si>
  <si>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</si>
  <si>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</si>
  <si>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</si>
  <si>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</si>
  <si>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</si>
  <si>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</si>
  <si>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</si>
  <si>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</si>
  <si>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</si>
  <si>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</si>
  <si>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</si>
  <si>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</si>
  <si>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</si>
  <si>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</si>
  <si>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</si>
  <si>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</si>
  <si>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</si>
  <si>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</si>
  <si>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</si>
  <si>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</si>
  <si>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</si>
  <si>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</si>
  <si>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</si>
  <si>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</si>
  <si>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</si>
  <si>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</si>
  <si>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</si>
  <si>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</si>
  <si>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</si>
  <si>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</si>
  <si>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</si>
  <si>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</si>
  <si>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</si>
  <si>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</si>
  <si>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</si>
  <si>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</si>
  <si>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</si>
  <si>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</si>
  <si>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</si>
  <si>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</si>
  <si>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</si>
  <si>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</si>
  <si>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</si>
  <si>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</si>
  <si>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</si>
  <si>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</si>
  <si>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</si>
  <si>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</si>
  <si>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</si>
  <si>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</si>
  <si>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</si>
  <si>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</si>
  <si>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</si>
  <si>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</si>
  <si>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</si>
  <si>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</si>
  <si>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</si>
  <si>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</si>
  <si>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</si>
  <si>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</si>
  <si>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</si>
  <si>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</si>
  <si>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</si>
  <si>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</si>
  <si>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</si>
  <si>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</si>
  <si>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</si>
  <si>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</si>
  <si>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</si>
  <si>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</si>
  <si>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</si>
  <si>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</si>
  <si>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</si>
  <si>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</si>
  <si>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</si>
  <si>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</si>
  <si>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</si>
  <si>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</si>
  <si>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</si>
  <si>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</si>
  <si>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</si>
  <si>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</si>
  <si>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</si>
  <si>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</si>
  <si>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</si>
  <si>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</si>
  <si>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</si>
  <si>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</si>
  <si>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</si>
  <si>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</si>
  <si>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</si>
  <si>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</si>
  <si>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</si>
  <si>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</si>
  <si>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</si>
  <si>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</si>
  <si>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</si>
  <si>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</si>
  <si>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</si>
  <si>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</si>
  <si>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</si>
  <si>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</si>
  <si>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</si>
  <si>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</si>
  <si>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</si>
  <si>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</si>
  <si>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</si>
  <si>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</si>
  <si>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</si>
  <si>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</si>
  <si>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</si>
  <si>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</si>
  <si>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</si>
  <si>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</si>
  <si>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</si>
  <si>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</si>
  <si>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</si>
  <si>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</si>
  <si>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</si>
  <si>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</si>
  <si>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</si>
  <si>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</si>
  <si>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</si>
  <si>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</si>
  <si>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</si>
  <si>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</si>
  <si>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</si>
  <si>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</si>
  <si>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</si>
  <si>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</si>
  <si>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</si>
  <si>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</si>
  <si>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</si>
  <si>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</si>
  <si>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</si>
  <si>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</si>
  <si>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</si>
  <si>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</si>
  <si>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</si>
  <si>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</si>
  <si>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</si>
  <si>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</si>
  <si>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</si>
  <si>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</si>
  <si>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</si>
  <si>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</si>
  <si>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</si>
  <si>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</si>
  <si>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</si>
  <si>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</si>
  <si>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</si>
  <si>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</si>
  <si>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</si>
  <si>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</si>
  <si>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</si>
  <si>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</si>
  <si>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</si>
  <si>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</si>
  <si>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</si>
  <si>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</si>
  <si>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</si>
  <si>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</si>
  <si>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</si>
  <si>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</si>
  <si>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</si>
  <si>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</si>
  <si>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</si>
  <si>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</si>
  <si>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</si>
  <si>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</si>
  <si>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</si>
  <si>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</si>
  <si>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</si>
  <si>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</si>
  <si>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</si>
  <si>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</si>
  <si>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</si>
  <si>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</si>
  <si>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</si>
  <si>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</si>
  <si>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</si>
  <si>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</si>
  <si>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</si>
  <si>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</si>
  <si>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</si>
  <si>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</si>
  <si>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</si>
  <si>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</si>
  <si>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</si>
  <si>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</si>
  <si>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</si>
  <si>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</si>
  <si>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</si>
  <si>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</si>
  <si>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</si>
  <si>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</si>
  <si>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</si>
  <si>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</si>
  <si>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</si>
  <si>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</si>
  <si>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</si>
  <si>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</si>
  <si>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</si>
  <si>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</si>
  <si>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</si>
  <si>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</si>
  <si>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</si>
  <si>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</si>
  <si>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</si>
  <si>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</si>
  <si>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</si>
  <si>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</si>
  <si>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</si>
  <si>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</si>
  <si>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</si>
  <si>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</si>
  <si>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</si>
  <si>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</si>
  <si>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</si>
  <si>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</si>
  <si>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</si>
  <si>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</si>
  <si>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</si>
  <si>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</si>
  <si>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</si>
  <si>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</si>
  <si>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</si>
  <si>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</si>
  <si>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</si>
  <si>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</si>
  <si>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</si>
  <si>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</si>
  <si>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</si>
  <si>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</si>
  <si>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</si>
  <si>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</si>
  <si>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</si>
  <si>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</si>
  <si>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</si>
  <si>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</si>
  <si>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</si>
  <si>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</si>
  <si>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</si>
  <si>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</si>
  <si>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</si>
  <si>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</si>
  <si>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</si>
  <si>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</si>
  <si>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</si>
  <si>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</si>
  <si>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</si>
  <si>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</si>
  <si>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</si>
  <si>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</si>
  <si>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</si>
  <si>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</si>
  <si>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</si>
  <si>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</si>
  <si>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</si>
  <si>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</si>
  <si>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</si>
  <si>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</si>
  <si>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</si>
  <si>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</si>
  <si>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</si>
  <si>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</si>
  <si>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</si>
  <si>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</si>
  <si>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</si>
  <si>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</si>
  <si>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</si>
  <si>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</si>
  <si>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</si>
  <si>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</si>
  <si>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</si>
  <si>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</si>
  <si>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</si>
  <si>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</si>
  <si>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</si>
  <si>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</si>
  <si>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</si>
  <si>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</si>
  <si>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</si>
  <si>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</si>
  <si>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</si>
  <si>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</si>
  <si>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</si>
  <si>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</si>
  <si>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</si>
  <si>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</si>
  <si>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</si>
  <si>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</si>
  <si>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</si>
  <si>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</si>
  <si>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</si>
  <si>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</si>
  <si>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</si>
  <si>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</si>
  <si>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</si>
  <si>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</si>
  <si>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</si>
  <si>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</si>
  <si>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</si>
  <si>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</si>
  <si>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</si>
  <si>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</si>
  <si>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</si>
  <si>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</si>
  <si>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</si>
  <si>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</si>
  <si>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</si>
  <si>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</si>
  <si>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</si>
  <si>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</si>
  <si>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</si>
  <si>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</si>
  <si>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</si>
  <si>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</si>
  <si>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</si>
  <si>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</si>
  <si>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</si>
  <si>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</si>
  <si>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</si>
  <si>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</si>
  <si>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</si>
  <si>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</si>
  <si>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</si>
  <si>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</si>
  <si>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</si>
  <si>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</si>
  <si>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</si>
  <si>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</si>
  <si>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</si>
  <si>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</si>
  <si>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</si>
  <si>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</si>
  <si>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</si>
  <si>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</si>
  <si>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</si>
  <si>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</si>
  <si>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</si>
  <si>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</si>
  <si>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</si>
  <si>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</si>
  <si>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</si>
  <si>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</si>
  <si>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</si>
  <si>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</si>
  <si>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</si>
  <si>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</si>
  <si>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</si>
  <si>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</si>
  <si>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</si>
  <si>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</si>
  <si>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</si>
  <si>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</si>
  <si>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</si>
  <si>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</si>
  <si>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</si>
  <si>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</si>
  <si>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</si>
  <si>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</si>
  <si>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</si>
  <si>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</si>
  <si>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</si>
  <si>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</si>
  <si>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</si>
  <si>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</si>
  <si>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</si>
  <si>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</si>
  <si>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</si>
  <si>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</si>
  <si>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</si>
  <si>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</si>
  <si>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</si>
  <si>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</si>
  <si>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</si>
  <si>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</si>
  <si>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</si>
  <si>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</si>
  <si>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</si>
  <si>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</si>
  <si>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</si>
  <si>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</si>
  <si>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</si>
  <si>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</si>
  <si>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</si>
  <si>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</si>
  <si>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</si>
  <si>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</si>
  <si>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</si>
  <si>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</si>
  <si>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</si>
  <si>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</si>
  <si>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</si>
  <si>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</si>
  <si>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</si>
  <si>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</si>
  <si>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</si>
  <si>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</si>
  <si>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</si>
  <si>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</si>
  <si>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</si>
  <si>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</si>
  <si>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</si>
  <si>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</si>
  <si>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</si>
  <si>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</si>
  <si>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</si>
  <si>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</si>
  <si>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</si>
  <si>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</si>
  <si>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</si>
  <si>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</si>
  <si>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</si>
  <si>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</si>
  <si>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</si>
  <si>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</si>
  <si>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</si>
  <si>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</si>
  <si>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</si>
  <si>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</si>
  <si>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</si>
  <si>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</si>
  <si>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</si>
  <si>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</si>
  <si>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</si>
  <si>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</si>
  <si>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</si>
  <si>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</si>
  <si>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</si>
  <si>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</si>
  <si>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</si>
  <si>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</si>
  <si>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</si>
  <si>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</si>
  <si>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</si>
  <si>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</si>
  <si>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</si>
  <si>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</si>
  <si>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</si>
  <si>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</si>
  <si>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</si>
  <si>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</si>
  <si>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</si>
  <si>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</si>
  <si>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</si>
  <si>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</si>
  <si>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</si>
  <si>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</si>
  <si>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</si>
  <si>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</si>
  <si>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</si>
  <si>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</si>
  <si>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</si>
  <si>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</si>
  <si>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</si>
  <si>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</si>
  <si>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</si>
  <si>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</si>
  <si>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</si>
  <si>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</si>
  <si>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</si>
  <si>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</si>
  <si>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</si>
  <si>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</si>
  <si>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</si>
  <si>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</si>
  <si>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</si>
  <si>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</si>
  <si>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</si>
  <si>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</si>
  <si>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</si>
  <si>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</si>
  <si>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</si>
  <si>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</si>
  <si>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</si>
  <si>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</si>
  <si>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</si>
  <si>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</si>
  <si>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</si>
  <si>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</si>
  <si>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</si>
  <si>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</si>
  <si>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</si>
  <si>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</si>
  <si>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</si>
  <si>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</si>
  <si>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</si>
  <si>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</si>
  <si>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</si>
  <si>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</si>
  <si>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</si>
  <si>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</si>
  <si>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</si>
  <si>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</si>
  <si>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</si>
  <si>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</si>
  <si>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</si>
  <si>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</si>
  <si>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</si>
  <si>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</si>
  <si>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</si>
  <si>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</si>
  <si>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</si>
  <si>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</si>
  <si>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</si>
  <si>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</si>
  <si>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</si>
  <si>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</si>
  <si>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</si>
  <si>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</si>
  <si>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</si>
  <si>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</si>
  <si>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</si>
  <si>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</si>
  <si>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</si>
  <si>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</si>
  <si>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</si>
  <si>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</si>
  <si>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</si>
  <si>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</si>
  <si>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</si>
  <si>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</si>
  <si>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</si>
  <si>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</si>
  <si>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</si>
  <si>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</si>
  <si>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</si>
  <si>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</si>
  <si>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</si>
  <si>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</si>
  <si>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</si>
  <si>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</si>
  <si>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</si>
  <si>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</si>
  <si>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</si>
  <si>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</si>
  <si>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</si>
  <si>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</si>
  <si>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</si>
  <si>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</si>
  <si>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</si>
  <si>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</si>
  <si>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</si>
  <si>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</si>
  <si>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</si>
  <si>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</si>
  <si>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</si>
  <si>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</si>
  <si>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</si>
  <si>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</si>
  <si>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</si>
  <si>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</si>
  <si>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</si>
  <si>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</si>
  <si>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</si>
  <si>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</si>
  <si>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</si>
  <si>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</si>
  <si>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</si>
  <si>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</si>
  <si>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</si>
  <si>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</si>
  <si>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</si>
  <si>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</si>
  <si>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</si>
  <si>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</si>
  <si>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</si>
  <si>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</si>
  <si>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</si>
  <si>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</si>
  <si>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</si>
  <si>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</si>
  <si>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</si>
  <si>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</si>
  <si>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</si>
  <si>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</si>
  <si>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</si>
  <si>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</si>
  <si>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</si>
  <si>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</si>
  <si>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</si>
  <si>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</si>
  <si>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</si>
  <si>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</si>
  <si>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</si>
  <si>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</si>
  <si>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</si>
  <si>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</si>
  <si>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</si>
  <si>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</si>
  <si>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</si>
  <si>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</si>
  <si>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</si>
  <si>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</si>
  <si>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</si>
  <si>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</si>
  <si>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</si>
  <si>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</si>
  <si>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</si>
  <si>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</si>
  <si>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</si>
  <si>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</si>
  <si>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</si>
  <si>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</si>
  <si>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</si>
  <si>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</si>
  <si>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</si>
  <si>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</si>
  <si>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</si>
  <si>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</si>
  <si>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</si>
  <si>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</si>
  <si>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</si>
  <si>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</si>
  <si>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</si>
  <si>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</si>
  <si>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</si>
  <si>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</si>
  <si>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</si>
  <si>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</si>
  <si>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</si>
  <si>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</si>
  <si>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</si>
  <si>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</si>
  <si>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</si>
  <si>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</si>
  <si>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</si>
  <si>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</si>
  <si>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</si>
  <si>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</si>
  <si>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</si>
  <si>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</si>
  <si>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</si>
  <si>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</si>
  <si>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</si>
  <si>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</si>
  <si>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</si>
  <si>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</si>
  <si>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</si>
  <si>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</si>
  <si>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</si>
  <si>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</si>
  <si>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</si>
  <si>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</si>
  <si>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</si>
  <si>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</si>
  <si>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</si>
  <si>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</si>
  <si>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</si>
  <si>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</si>
  <si>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</si>
  <si>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</si>
  <si>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</si>
  <si>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</si>
  <si>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</si>
  <si>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</si>
  <si>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</si>
  <si>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</si>
  <si>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</si>
  <si>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</si>
  <si>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</si>
  <si>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</si>
  <si>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</si>
  <si>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</si>
  <si>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</si>
  <si>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</si>
  <si>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</si>
  <si>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</si>
  <si>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</si>
  <si>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</si>
  <si>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</si>
  <si>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</si>
  <si>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</si>
  <si>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</si>
  <si>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</si>
  <si>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</si>
  <si>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</si>
  <si>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</si>
  <si>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</si>
  <si>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</si>
  <si>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</si>
  <si>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</si>
  <si>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</si>
  <si>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</si>
  <si>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</si>
  <si>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</si>
  <si>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</si>
  <si>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</si>
  <si>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</si>
  <si>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</si>
  <si>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</si>
  <si>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</si>
  <si>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</si>
  <si>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</si>
  <si>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</si>
  <si>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</si>
  <si>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</si>
  <si>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</si>
  <si>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</si>
  <si>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</si>
  <si>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</si>
  <si>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</si>
  <si>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</si>
  <si>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</si>
  <si>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</si>
  <si>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</si>
  <si>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</si>
  <si>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</si>
  <si>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</si>
  <si>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</si>
  <si>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</si>
  <si>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</si>
  <si>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</si>
  <si>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</si>
  <si>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</si>
  <si>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</si>
  <si>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</si>
  <si>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</si>
  <si>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</si>
  <si>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</si>
  <si>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</si>
  <si>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</si>
  <si>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</si>
  <si>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</si>
  <si>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</si>
  <si>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</si>
  <si>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</si>
  <si>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</si>
  <si>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</si>
  <si>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</si>
  <si>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</si>
  <si>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</si>
  <si>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</si>
  <si>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</si>
  <si>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</si>
  <si>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</si>
  <si>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</si>
  <si>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</si>
  <si>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</si>
  <si>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</si>
  <si>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</si>
  <si>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</si>
  <si>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</si>
  <si>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</si>
  <si>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</si>
  <si>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</si>
  <si>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</si>
  <si>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</si>
  <si>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</si>
  <si>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</si>
  <si>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</si>
  <si>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</si>
  <si>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</si>
  <si>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</si>
  <si>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</si>
  <si>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</si>
  <si>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</si>
  <si>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</si>
  <si>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</si>
  <si>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</si>
  <si>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</si>
  <si>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</si>
  <si>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</si>
  <si>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</si>
  <si>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</si>
  <si>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</si>
  <si>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</si>
  <si>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</si>
  <si>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</si>
  <si>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</si>
  <si>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</si>
  <si>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</si>
  <si>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</si>
  <si>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</si>
  <si>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</si>
  <si>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</si>
  <si>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</si>
  <si>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</si>
  <si>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</si>
  <si>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</si>
  <si>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</si>
  <si>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</si>
  <si>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</si>
  <si>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</si>
  <si>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</si>
  <si>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</si>
  <si>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</si>
  <si>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</si>
  <si>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</si>
  <si>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</si>
  <si>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</si>
  <si>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</si>
  <si>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</si>
  <si>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</si>
  <si>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</si>
  <si>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</si>
  <si>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</si>
  <si>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</si>
  <si>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</si>
  <si>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</si>
  <si>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</si>
  <si>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</si>
  <si>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</si>
  <si>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</si>
  <si>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</si>
  <si>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</si>
  <si>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</si>
  <si>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</si>
  <si>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</si>
  <si>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</si>
  <si>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</si>
  <si>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</si>
  <si>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</si>
  <si>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</si>
  <si>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</si>
  <si>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</si>
  <si>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</si>
  <si>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</si>
  <si>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</si>
  <si>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</si>
  <si>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</si>
  <si>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</si>
  <si>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</si>
  <si>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</si>
  <si>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</si>
  <si>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</si>
  <si>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</si>
  <si>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</si>
  <si>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</si>
  <si>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</si>
  <si>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</si>
  <si>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</si>
  <si>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</si>
  <si>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</si>
  <si>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</si>
  <si>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</si>
  <si>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</si>
  <si>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</si>
  <si>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</si>
  <si>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</si>
  <si>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</si>
  <si>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</si>
  <si>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</si>
  <si>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</si>
  <si>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</si>
  <si>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</si>
  <si>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</si>
  <si>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</si>
  <si>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</si>
  <si>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</si>
  <si>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</si>
  <si>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</si>
  <si>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</si>
  <si>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</si>
  <si>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</si>
  <si>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</si>
  <si>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</si>
  <si>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</si>
  <si>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</si>
  <si>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</si>
  <si>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</si>
  <si>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</si>
  <si>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</si>
  <si>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</si>
  <si>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</si>
  <si>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</si>
  <si>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</si>
  <si>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</si>
  <si>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</si>
  <si>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</si>
  <si>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</si>
  <si>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</si>
  <si>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</si>
  <si>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</si>
  <si>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</si>
  <si>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</si>
  <si>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</si>
  <si>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</si>
  <si>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</si>
  <si>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</si>
  <si>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</si>
  <si>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</si>
  <si>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</si>
  <si>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</si>
  <si>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</si>
  <si>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</si>
  <si>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</si>
  <si>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</si>
  <si>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</si>
  <si>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</si>
  <si>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</si>
  <si>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</si>
  <si>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</si>
  <si>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</si>
  <si>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</si>
  <si>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</si>
  <si>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</si>
  <si>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</si>
  <si>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</si>
  <si>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</si>
  <si>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</si>
  <si>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</si>
  <si>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</si>
  <si>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</si>
  <si>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</si>
  <si>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</si>
  <si>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</si>
  <si>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</si>
  <si>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</si>
  <si>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</si>
  <si>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</si>
  <si>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</si>
  <si>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</si>
  <si>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</si>
  <si>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</si>
  <si>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</si>
  <si>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</si>
  <si>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</si>
  <si>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</si>
  <si>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</si>
  <si>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</si>
  <si>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</si>
  <si>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</si>
  <si>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</si>
  <si>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</si>
  <si>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</si>
  <si>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</si>
  <si>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</si>
  <si>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</si>
  <si>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</si>
  <si>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</si>
  <si>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</si>
  <si>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</si>
  <si>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</si>
  <si>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</si>
  <si>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</si>
  <si>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</si>
  <si>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</si>
  <si>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</si>
  <si>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</si>
  <si>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</si>
  <si>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</si>
  <si>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</si>
  <si>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</si>
  <si>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</si>
  <si>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</si>
  <si>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</si>
  <si>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</si>
  <si>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</si>
  <si>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</si>
  <si>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</si>
  <si>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</si>
  <si>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</si>
  <si>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</si>
  <si>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</si>
  <si>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</si>
  <si>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</si>
  <si>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</si>
  <si>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</si>
  <si>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</si>
  <si>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</si>
  <si>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</si>
  <si>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</si>
  <si>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</si>
  <si>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</si>
  <si>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</si>
  <si>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</si>
  <si>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</si>
  <si>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</si>
  <si>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</si>
  <si>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</si>
  <si>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</si>
  <si>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</si>
  <si>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</si>
  <si>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</si>
  <si>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</si>
  <si>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</si>
  <si>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</si>
  <si>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</si>
  <si>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</si>
  <si>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</si>
  <si>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</si>
  <si>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</si>
  <si>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</si>
  <si>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</si>
  <si>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</si>
  <si>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</si>
  <si>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</si>
  <si>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</si>
  <si>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</si>
  <si>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</si>
  <si>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</si>
  <si>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</si>
  <si>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</si>
  <si>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</si>
  <si>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</si>
  <si>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</si>
  <si>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</si>
  <si>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</si>
  <si>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</si>
  <si>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</si>
  <si>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</si>
  <si>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</si>
  <si>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</si>
  <si>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</si>
  <si>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</si>
  <si>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</si>
  <si>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</si>
  <si>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</si>
  <si>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</si>
  <si>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</si>
  <si>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</si>
  <si>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</si>
  <si>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</si>
  <si>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</si>
  <si>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</si>
  <si>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</si>
  <si>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</si>
  <si>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</si>
  <si>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</si>
  <si>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</si>
  <si>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</si>
  <si>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</si>
  <si>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</si>
  <si>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</si>
  <si>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</si>
  <si>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</si>
  <si>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</si>
  <si>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</si>
  <si>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</si>
  <si>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</si>
  <si>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</si>
  <si>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</si>
  <si>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</si>
  <si>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</si>
  <si>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</si>
  <si>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</si>
  <si>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</si>
  <si>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</si>
  <si>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</si>
  <si>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</si>
  <si>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</si>
  <si>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</si>
  <si>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</si>
  <si>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</si>
  <si>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</si>
  <si>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</si>
  <si>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</si>
  <si>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</si>
  <si>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</si>
  <si>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</si>
  <si>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</si>
  <si>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</si>
  <si>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</si>
  <si>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</si>
  <si>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</si>
  <si>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</si>
  <si>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</si>
  <si>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</si>
  <si>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</si>
  <si>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</si>
  <si>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</si>
  <si>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</si>
  <si>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</si>
  <si>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</si>
  <si>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</si>
  <si>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</si>
  <si>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</si>
  <si>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</si>
  <si>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</si>
  <si>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</si>
  <si>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</si>
  <si>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</si>
  <si>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</si>
  <si>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</si>
  <si>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</si>
  <si>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</si>
  <si>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</si>
  <si>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</si>
  <si>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</si>
  <si>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</si>
  <si>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</si>
  <si>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</si>
  <si>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</si>
  <si>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</si>
  <si>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</si>
  <si>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</si>
  <si>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</si>
  <si>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</si>
  <si>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</si>
  <si>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</si>
  <si>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</si>
  <si>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</si>
  <si>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</si>
  <si>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</si>
  <si>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</si>
  <si>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</si>
  <si>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</si>
  <si>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</si>
  <si>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</si>
  <si>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</si>
  <si>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</si>
  <si>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</si>
  <si>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</si>
  <si>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</si>
  <si>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</si>
  <si>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</si>
  <si>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</si>
  <si>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</si>
  <si>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</si>
  <si>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</si>
  <si>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</si>
  <si>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</si>
  <si>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</si>
  <si>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</si>
  <si>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</si>
  <si>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</si>
  <si>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</si>
  <si>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</si>
  <si>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</si>
  <si>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</si>
  <si>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</si>
  <si>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</si>
  <si>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</si>
  <si>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</si>
  <si>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</si>
  <si>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</si>
  <si>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</si>
  <si>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</si>
  <si>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</si>
  <si>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</si>
  <si>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</si>
  <si>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</si>
  <si>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</si>
  <si>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</si>
  <si>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</si>
  <si>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</si>
  <si>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</si>
  <si>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</si>
  <si>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</si>
  <si>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</si>
  <si>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</si>
  <si>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</si>
  <si>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</si>
  <si>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</si>
  <si>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</si>
  <si>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</si>
  <si>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</si>
  <si>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</si>
  <si>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</si>
  <si>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</si>
  <si>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</si>
  <si>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</si>
  <si>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</si>
  <si>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</si>
  <si>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</si>
  <si>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</si>
  <si>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</si>
  <si>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</si>
  <si>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</si>
  <si>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</si>
  <si>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</si>
  <si>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</si>
  <si>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</si>
  <si>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</si>
  <si>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</si>
  <si>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</si>
  <si>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</si>
  <si>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</si>
  <si>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</si>
  <si>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</si>
  <si>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</si>
  <si>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</si>
  <si>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</si>
  <si>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</si>
  <si>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</si>
  <si>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</si>
  <si>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</si>
  <si>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</si>
  <si>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</si>
  <si>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</si>
  <si>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</si>
  <si>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</si>
  <si>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</si>
  <si>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</si>
  <si>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</si>
  <si>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</si>
  <si>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</si>
  <si>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</si>
  <si>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</si>
  <si>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</si>
  <si>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</si>
  <si>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</si>
  <si>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</si>
  <si>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</si>
  <si>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</si>
  <si>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</si>
  <si>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</si>
  <si>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</si>
  <si>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</si>
  <si>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</si>
  <si>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</si>
  <si>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</si>
  <si>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</si>
  <si>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</si>
  <si>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</si>
  <si>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</si>
  <si>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</si>
  <si>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</si>
  <si>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</si>
  <si>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</si>
  <si>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</si>
  <si>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</si>
  <si>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</si>
  <si>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</si>
  <si>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</si>
  <si>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</si>
  <si>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</si>
  <si>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</si>
  <si>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</si>
  <si>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</si>
  <si>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</si>
  <si>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</si>
  <si>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</si>
  <si>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</si>
  <si>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</si>
  <si>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</si>
  <si>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</si>
  <si>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</si>
  <si>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</si>
  <si>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</si>
  <si>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</si>
  <si>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</si>
  <si>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</si>
  <si>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</si>
  <si>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</si>
  <si>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</si>
  <si>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</si>
  <si>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</si>
  <si>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</si>
  <si>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</si>
  <si>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</si>
  <si>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</si>
  <si>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</si>
  <si>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</si>
  <si>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</si>
  <si>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</si>
  <si>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</si>
  <si>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</si>
  <si>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</si>
  <si>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</si>
  <si>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</si>
  <si>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</si>
  <si>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</si>
  <si>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</si>
  <si>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</si>
  <si>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</si>
  <si>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</si>
  <si>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</si>
  <si>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</si>
  <si>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</si>
  <si>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</si>
  <si>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</si>
  <si>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</si>
  <si>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</si>
  <si>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</si>
  <si>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</si>
  <si>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</si>
  <si>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</si>
  <si>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</si>
  <si>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</si>
  <si>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</si>
  <si>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</si>
  <si>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</si>
  <si>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</si>
  <si>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</si>
  <si>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</si>
  <si>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</si>
  <si>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</si>
  <si>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</si>
  <si>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</si>
  <si>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</si>
  <si>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</si>
  <si>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</si>
  <si>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</si>
  <si>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</si>
  <si>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</si>
  <si>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</si>
  <si>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</si>
  <si>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</si>
  <si>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</si>
  <si>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</si>
  <si>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</si>
  <si>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</si>
  <si>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</si>
  <si>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</si>
  <si>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</si>
  <si>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</si>
  <si>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</si>
  <si>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</si>
  <si>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</si>
  <si>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</si>
  <si>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</si>
  <si>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</si>
  <si>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</si>
  <si>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</si>
  <si>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</si>
  <si>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</si>
  <si>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</si>
  <si>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</si>
  <si>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</si>
  <si>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</si>
  <si>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</si>
  <si>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</si>
  <si>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</si>
  <si>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</si>
  <si>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</si>
  <si>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</si>
  <si>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</si>
  <si>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</si>
  <si>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</si>
  <si>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</si>
  <si>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</si>
  <si>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</si>
  <si>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</si>
  <si>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</si>
  <si>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</si>
  <si>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</si>
  <si>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</si>
  <si>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</si>
  <si>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</si>
  <si>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</si>
  <si>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</si>
  <si>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</si>
  <si>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</si>
  <si>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</si>
  <si>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</si>
  <si>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</si>
  <si>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</si>
  <si>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</si>
  <si>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</si>
  <si>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</si>
  <si>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</si>
  <si>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</si>
  <si>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</si>
  <si>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</si>
  <si>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</si>
  <si>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</si>
  <si>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</si>
  <si>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</si>
  <si>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</si>
  <si>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</si>
  <si>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</si>
  <si>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</si>
  <si>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Dale Lancaster</t>
  </si>
  <si>
    <t>Member</t>
  </si>
  <si>
    <t>dlanca1010@aol.com</t>
  </si>
  <si>
    <t>No</t>
  </si>
  <si>
    <t>Yes</t>
  </si>
  <si>
    <t>Family</t>
  </si>
  <si>
    <t>Georgia Department of Community Affairs</t>
  </si>
  <si>
    <t>MF</t>
  </si>
  <si>
    <t>Contract/Option</t>
  </si>
  <si>
    <t>Stable Communities &lt; 20%</t>
  </si>
  <si>
    <t>Agree</t>
  </si>
  <si>
    <t>Pass</t>
  </si>
  <si>
    <t>Po Box 672</t>
  </si>
  <si>
    <t>Hidden Glen Village</t>
  </si>
  <si>
    <t>City of Hinesville</t>
  </si>
  <si>
    <t>Mayor</t>
  </si>
  <si>
    <t>James Thomas, Jr.</t>
  </si>
  <si>
    <t>115 E. MLK, Jr. Drive</t>
  </si>
  <si>
    <t>2-Story Walkup</t>
  </si>
  <si>
    <t>Hidden Glen Village, L.P.</t>
  </si>
  <si>
    <t>PO Box 672</t>
  </si>
  <si>
    <t>GP Member</t>
  </si>
  <si>
    <t>Applied For</t>
  </si>
  <si>
    <t>Hidden Glen Management, LLC</t>
  </si>
  <si>
    <t>Hunt Capital Partners</t>
  </si>
  <si>
    <t>Dana Mayo</t>
  </si>
  <si>
    <t>15260 Ventura Blvd., Suite 600</t>
  </si>
  <si>
    <t>Senior V.P.</t>
  </si>
  <si>
    <t>Los Angeles</t>
  </si>
  <si>
    <t>dana.mayo@huntcompanies.com</t>
  </si>
  <si>
    <t>Arrington Developers, LLC</t>
  </si>
  <si>
    <t>Affordable Housing Link, LLC</t>
  </si>
  <si>
    <t>John Saxton</t>
  </si>
  <si>
    <t>470 Bahama Drive</t>
  </si>
  <si>
    <t>Indialantic</t>
  </si>
  <si>
    <t>ahl@cfl.rr.com</t>
  </si>
  <si>
    <t>Quad States Construction, LLC</t>
  </si>
  <si>
    <t>Kris Ainsworth</t>
  </si>
  <si>
    <t>kainsworth@quadstatesllc.com</t>
  </si>
  <si>
    <t>LEDIC</t>
  </si>
  <si>
    <t>Terri Benskin</t>
  </si>
  <si>
    <t>2650 Thousand Oaks Blvd., Suite 3100</t>
  </si>
  <si>
    <t>Executive V.P.</t>
  </si>
  <si>
    <t>Memphis</t>
  </si>
  <si>
    <t>terri.benskin@ledic.com</t>
  </si>
  <si>
    <t>Jones, Walker, Waechter, Poitevent, Carrere &amp; Denegre, LLP</t>
  </si>
  <si>
    <t>Robert Box, Jr.</t>
  </si>
  <si>
    <t>PO Box 427</t>
  </si>
  <si>
    <t>Attorney</t>
  </si>
  <si>
    <t>rbox@joneswalker.com</t>
  </si>
  <si>
    <t>Jeffery Faile &amp; Associates, P.C.</t>
  </si>
  <si>
    <t>Jeff Faile</t>
  </si>
  <si>
    <t>1025 Rose Creek Drive, Suite 620-333</t>
  </si>
  <si>
    <t>jeff.faile@jefferyfaile.com</t>
  </si>
  <si>
    <t>Brumfield Architects</t>
  </si>
  <si>
    <t>Hal Brumfield</t>
  </si>
  <si>
    <t>1030 Northpark Drive</t>
  </si>
  <si>
    <t>Ridgeland</t>
  </si>
  <si>
    <t>hal.brumfield@gmail.com</t>
  </si>
  <si>
    <t>For Profit</t>
  </si>
  <si>
    <t>Hunt</t>
  </si>
  <si>
    <t>Amortizing</t>
  </si>
  <si>
    <t>State Boost</t>
  </si>
  <si>
    <t>Georgia DCA</t>
  </si>
  <si>
    <t>Arrington Developers, LLC executed the contract to purchase and assigned to Hidden Glen Village, L.P.</t>
  </si>
  <si>
    <t>Qualified without Conditions</t>
  </si>
  <si>
    <t>310 W. Memorial Drive</t>
  </si>
  <si>
    <t>Liberty County-Hinesville-Fort Stewart GA</t>
  </si>
  <si>
    <t>Sherman Oaks</t>
  </si>
  <si>
    <t xml:space="preserve">This site actually qualifies for all Desirable Activities with possible exception of attendance zone of high achieving elementary school. There are no known Undesirable activities with possible exception an auto repair facility nearby. However, if the city's efforts to revitalize this neighborhood are successful, with the addition of the Liberty Center, new library and the proposed Hidden Glen Village, this entire neighborhood should have a new look in just a few years..  </t>
  </si>
  <si>
    <t>While not a designated Opportunty Zone or Community Housing Community, Hinesville is a designated Military Zone.</t>
  </si>
  <si>
    <t xml:space="preserve"> According to 2012 Qualified Allocation Plan-Scoring, an application could be considered a superior project if it has a community changing effect on the neighborhood or is a project proposed to meet a unique and urgent need in the community and has substantial community support and involvement. 
 Hidden Glen Village represents a superior project concept that has “community changing” effect on the neighborhood.  “The neighborhood” is known as the Memorial Drive Subarea of the City of Hinesville Urban Redevelopment Plan under the authority of the State of Georgia’s Urban Redevelopment Act (OCGA 36-61) to address a 910 acre subset of the Downtown Core District.  
 The City of Hinesville is located in Liberty County adjoining the Ft. Stewart Military Base.  The City’s population varies with troop deployment levels, creating unique challenges and opportunities for the community.  According to a report titled, “Fort Stewart/Hunter AAF Command Data Summary” dated September 30, 2011, over 13,500 military personnel resided off post, with more than ½ of those (6,893) living in Hinesville. To meet a portion of this urgent need for off-base military housing and the general population of Hinesville, and to address the general decline which occurred in its downtown core, the city brought the Georgia Department of Community Affairs Downtown Resource Team to Hinesville to initiate a revitalization process.
 The primary objective of the plan is to focus on using the tools provided to downtown development authorities under Georgia law to stimulate public-private investment in development and redevelopment partnerships which will put in place the types and quality of commercial, residential, academic and institutional buildings and spaces that the community is calling for in all of the plans for Downtown Hinesville and for the Memorial Drive district including seeking out developers, businesses and investors from outside the Hinesville area who have a track record of creating the types of residential and commercial projects and businesses that the plans have determined are most likely to contribute to the district’s success. 
 Among the stated goals is, “Protect the economic impact of Fort Stewart through the development of facilities, services, and resources needed by military families living in the Hinesville area, including affordable housing, access of health care, and job access for spouses, child care facilities, etc.” The Memorial Drive district is slated to accommodate at least 600 residential units in a wide range of prices for prospective owners and renters as well as a variety of public and private open spaces and pocket parks.
 As of spring, 2012, the city is seeing results for the Memorial Drive Subarea. The Memorial Drive streetscape is now complete from Oglethorpe Highway all the way to General Stewart Way at Fort Stewart. The stretch from Oglethorpe Highway to the central business district is now home to several small businesses and residential areas while the stretch from the central business district to General Stewart Way has yet to show much in the way of revitalization.  However, it has recently been announced that the Armstrong Atlantic State University Liberty Center will locate in this area.  Ground breaking ceremonies for the Liberty Center are planned for the spring of 2012 with construction complete within 2 years.  Plans are also being discussed to build a new library.  While alternate sites are being considered, it is most likely that the new library will be built on its existing site on W. Memorial Drive.  
 Regardless of the Armstrong Atlantic State University Liberty Center and new library, the addition of sixty new two and three bedroom apartments will provide a significant boost to the city’s efforts to attract new businesses to the Memorial Drive area and help the city to meet its stated goals and objectives to revitalize this neighborhood.  The site, a former mobile home park was selected for this purpose to be in the Memorial Drive Subarea.  We have met with city officials including the mayor, the Assistant City Manager and the Director of the Hinesville Downtown Development Authority to develop this proposal.  The property required rezoning which was passed unanimously by both the Liberty County Plan Commission as well as the Hinesville City Council.  The mayor provided a letter of support and we also have support from the HDDA and the Kirk Healing Center, a nonprofit organization whose mission is to provide a safe, live-in environment for homeless men and women who need to start their lives over again.
 Hidden Glen Village will incorporate urban design features.  The site is a former mobile home park (it is now vacant-all trailers removed) that has many mature oak trees.  The project will be designed to preserve as many of these trees as possible.  The site is within walking distance to many attractive services and amenities including the library, the downtown core, restaurants, many churches, parks, and more.  It is also within a less than 1 mile to schools, Fort Stewart, a variety of major retail shops, banks, grocery stores, pharmacies, and much more.  It is also on the Liberty Transit regularly scheduled bus route #3 with stops in both directions on Memorial Drive within 300’ of the Hidden Glen site. 
 Sustainability will be incorporated into the building design according to the design criteria contained in Enterprise Foundation’s Green Communities certification program (following Enterprise Green Communities protocol under the guidance of a Enterprise Qualified TA provider).
 The need for housing of all types in this area is great.  The close proximity to Fort Stewart will attract both former and active duty military.  The addition of the new Armstrong Atlantic State University Liberty Center will have considerable impact on this immediate area (Hidden Glen Village is within walking distance to the site) and will create the need for housing.  There are several small business and retail establishments in close proximity to Hidden Glen Village with many income qualified employees who would be attracted to Hidden Glen Village.
 To summarize, Hidden Glen Village will clearly have a community changing effect on the neighborhood known as the Memorial Drive Subarea of the City of Hinesville Urban Redevelopment District.  The location is within walking distance or less than 1 mile to almost all of the desirable services and amenities enumerated in the 2012 DCA Housing Tax Credit Scoring Guidelines and is on a city bus line making Hidden Glen Village a “walkable” community and a transit oriented community.  The city has demonstrated support for the project because it meets a strong need for housing in this area plus it helps the city meet its objectives to revitalize the community.  Furthermore, the City of Hinesville has a good track record of working with and has been the recipient of funds with Georgia Department of Community Affairs.  The funding of Housing Tax Credits to the Hidden Glen Village application will help to insure that DCA’s previous involvement with the City of Hinesville will be protected.  
</t>
  </si>
  <si>
    <t xml:space="preserve"> Hidden Glen Village is part of a Local Government’s holistic “place based” strategic initiative for rebuilding a severely stressed neighborhood.   “The neighborhood” is known as the Memorial Drive Subarea of the City of Hinesville Urban Redevelopment Plan under the authority of the State of Georgia’s Urban Redevelopment Act (OCGA 36-61) to address a 910 acre subset of the Downtown Core District.  Under the Urban Redevelopment Law (Georgia Code Title 36, Chapter 61), City of Hinesville is authorized to create a Redevelopment Area. Pursuant to that power, the City Council, adopted resolution 2004-09 finding that Redevelopment Area met the definition of a slum area in accordance with OCGA 36-61-2(18) and designating its Downtown Development Authority as redevelopment agency. 
 The City of Hinesville is located in Liberty County adjoining the Ft. Stewart Military Base.  The City’s population varies with troop deployment levels, creating unique challenges and opportunities for local businesses.  According to a report titled, “Fort Stewart/Hunter AAF Command Data Summary” dated September 30, 2011, over 13,500 military personnel resided off post, with more than ½ of those (6,893) living in Hinesville. To meet a portion of this urgent need for off-base military housing and the general population of Hinesville, and to address the general decline which occurred in its downtown core, the city brought the Georgia Department of Community Affairs Downtown Resource Team to Hinesville to initiate a revitalization process.
 The primary objective of the plan is to focus on using the tools provided to downtown development authorities under Georgia law to stimulate public-private investment in development and redevelopment partnerships which will put in place the types and quality of commercial, residential, academic and institutional buildings and spaces that the community is calling for in all of the plans for Downtown Hinesville and for the Memorial Drive district including seeking out developers, businesses and investors from outside the Hinesville area who have a track record of creating the types of residential and commercial projects and businesses that the plans have determined are most likely to contribute to the district’s success.  Because Memorial Drive is a main connection of downtown Hinesville to Fort Stewart, the revitalization of this area is a high priority for the city and the Downtown Development Authority.
 Among the stated goals is, “Protect the economic impact of Fort Stewart through the development of facilities, services, and resources needed by military families living in the Hinesville area, including affordable housing, access of health care, and job access for spouses, child care facilities, etc.” The Memorial Drive district is slated to accommodate at least 600 residential units in a wide range of prices for prospective owners and renters as well as a variety of public and private open spaces and pocket parks.
 The Memorial Drive Subarea Plan contains a Growth Management Element and Development Ordinances including tree and greenspace Requirements within the overlay district.  Additionally, the subarea plan incorporates special Urban Design Guidelines and an Overlay Zoning Ordinance which will govern certain aspects of the site layout and building design for Hidden Glen Village. 
 As of spring, 2012, the city is seeing results of its efforts. The Memorial Drive streetscape is now complete from Oglethorpe Highway all the way to General Stewart Way at Fort Stewart. The stretch from Oglethorpe Highway to the central business district is now home to several small businesses and residential areas. It has recently been announced that the Armstrong Atlantic State University Liberty Center will locate in this area.  Ground breaking ceremonies for the Liberty Center are planned for the spring of 2012 with construction complete within 2 years.  Plans are also being discussed to build a new library.  While alternate sites are being considered, it is most likely that the new library will be built on its existing site on W. Memorial Drive.  
 This area is also served by the Liberty Transit Authority.  The regularly scheduled bus Route 3 has stops on Memorial Drive.  The closest existing stop is in front of the library at Gause Street and Memorial Drive, within 300’ of the Hidden Glen Village site. 
 To summarize:
• The City of Hinesville and the Hinesville Downtown Development Authority support the development of Hidden Glen Village to help stimulate the Memorial Drive Subarea of the City of Hinesville Urban Redevelopment Plan.  The developer has maintained regular contact with various city staff members and officials regarding the development proposal.
• The Memorial Drive Subarea plan includes specific Urban Design Guidelines, special Overlay Zoning Ordinance, and greenspace/tree preservation guidelines.  The Hidden Glen Village Apartments will be designed around these guidelines as a “walkable” community.  
• It is also a transit oriented community located on an existing regularly scheduled community bus route.
• This is a high priority area for the City of Hinesville.
</t>
  </si>
  <si>
    <t>Builders Risk Insurance</t>
  </si>
  <si>
    <t>Payroll Taxes, Insurance and Benefits</t>
  </si>
  <si>
    <t>Pool</t>
  </si>
  <si>
    <t>Georgia Power</t>
  </si>
  <si>
    <t>Applicant submitted a pre-application for project named Ruby Landing PA-12_24 and DCA determined that the proposal was approved without condiitons.  Subsequently, applicant learned that Catoosa County instituted a sewer moratorium requiring applicant to not move forward with the final application and notified DCA to that effect on May 25, 2012. As per DCA instructions, applicant is resubmitting qualification determiniaiton request with this application.</t>
  </si>
  <si>
    <t>Gazebo</t>
  </si>
  <si>
    <t>Line 7 this page asks for Pre_App # if applicable.  Applicant submitted a pre-application for project named Ruby Landing PA-12_24 and DCA determined that the proposal was approved without condiitons.  Subsequently, applicant learned that Catoosa County instituted a sewer moratorium requiring applicant to not move forward with the final application and notified DCA to that effect on May 25, 2012. As per DCA instructions, applicant is resubmitting qualification determiniaiton request with this application.</t>
  </si>
  <si>
    <t>Line 32 Column O asks for "Target DCR.  Due to large utility allowance and low income/rents for Hinesville, in order to stay above the minimum of 1.20 through year 15 as per DCA guidelines, this project will only support a debt of $500,000 at proposed rate and term.  At that rate, 1st year DCR is 1.77 and decreases annually to 1.20 by year 15.</t>
  </si>
  <si>
    <t>Kirk Healing Center, Inc.</t>
  </si>
  <si>
    <t>Dr. Alicia Kirk</t>
  </si>
  <si>
    <t>932 Fox Haven Court</t>
  </si>
  <si>
    <t>President</t>
  </si>
  <si>
    <t>aliciakirk@live.com</t>
  </si>
  <si>
    <t>On-site laundry</t>
  </si>
  <si>
    <t>EF Green Communities</t>
  </si>
  <si>
    <t xml:space="preserve">  The Hidden Glen Village is a proposal to build 60 rental apartments with 30-2 bedroom/2bath and 30-3 bedroom/2 bath units.  There will be 9 units restricted to families with incomes not greater than 50% AMI with the remaining units restricted to families with incomes not greater than 60% AMI.  The buildings will comply with all applicable Federal and State accessibility standards with at least 5% (3-units) equipped for the mobility disabled and an additional 2% (2-units) equipped for the hearing and sight impaired.  The buildings will be designed with energy efficiency and sustainable building practices.  Exterior wall faces will have an excess of 40% brick or stone on each side of the total wall surfaces.  Fiber cements siding or other 40 year warranty product will be installed on all exterior wall surfaces not already brick or stone.  There will also be a furnished clubhouse/community room equipped with a laundry, library, computer, fitness center, rental office, kitchen, an area for parties and other features for the use of the tenants.   Each unit will have central air/heat, energy star rated appliances with a powder based stovetop fire suppression system over the stove.  Additionally, each unit will have window coverings, wall-to-wall carpet and tile and other amenities described in the market study included with this application.
   The 4.66 acre site is a former mobile home park but all trailers had been removed so the site is now vacant.  It is also in the heart of the city's Urban Redevelopment Plan established under authority of the State of Georgia's Urban Redevelopment Act (OCGA 36-61).  This part of the plan is known as the Memorial Drive Subarea.  The primary objective of this plan is "to stimulate public-private investment in development and redevelopment partnerships which will put in place the types and quality of commercial; residential, academic, and institutional buildings and spaces that the community is calling for in all of the plans for Downtown Hinesville and for the Memorial Drive district including seeking out developers, businesses and investors from outside the Hinesville area who have a track record of creating the types of residential and commercial projects and businesses that the plans have determined are most likely to contribute to the district's success."  Among the stated goals is, "Protect the economic impact of Fort Stewart through the development of facilities, services, and resources needed by military families living in the Hinesville area, including affordable housing, access of health care, and job access for spouses, child care facilities, etc."  
   As of spring 2012, the city is seeing results.  The Memorial Drive streetscape is now complete from Oglethorpe Highway all the way to General Stewart Way at Fort Stewart.  The stretch from Oglethorpe Highway to the central business district is now home to several small businesses and residential areas while the stretch from the CBD to General Stewart Way has yet to show much in the way of revitalization.  However, it has recently been announced that the Armstrong Atlantic State University Liberty Center will locate in this area (within walking distance to the Hidden Glen Village site).  Ground breaking ceremonies are planned for the spring of 2012 with construction complete within 2 years.  Plans are also being discussed to build a new library.  While alternate sites are being considered, it is likely that the new library will be built on the existing site on Memorial Drive (also within a short walking distance from the Hidden Glen Village site).  Regardless of the new Liberty Center and new library, the addition of sixty new two and three bedroom apartments will provide significant boost the city's efforts to attract new businesses to the Memorial Drive area and help the city achieve its stated objectives and goals for the redevelopment area.  As a result, the request to rezone the property from mobile home park to R-1-A, multifamily was unanimously approved by the Liberty County Planning Commission and the City of Hinesville City Council on May 17, 2012.  City support is further illustrated by a letter of support from Mayor James Thomas (included with this application).  The current R-1-A zoning permits a maximum density of 17.86 units per acre or a maximum of 82 allowable units.  All utilities are to the site.  The site is level and does have some tree cover which will be retained as much as possible in the site design.  As an infill location, the site is actually eligible for all of the positive site characteristics listed on the scoring section of this application and there are no known negative characteristics with the possible exception of an auto repair facility located nearby.  However, if the city's efforts to revitalize this neighborhood are successful, with the addition of the Liberty Center, new library and the proposed Hidden Glen Village, this entire neighborhood should have a new look in just a few years.
   The City of Hinesville is located in Liberty County adjoining the Fort Stewart Military Base, home of the 3rd Infantry Division and the largest Army installation east of the Mississippi River.  Obviously, Fort Stewart has a tremendous impact on the local economy and housing market.  According to a report titled, "Fort Stewart/Hunter AAF Command Data Summary", dated September 30, 2011, over 13,500 military personnel resided off post, with more than 1/2 of those (6,893) in Hinesville.  This puts a significant strain on the housing market which affects the entire population, not just military so the target market includes single parents, small and large families, couples, retirees, veterans, and active duty military.  The City of Hinesville Housing Authority has a waiting list of about 2 years.  After discussions with the Executive Director of the authority, the mayor and other city officials it was agreed that 30% of the units (18 units) at Hidden Glen Village will be designated project based rental assisted for a minimum of 10 years.
The applicant is Hidden Glen Village, L.P. a to be formed limited partnership.  Hidden Glen Management, LLC, the general partner is owned by the Kirk Healing Center, Inc., (KHC) a local nonprofit corporation with 51% ownership and Arrington Developers, a Mississippi for-profit corporation with 49% ownership.  This is the first tax credit project in which KHC has been involved but participating in this development will greatly enhance the company’s ability to accomplish its goals and objectives which includes affordable housing for low income residents of Hinesville including veterans.  Arrington Developers has been involved with tax credit developments for over 20 years.  Arrington submitted a pre-application for project named Ruby Landing PA-12_24 to be located in Catoosa County and DCA determined that the proposal was approved without conditions.  Unfortunately, subsequent to that submission, it was  learned that Catoosa County instituted a sewer moratorium causing Arrington to not move forward with the final application and notified DCA to that effect on May 25, 2012.  
  </t>
  </si>
  <si>
    <t>Kirk Healing Center</t>
  </si>
  <si>
    <t>Gibson Consulting, LLC</t>
  </si>
  <si>
    <t>120 Days</t>
  </si>
  <si>
    <t>GIBCO Environmental, LLC</t>
  </si>
  <si>
    <t>Playground</t>
  </si>
  <si>
    <t>Computer Center in Clubhouse</t>
  </si>
  <si>
    <t>PHA PBRA</t>
  </si>
  <si>
    <t>Market analyst identifed 4 LIHTC projects in the market area, 2 LIHTC projects within 2 miles of the site but both were completed prior to 2009.</t>
  </si>
  <si>
    <t xml:space="preserve">Construction Hard Costs are based on a schedule of values from an experienced contractor who used cost comparisons from current construction projects in the region. Details and clarifications can be provided if needed. </t>
  </si>
  <si>
    <t>The taxes shown in the Operating Budget are based upon tax rates obtained from similar projects in the area and the current millage rate in Liberty County and the City of Hinesville. Details and clarifications can be provided if needed.
The Insurance calculations shown in the Operating Budget are based upon current insurance rates obtained from similar projects in project region. Details and clarifications can be provided if needed.</t>
  </si>
  <si>
    <t>Neighborhood Rebuilding</t>
  </si>
  <si>
    <t>2012-006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</si>
</sst>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2012-006, Hidden Glen Village, Liberty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3555</v>
      </c>
      <c r="B3" s="883"/>
      <c r="C3" s="883"/>
      <c r="D3" s="883"/>
      <c r="E3" s="883"/>
      <c r="F3" s="883"/>
      <c r="G3" s="883"/>
    </row>
    <row r="4" spans="1:9" s="40" customFormat="1" ht="8.25" customHeight="1">
      <c r="A4" s="95"/>
      <c r="B4" s="872" t="s">
        <v>1243</v>
      </c>
      <c r="C4" s="873"/>
      <c r="D4" s="873"/>
      <c r="E4" s="873" t="s">
        <v>3620</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3981</v>
      </c>
      <c r="I8" s="1235"/>
    </row>
    <row r="9" spans="1:9" s="40" customFormat="1" ht="12.6" customHeight="1" thickBot="1">
      <c r="A9" s="101"/>
      <c r="B9" s="789"/>
      <c r="C9" s="390"/>
      <c r="D9" s="390"/>
      <c r="E9" s="391" t="s">
        <v>3943</v>
      </c>
      <c r="F9" s="391"/>
      <c r="G9" s="1234" t="s">
        <v>3981</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3981</v>
      </c>
    </row>
    <row r="12" spans="1:9" s="40" customFormat="1" ht="12.6" customHeight="1">
      <c r="A12" s="386"/>
      <c r="B12" s="1237"/>
      <c r="C12" s="1237"/>
      <c r="D12" s="1237"/>
      <c r="E12" s="1236" t="s">
        <v>3944</v>
      </c>
      <c r="F12" s="395"/>
      <c r="G12" s="1234" t="s">
        <v>3981</v>
      </c>
    </row>
    <row r="13" spans="1:9" s="40" customFormat="1" ht="12.6" customHeight="1">
      <c r="A13" s="386"/>
      <c r="B13" s="1237"/>
      <c r="C13" s="1237"/>
      <c r="D13" s="1237"/>
      <c r="E13" s="1236" t="s">
        <v>3940</v>
      </c>
      <c r="F13" s="395"/>
      <c r="G13" s="1234" t="s">
        <v>3981</v>
      </c>
    </row>
    <row r="14" spans="1:9" s="40" customFormat="1" ht="12" customHeight="1">
      <c r="A14" s="101"/>
      <c r="B14" s="391"/>
      <c r="C14" s="391"/>
      <c r="D14" s="391"/>
      <c r="E14" s="392" t="s">
        <v>749</v>
      </c>
      <c r="F14" s="391"/>
      <c r="G14" s="1234" t="s">
        <v>3981</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3931</v>
      </c>
      <c r="F17" s="391"/>
      <c r="G17" s="1234" t="s">
        <v>3981</v>
      </c>
    </row>
    <row r="18" spans="1:7" s="40" customFormat="1" ht="12" customHeight="1">
      <c r="A18" s="101"/>
      <c r="B18" s="239"/>
      <c r="C18" s="789"/>
      <c r="D18" s="391"/>
      <c r="E18" s="391" t="s">
        <v>3970</v>
      </c>
      <c r="F18" s="391"/>
      <c r="G18" s="1234" t="s">
        <v>3981</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3497</v>
      </c>
      <c r="F25" s="391"/>
      <c r="G25" s="1234" t="s">
        <v>2104</v>
      </c>
    </row>
    <row r="26" spans="1:7" s="40" customFormat="1" ht="12" customHeight="1">
      <c r="A26" s="101"/>
      <c r="B26" s="391"/>
      <c r="C26" s="391"/>
      <c r="D26" s="391"/>
      <c r="E26" s="1236" t="s">
        <v>3279</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3959</v>
      </c>
      <c r="F30" s="391"/>
      <c r="G30" s="1234" t="s">
        <v>2104</v>
      </c>
    </row>
    <row r="31" spans="1:7" s="40" customFormat="1" ht="12" customHeight="1">
      <c r="A31" s="101"/>
      <c r="B31" s="239"/>
      <c r="D31" s="1236" t="s">
        <v>3651</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3903</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3981</v>
      </c>
    </row>
    <row r="36" spans="1:7" s="40" customFormat="1" ht="12" customHeight="1">
      <c r="A36" s="97"/>
      <c r="B36" s="393"/>
      <c r="C36" s="393"/>
      <c r="D36" s="393"/>
      <c r="E36" s="395" t="s">
        <v>3337</v>
      </c>
      <c r="F36" s="394"/>
      <c r="G36" s="1234" t="s">
        <v>3981</v>
      </c>
    </row>
    <row r="37" spans="1:7" s="40" customFormat="1" ht="12" customHeight="1">
      <c r="A37" s="97"/>
      <c r="B37" s="393"/>
      <c r="C37" s="393"/>
      <c r="D37" s="393"/>
      <c r="E37" s="395" t="s">
        <v>168</v>
      </c>
      <c r="F37" s="394"/>
      <c r="G37" s="1234" t="s">
        <v>3981</v>
      </c>
    </row>
    <row r="38" spans="1:7" s="40" customFormat="1" ht="26.25" customHeight="1">
      <c r="A38" s="97"/>
      <c r="B38" s="393"/>
      <c r="C38" s="393"/>
      <c r="D38" s="393"/>
      <c r="E38" s="865" t="s">
        <v>3698</v>
      </c>
      <c r="F38" s="866"/>
      <c r="G38" s="1234" t="s">
        <v>3980</v>
      </c>
    </row>
    <row r="39" spans="1:7" s="40" customFormat="1" ht="12" customHeight="1">
      <c r="A39" s="101"/>
      <c r="B39" s="239"/>
      <c r="C39" s="391"/>
      <c r="D39" s="391"/>
      <c r="E39" s="395" t="s">
        <v>3276</v>
      </c>
      <c r="F39" s="391"/>
      <c r="G39" s="1234" t="s">
        <v>3981</v>
      </c>
    </row>
    <row r="40" spans="1:7" s="40" customFormat="1" ht="12" customHeight="1">
      <c r="A40" s="101"/>
      <c r="B40" s="239"/>
      <c r="C40" s="391"/>
      <c r="D40" s="391"/>
      <c r="E40" s="395" t="s">
        <v>3636</v>
      </c>
      <c r="F40" s="391"/>
      <c r="G40" s="1234" t="s">
        <v>3981</v>
      </c>
    </row>
    <row r="41" spans="1:7" s="40" customFormat="1" ht="12" customHeight="1">
      <c r="A41" s="97"/>
      <c r="B41" s="393"/>
      <c r="C41" s="393"/>
      <c r="D41" s="393"/>
      <c r="E41" s="395" t="s">
        <v>1782</v>
      </c>
      <c r="F41" s="394"/>
      <c r="G41" s="1234" t="s">
        <v>3981</v>
      </c>
    </row>
    <row r="42" spans="1:7" s="40" customFormat="1" ht="12" customHeight="1">
      <c r="A42" s="97"/>
      <c r="B42" s="393"/>
      <c r="C42" s="393"/>
      <c r="D42" s="393"/>
      <c r="E42" s="395" t="s">
        <v>1781</v>
      </c>
      <c r="F42" s="394"/>
      <c r="G42" s="1234" t="s">
        <v>3981</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2104</v>
      </c>
    </row>
    <row r="45" spans="1:7" s="40" customFormat="1" ht="11.25" customHeight="1">
      <c r="A45" s="101"/>
      <c r="B45" s="1242"/>
      <c r="C45" s="143"/>
      <c r="D45" s="143"/>
      <c r="E45" s="1236" t="s">
        <v>3679</v>
      </c>
      <c r="F45" s="391"/>
      <c r="G45" s="1234" t="s">
        <v>2104</v>
      </c>
    </row>
    <row r="46" spans="1:7" s="40" customFormat="1" ht="12" customHeight="1">
      <c r="A46" s="101"/>
      <c r="B46" s="1243"/>
      <c r="C46" s="1244"/>
      <c r="D46" s="1244"/>
      <c r="E46" s="1236" t="s">
        <v>3680</v>
      </c>
      <c r="F46" s="391"/>
      <c r="G46" s="1234" t="s">
        <v>2104</v>
      </c>
    </row>
    <row r="47" spans="1:7" s="40" customFormat="1" ht="26.25" customHeight="1">
      <c r="A47" s="99"/>
      <c r="B47" s="393"/>
      <c r="C47" s="393"/>
      <c r="D47" s="393"/>
      <c r="E47" s="865" t="s">
        <v>3699</v>
      </c>
      <c r="F47" s="866"/>
      <c r="G47" s="1234"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3981</v>
      </c>
    </row>
    <row r="50" spans="1:7" s="40" customFormat="1" ht="13.5">
      <c r="A50" s="386"/>
      <c r="B50" s="406"/>
      <c r="C50" s="1245" t="s">
        <v>3932</v>
      </c>
      <c r="D50" s="391"/>
      <c r="E50" s="865" t="s">
        <v>3969</v>
      </c>
      <c r="F50" s="866"/>
      <c r="G50" s="1234" t="s">
        <v>3981</v>
      </c>
    </row>
    <row r="51" spans="1:7" s="40" customFormat="1" ht="12" customHeight="1">
      <c r="A51" s="101"/>
      <c r="B51" s="239"/>
      <c r="C51" s="789"/>
      <c r="D51" s="391"/>
      <c r="E51" s="391" t="s">
        <v>3261</v>
      </c>
      <c r="F51" s="391"/>
      <c r="G51" s="1234" t="s">
        <v>3981</v>
      </c>
    </row>
    <row r="52" spans="1:7" s="40" customFormat="1" ht="12" customHeight="1">
      <c r="A52" s="101"/>
      <c r="B52" s="239"/>
      <c r="C52" s="789"/>
      <c r="D52" s="391"/>
      <c r="E52" s="391" t="s">
        <v>3919</v>
      </c>
      <c r="F52" s="391"/>
      <c r="G52" s="1234" t="s">
        <v>2104</v>
      </c>
    </row>
    <row r="53" spans="1:7" s="40" customFormat="1" ht="12" customHeight="1">
      <c r="A53" s="101"/>
      <c r="B53" s="239"/>
      <c r="C53" s="391"/>
      <c r="D53" s="391"/>
      <c r="E53" s="395" t="s">
        <v>3202</v>
      </c>
      <c r="F53" s="395"/>
      <c r="G53" s="1234" t="s">
        <v>3981</v>
      </c>
    </row>
    <row r="54" spans="1:7" s="40" customFormat="1" ht="12" customHeight="1">
      <c r="A54" s="101"/>
      <c r="B54" s="239"/>
      <c r="C54" s="391"/>
      <c r="D54" s="391"/>
      <c r="E54" s="865" t="s">
        <v>3921</v>
      </c>
      <c r="F54" s="866"/>
      <c r="G54" s="1234" t="s">
        <v>3981</v>
      </c>
    </row>
    <row r="55" spans="1:7" s="40" customFormat="1" ht="3" customHeight="1">
      <c r="A55" s="97"/>
      <c r="B55" s="393"/>
      <c r="C55" s="393"/>
      <c r="D55" s="393"/>
      <c r="E55" s="393"/>
      <c r="F55" s="394"/>
      <c r="G55" s="311"/>
    </row>
    <row r="56" spans="1:7" s="40" customFormat="1" ht="12" customHeight="1">
      <c r="A56" s="101"/>
      <c r="B56" s="395"/>
      <c r="C56" s="868" t="s">
        <v>3924</v>
      </c>
      <c r="D56" s="868"/>
      <c r="E56" s="395" t="s">
        <v>3289</v>
      </c>
      <c r="F56" s="395"/>
      <c r="G56" s="1234" t="s">
        <v>3981</v>
      </c>
    </row>
    <row r="57" spans="1:7" s="40" customFormat="1" ht="12" customHeight="1">
      <c r="A57" s="101"/>
      <c r="B57" s="395"/>
      <c r="C57" s="868"/>
      <c r="D57" s="868"/>
      <c r="E57" s="395" t="s">
        <v>3290</v>
      </c>
      <c r="F57" s="395"/>
      <c r="G57" s="1234" t="s">
        <v>3981</v>
      </c>
    </row>
    <row r="58" spans="1:7" s="1246" customFormat="1" ht="12" customHeight="1">
      <c r="A58" s="101"/>
      <c r="B58" s="395"/>
      <c r="C58" s="395"/>
      <c r="D58" s="414"/>
      <c r="E58" s="395" t="s">
        <v>3310</v>
      </c>
      <c r="F58" s="395"/>
      <c r="G58" s="1234" t="s">
        <v>3981</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3981</v>
      </c>
    </row>
    <row r="61" spans="1:7" s="40" customFormat="1" ht="12" customHeight="1">
      <c r="A61" s="101"/>
      <c r="B61" s="395"/>
      <c r="C61" s="390"/>
      <c r="D61" s="395"/>
      <c r="E61" s="865" t="s">
        <v>3691</v>
      </c>
      <c r="F61" s="866"/>
      <c r="G61" s="1234" t="s">
        <v>3981</v>
      </c>
    </row>
    <row r="62" spans="1:7" s="40" customFormat="1" ht="12" customHeight="1">
      <c r="A62" s="101"/>
      <c r="B62" s="395"/>
      <c r="C62" s="413"/>
      <c r="D62" s="395"/>
      <c r="E62" s="395" t="s">
        <v>3906</v>
      </c>
      <c r="G62" s="1234" t="s">
        <v>3981</v>
      </c>
    </row>
    <row r="63" spans="1:7" s="40" customFormat="1" ht="12" customHeight="1">
      <c r="A63" s="101"/>
      <c r="B63" s="395"/>
      <c r="C63" s="395"/>
      <c r="D63" s="414"/>
      <c r="E63" s="395" t="s">
        <v>3692</v>
      </c>
      <c r="G63" s="1234" t="s">
        <v>3981</v>
      </c>
    </row>
    <row r="64" spans="1:7" s="40" customFormat="1" ht="12" customHeight="1">
      <c r="A64" s="101"/>
      <c r="B64" s="395"/>
      <c r="C64" s="395"/>
      <c r="D64" s="414"/>
      <c r="E64" s="395" t="s">
        <v>3693</v>
      </c>
      <c r="G64" s="1234" t="s">
        <v>3981</v>
      </c>
    </row>
    <row r="65" spans="1:7" s="1246" customFormat="1" ht="12" customHeight="1">
      <c r="A65" s="101"/>
      <c r="B65" s="395"/>
      <c r="C65" s="395"/>
      <c r="D65" s="414"/>
      <c r="E65" s="865" t="s">
        <v>3694</v>
      </c>
      <c r="F65" s="866"/>
      <c r="G65" s="1234" t="s">
        <v>3981</v>
      </c>
    </row>
    <row r="66" spans="1:7" s="40" customFormat="1" ht="12" customHeight="1">
      <c r="A66" s="101"/>
      <c r="D66" s="391"/>
      <c r="E66" s="867" t="s">
        <v>3695</v>
      </c>
      <c r="F66" s="866"/>
      <c r="G66" s="1234" t="s">
        <v>3981</v>
      </c>
    </row>
    <row r="67" spans="1:7" s="40" customFormat="1" ht="12" customHeight="1">
      <c r="A67" s="101"/>
      <c r="B67" s="395"/>
      <c r="C67" s="390"/>
      <c r="D67" s="395"/>
      <c r="E67" s="395" t="s">
        <v>3696</v>
      </c>
      <c r="G67" s="1234" t="s">
        <v>3981</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3926</v>
      </c>
      <c r="F70" s="391"/>
      <c r="G70" s="1234" t="s">
        <v>2104</v>
      </c>
    </row>
    <row r="71" spans="1:7" s="40" customFormat="1" ht="12" customHeight="1">
      <c r="A71" s="101"/>
      <c r="B71" s="391"/>
      <c r="C71" s="391"/>
      <c r="D71" s="1236"/>
      <c r="E71" s="396" t="s">
        <v>3311</v>
      </c>
      <c r="F71" s="395"/>
      <c r="G71" s="1234" t="s">
        <v>2104</v>
      </c>
    </row>
    <row r="72" spans="1:7" s="40" customFormat="1" ht="12" customHeight="1">
      <c r="A72" s="386"/>
      <c r="B72" s="1237"/>
      <c r="C72" s="391"/>
      <c r="D72" s="391"/>
      <c r="E72" s="1236" t="s">
        <v>3925</v>
      </c>
      <c r="F72" s="391"/>
      <c r="G72" s="1234" t="s">
        <v>2104</v>
      </c>
    </row>
    <row r="73" spans="1:7" s="40" customFormat="1" ht="12" customHeight="1">
      <c r="A73" s="386"/>
      <c r="B73" s="1237"/>
      <c r="C73" s="391"/>
      <c r="D73" s="391"/>
      <c r="E73" s="1236" t="s">
        <v>3955</v>
      </c>
      <c r="F73" s="391"/>
      <c r="G73" s="1234" t="s">
        <v>2104</v>
      </c>
    </row>
    <row r="74" spans="1:7" s="40" customFormat="1" ht="12" customHeight="1">
      <c r="A74" s="386"/>
      <c r="B74" s="1237"/>
      <c r="C74" s="391"/>
      <c r="D74" s="391"/>
      <c r="E74" s="1236" t="s">
        <v>3661</v>
      </c>
      <c r="F74" s="391"/>
      <c r="G74" s="1234" t="s">
        <v>2104</v>
      </c>
    </row>
    <row r="75" spans="1:7" s="40" customFormat="1" ht="12" customHeight="1">
      <c r="A75" s="386"/>
      <c r="B75" s="1237"/>
      <c r="C75" s="391"/>
      <c r="D75" s="391"/>
      <c r="E75" s="1236" t="s">
        <v>3280</v>
      </c>
      <c r="F75" s="391"/>
      <c r="G75" s="1234" t="s">
        <v>2104</v>
      </c>
    </row>
    <row r="76" spans="1:7" s="40" customFormat="1" ht="12" customHeight="1">
      <c r="A76" s="386"/>
      <c r="B76" s="1237"/>
      <c r="C76" s="391"/>
      <c r="D76" s="391"/>
      <c r="E76" s="1236" t="s">
        <v>3927</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3956</v>
      </c>
      <c r="F78" s="391"/>
      <c r="G78" s="1234"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2519</v>
      </c>
      <c r="F80" s="397"/>
      <c r="G80" s="1234" t="s">
        <v>3981</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3981</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3907</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3681</v>
      </c>
      <c r="D96" s="391"/>
      <c r="E96" s="1236"/>
      <c r="F96" s="397"/>
      <c r="G96" s="149"/>
    </row>
    <row r="97" spans="1:7" s="40" customFormat="1" ht="12.75" customHeight="1">
      <c r="A97" s="387"/>
      <c r="D97" s="1248" t="s">
        <v>3682</v>
      </c>
      <c r="E97" s="1236" t="s">
        <v>3928</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3281</v>
      </c>
      <c r="F101" s="391"/>
      <c r="G101" s="1234" t="s">
        <v>2104</v>
      </c>
    </row>
    <row r="102" spans="1:7" s="40" customFormat="1" ht="12" customHeight="1">
      <c r="A102" s="101"/>
      <c r="B102" s="391"/>
      <c r="C102" s="411"/>
      <c r="D102" s="411"/>
      <c r="E102" s="395" t="s">
        <v>3586</v>
      </c>
      <c r="F102" s="399"/>
      <c r="G102" s="1234" t="s">
        <v>2104</v>
      </c>
    </row>
    <row r="103" spans="1:7" s="40" customFormat="1" ht="12" customHeight="1">
      <c r="A103" s="101"/>
      <c r="B103" s="391"/>
      <c r="C103" s="411"/>
      <c r="D103" s="411"/>
      <c r="E103" s="395" t="s">
        <v>3587</v>
      </c>
      <c r="F103" s="399"/>
      <c r="G103" s="1234" t="s">
        <v>2104</v>
      </c>
    </row>
    <row r="104" spans="1:7" s="40" customFormat="1" ht="12" customHeight="1">
      <c r="A104" s="101"/>
      <c r="B104" s="391"/>
      <c r="C104" s="391"/>
      <c r="D104" s="391"/>
      <c r="E104" s="391" t="s">
        <v>3588</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4" t="s">
        <v>3981</v>
      </c>
    </row>
    <row r="109" spans="1:7" s="40" customFormat="1" ht="12" customHeight="1">
      <c r="A109" s="101"/>
      <c r="B109" s="239"/>
      <c r="C109" s="789"/>
      <c r="D109" s="391"/>
      <c r="E109" s="397" t="s">
        <v>3918</v>
      </c>
      <c r="F109" s="397"/>
      <c r="G109" s="1234" t="s">
        <v>3981</v>
      </c>
    </row>
    <row r="110" spans="1:7" s="40" customFormat="1" ht="12" customHeight="1">
      <c r="A110" s="101"/>
      <c r="B110" s="239"/>
      <c r="C110" s="789"/>
      <c r="D110" s="391"/>
      <c r="E110" s="397" t="s">
        <v>3910</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3685</v>
      </c>
      <c r="F112" s="866"/>
      <c r="G112" s="1234" t="s">
        <v>3981</v>
      </c>
    </row>
    <row r="113" spans="1:7" s="40" customFormat="1" ht="12" customHeight="1">
      <c r="A113" s="101"/>
      <c r="B113" s="395"/>
      <c r="C113" s="239"/>
      <c r="D113" s="395"/>
      <c r="E113" s="395" t="s">
        <v>680</v>
      </c>
      <c r="F113" s="401"/>
      <c r="G113" s="1234" t="s">
        <v>3981</v>
      </c>
    </row>
    <row r="114" spans="1:7" s="40" customFormat="1" ht="12" customHeight="1">
      <c r="A114" s="101"/>
      <c r="B114" s="391"/>
      <c r="C114" s="239"/>
      <c r="D114" s="391"/>
      <c r="E114" s="395" t="s">
        <v>3608</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4" t="s">
        <v>3981</v>
      </c>
    </row>
    <row r="117" spans="1:7" s="40" customFormat="1" ht="12" customHeight="1">
      <c r="A117" s="101"/>
      <c r="B117" s="239"/>
      <c r="C117" s="239"/>
      <c r="D117" s="391"/>
      <c r="E117" s="391" t="s">
        <v>3117</v>
      </c>
      <c r="F117" s="391"/>
      <c r="G117" s="1234" t="s">
        <v>2104</v>
      </c>
    </row>
    <row r="118" spans="1:7" s="40" customFormat="1" ht="12" customHeight="1">
      <c r="A118" s="101"/>
      <c r="B118" s="391"/>
      <c r="C118" s="239"/>
      <c r="D118" s="391"/>
      <c r="E118" s="391" t="s">
        <v>3060</v>
      </c>
      <c r="F118" s="391"/>
      <c r="G118" s="1234" t="s">
        <v>2104</v>
      </c>
    </row>
    <row r="119" spans="1:7" s="40" customFormat="1" ht="12" customHeight="1">
      <c r="A119" s="101"/>
      <c r="B119" s="390"/>
      <c r="C119" s="239"/>
      <c r="D119" s="391"/>
      <c r="E119" s="395" t="s">
        <v>3686</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3688</v>
      </c>
      <c r="F121" s="865"/>
      <c r="G121" s="1234" t="s">
        <v>3981</v>
      </c>
    </row>
    <row r="122" spans="1:7" s="40" customFormat="1" ht="12" customHeight="1">
      <c r="A122" s="104"/>
      <c r="B122" s="390"/>
      <c r="C122" s="239"/>
      <c r="D122" s="395"/>
      <c r="E122" s="865" t="s">
        <v>3687</v>
      </c>
      <c r="F122" s="866"/>
      <c r="G122" s="1234"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3689</v>
      </c>
      <c r="F124" s="401"/>
      <c r="G124" s="1234" t="s">
        <v>2104</v>
      </c>
    </row>
    <row r="125" spans="1:7" s="40" customFormat="1" ht="12" customHeight="1">
      <c r="A125" s="386"/>
      <c r="B125" s="404"/>
      <c r="C125" s="239"/>
      <c r="D125" s="391"/>
      <c r="E125" s="395" t="s">
        <v>3282</v>
      </c>
      <c r="F125" s="395"/>
      <c r="G125" s="1234" t="s">
        <v>2104</v>
      </c>
    </row>
    <row r="126" spans="1:7" s="40" customFormat="1" ht="12" customHeight="1">
      <c r="A126" s="101"/>
      <c r="B126" s="395"/>
      <c r="C126" s="239"/>
      <c r="D126" s="395"/>
      <c r="E126" s="396" t="s">
        <v>3496</v>
      </c>
      <c r="F126" s="391"/>
      <c r="G126" s="1234" t="s">
        <v>2104</v>
      </c>
    </row>
    <row r="127" spans="1:7" s="40" customFormat="1" ht="12" customHeight="1">
      <c r="A127" s="101"/>
      <c r="B127" s="391"/>
      <c r="C127" s="239"/>
      <c r="D127" s="1236"/>
      <c r="E127" s="391" t="s">
        <v>3283</v>
      </c>
      <c r="F127" s="391"/>
      <c r="G127" s="1234" t="s">
        <v>3981</v>
      </c>
    </row>
    <row r="128" spans="1:7" s="40" customFormat="1" ht="12" customHeight="1">
      <c r="A128" s="101"/>
      <c r="B128" s="390"/>
      <c r="C128" s="239"/>
      <c r="D128" s="391"/>
      <c r="E128" s="391" t="s">
        <v>1537</v>
      </c>
      <c r="F128" s="391"/>
      <c r="G128" s="1234" t="s">
        <v>3981</v>
      </c>
    </row>
    <row r="129" spans="1:7" s="40" customFormat="1" ht="12" customHeight="1">
      <c r="A129" s="101"/>
      <c r="B129" s="391"/>
      <c r="C129" s="239"/>
      <c r="D129" s="391"/>
      <c r="E129" s="395" t="s">
        <v>1538</v>
      </c>
      <c r="F129" s="401"/>
      <c r="G129" s="1234" t="s">
        <v>3981</v>
      </c>
    </row>
    <row r="130" spans="1:7" s="40" customFormat="1" ht="12" customHeight="1">
      <c r="A130" s="101"/>
      <c r="B130" s="395"/>
      <c r="C130" s="239"/>
      <c r="D130" s="395"/>
      <c r="E130" s="395" t="s">
        <v>3242</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3981</v>
      </c>
    </row>
    <row r="133" spans="1:7" s="40" customFormat="1" ht="12" customHeight="1">
      <c r="A133" s="101"/>
      <c r="B133" s="884"/>
      <c r="C133" s="885"/>
      <c r="D133" s="885"/>
      <c r="E133" s="395" t="s">
        <v>1785</v>
      </c>
      <c r="F133" s="395"/>
      <c r="G133" s="1234" t="s">
        <v>3981</v>
      </c>
    </row>
    <row r="134" spans="1:7" s="40" customFormat="1" ht="12" customHeight="1">
      <c r="A134" s="101"/>
      <c r="B134" s="884"/>
      <c r="C134" s="885"/>
      <c r="D134" s="885"/>
      <c r="E134" s="395" t="s">
        <v>1788</v>
      </c>
      <c r="F134" s="395"/>
      <c r="G134" s="1234" t="s">
        <v>3981</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4" t="s">
        <v>2104</v>
      </c>
    </row>
    <row r="137" spans="1:7" s="40" customFormat="1" ht="12" customHeight="1">
      <c r="A137" s="101"/>
      <c r="B137" s="587" t="s">
        <v>2883</v>
      </c>
      <c r="C137" s="239"/>
      <c r="D137" s="1251"/>
      <c r="E137" s="867" t="s">
        <v>3936</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3981</v>
      </c>
    </row>
    <row r="140" spans="1:7" s="40" customFormat="1" ht="12" customHeight="1">
      <c r="A140" s="386"/>
      <c r="B140" s="587" t="s">
        <v>3179</v>
      </c>
      <c r="C140" s="404"/>
      <c r="D140" s="391"/>
      <c r="E140" s="392" t="s">
        <v>2373</v>
      </c>
      <c r="F140" s="391"/>
      <c r="G140" s="1234" t="s">
        <v>3981</v>
      </c>
    </row>
    <row r="141" spans="1:7" s="40" customFormat="1" ht="12" customHeight="1">
      <c r="A141" s="101"/>
      <c r="B141" s="239"/>
      <c r="C141" s="391"/>
      <c r="D141" s="391"/>
      <c r="E141" s="391" t="s">
        <v>3093</v>
      </c>
      <c r="F141" s="391"/>
      <c r="G141" s="1234" t="s">
        <v>3981</v>
      </c>
    </row>
    <row r="142" spans="1:7" s="40" customFormat="1" ht="12" customHeight="1">
      <c r="A142" s="101"/>
      <c r="B142" s="391"/>
      <c r="C142" s="391"/>
      <c r="D142" s="391"/>
      <c r="E142" s="391" t="s">
        <v>3609</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3402</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3335</v>
      </c>
      <c r="F150" s="401"/>
      <c r="G150" s="1234" t="s">
        <v>2104</v>
      </c>
    </row>
    <row r="151" spans="1:7" s="40" customFormat="1" ht="12" customHeight="1">
      <c r="A151" s="101"/>
      <c r="B151" s="395"/>
      <c r="C151" s="395"/>
      <c r="D151" s="395"/>
      <c r="E151" s="789" t="s">
        <v>3700</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3098</v>
      </c>
      <c r="F159" s="391"/>
      <c r="G159" s="1234" t="s">
        <v>2104</v>
      </c>
    </row>
    <row r="160" spans="1:7" s="40" customFormat="1" ht="12" customHeight="1">
      <c r="A160" s="101"/>
      <c r="B160" s="239"/>
      <c r="C160" s="239"/>
      <c r="D160" s="239"/>
      <c r="E160" s="395" t="s">
        <v>3128</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3124</v>
      </c>
      <c r="F163" s="391"/>
      <c r="G163" s="1234" t="s">
        <v>2104</v>
      </c>
    </row>
    <row r="164" spans="1:7" s="40" customFormat="1" ht="12" customHeight="1">
      <c r="A164" s="101"/>
      <c r="B164" s="395"/>
      <c r="C164" s="395"/>
      <c r="D164" s="395"/>
      <c r="E164" s="395" t="s">
        <v>3125</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945</v>
      </c>
      <c r="C169" s="239"/>
      <c r="D169" s="1236"/>
      <c r="E169" s="397" t="s">
        <v>3278</v>
      </c>
      <c r="F169" s="391"/>
      <c r="G169" s="1234" t="s">
        <v>3981</v>
      </c>
    </row>
    <row r="170" spans="1:7" s="40" customFormat="1" ht="12" customHeight="1">
      <c r="A170" s="101"/>
      <c r="B170" s="239"/>
      <c r="C170" s="789"/>
      <c r="D170" s="1236"/>
      <c r="E170" s="867" t="s">
        <v>807</v>
      </c>
      <c r="F170" s="866"/>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3701</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3911</v>
      </c>
      <c r="F175" s="866"/>
      <c r="G175" s="1234" t="s">
        <v>3981</v>
      </c>
    </row>
    <row r="176" spans="1:7" s="40" customFormat="1" ht="11.25" customHeight="1">
      <c r="A176" s="386"/>
      <c r="B176" s="1257"/>
      <c r="C176" s="239"/>
      <c r="D176" s="1237"/>
      <c r="E176" s="867" t="s">
        <v>590</v>
      </c>
      <c r="F176" s="866"/>
      <c r="G176" s="1234" t="s">
        <v>3981</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3662</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3676</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67" t="s">
        <v>3913</v>
      </c>
      <c r="F189" s="866"/>
      <c r="G189" s="1234" t="s">
        <v>2104</v>
      </c>
    </row>
    <row r="190" spans="1:7" s="40" customFormat="1" ht="12" customHeight="1">
      <c r="A190" s="101"/>
      <c r="B190" s="1237"/>
      <c r="C190" s="239"/>
      <c r="D190" s="1237"/>
      <c r="E190" s="1236" t="s">
        <v>3677</v>
      </c>
      <c r="G190" s="1234" t="s">
        <v>2104</v>
      </c>
    </row>
    <row r="191" spans="1:7" s="40" customFormat="1" ht="12" customHeight="1">
      <c r="A191" s="386"/>
      <c r="B191" s="1258"/>
      <c r="C191" s="1237"/>
      <c r="D191" s="1237"/>
      <c r="E191" s="867" t="s">
        <v>3914</v>
      </c>
      <c r="F191" s="1167"/>
      <c r="G191" s="1234" t="s">
        <v>2104</v>
      </c>
    </row>
    <row r="192" spans="1:7" s="40" customFormat="1" ht="12" customHeight="1">
      <c r="A192" s="388"/>
      <c r="B192" s="1258"/>
      <c r="C192" s="1237"/>
      <c r="D192" s="1237"/>
      <c r="E192" s="867" t="s">
        <v>3678</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3981</v>
      </c>
    </row>
    <row r="195" spans="1:7" s="40" customFormat="1" ht="26.25" customHeight="1">
      <c r="A195" s="101"/>
      <c r="B195" s="1237"/>
      <c r="C195" s="239"/>
      <c r="D195" s="1237"/>
      <c r="E195" s="1260" t="s">
        <v>3912</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1523</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3313</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3314</v>
      </c>
      <c r="F202" s="1268"/>
      <c r="G202" s="1234" t="s">
        <v>2104</v>
      </c>
    </row>
    <row r="203" spans="1:7" s="40" customFormat="1" ht="12" customHeight="1">
      <c r="A203" s="101"/>
      <c r="C203" s="1236"/>
      <c r="D203" s="1237"/>
      <c r="E203" s="1236" t="s">
        <v>3315</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3524</v>
      </c>
      <c r="F205" s="395"/>
      <c r="G205" s="1234" t="s">
        <v>2104</v>
      </c>
    </row>
    <row r="206" spans="1:7" s="40" customFormat="1" ht="12" customHeight="1">
      <c r="A206" s="101"/>
      <c r="B206" s="239"/>
      <c r="C206" s="1236"/>
      <c r="D206" s="1237"/>
      <c r="E206" s="1236" t="s">
        <v>3166</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3610</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3284</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3981</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3683</v>
      </c>
      <c r="F227" s="824"/>
      <c r="G227" s="1234" t="s">
        <v>2104</v>
      </c>
    </row>
    <row r="228" spans="1:7" s="40" customFormat="1" ht="26.25" customHeight="1">
      <c r="A228" s="388"/>
      <c r="B228" s="239"/>
      <c r="C228" s="239"/>
      <c r="D228" s="1237"/>
      <c r="E228" s="867" t="s">
        <v>3684</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4076</v>
      </c>
      <c r="F230" s="1271"/>
      <c r="G230" s="1234" t="s">
        <v>3981</v>
      </c>
    </row>
    <row r="231" spans="1:7" s="40" customFormat="1" ht="12.6" customHeight="1">
      <c r="A231" s="101"/>
      <c r="C231" s="1272" t="s">
        <v>946</v>
      </c>
      <c r="D231" s="1167"/>
      <c r="E231" s="1273"/>
      <c r="F231" s="1273"/>
      <c r="G231" s="1274" t="s">
        <v>2104</v>
      </c>
    </row>
    <row r="232" spans="1:7" s="40" customFormat="1" ht="12.6" customHeight="1">
      <c r="A232" s="101"/>
      <c r="C232" s="1272"/>
      <c r="D232" s="1167"/>
      <c r="E232" s="1273"/>
      <c r="F232" s="1273"/>
      <c r="G232" s="1274" t="s">
        <v>2104</v>
      </c>
    </row>
    <row r="233" spans="1:7" s="40" customFormat="1" ht="12.6" customHeight="1">
      <c r="A233" s="101"/>
      <c r="C233" s="1272"/>
      <c r="D233" s="1167"/>
      <c r="E233" s="1273"/>
      <c r="F233" s="1273"/>
      <c r="G233" s="1274" t="s">
        <v>2104</v>
      </c>
    </row>
    <row r="234" spans="1:7" s="40" customFormat="1" ht="12.6" customHeight="1">
      <c r="A234" s="101"/>
      <c r="C234" s="1272"/>
      <c r="D234" s="1167"/>
      <c r="E234" s="1273"/>
      <c r="F234" s="1273"/>
      <c r="G234" s="1274" t="s">
        <v>2104</v>
      </c>
    </row>
    <row r="235" spans="1:7" s="40" customFormat="1" ht="12.6" customHeight="1">
      <c r="A235" s="101"/>
      <c r="C235" s="1166"/>
      <c r="D235" s="1167"/>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3980</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3612</v>
      </c>
      <c r="F241" s="991"/>
      <c r="G241" s="1234" t="s">
        <v>3981</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2012-006 Hidden Glen Village, Hinesville, Liberty County</v>
      </c>
      <c r="B1" s="994"/>
      <c r="C1" s="994"/>
      <c r="D1" s="994"/>
      <c r="E1" s="994"/>
      <c r="F1" s="994"/>
      <c r="G1" s="994"/>
      <c r="H1" s="994"/>
      <c r="I1" s="994"/>
      <c r="J1" s="994"/>
      <c r="K1" s="994"/>
      <c r="L1" s="994"/>
      <c r="M1" s="994"/>
      <c r="N1" s="994"/>
      <c r="O1" s="994"/>
      <c r="P1" s="995"/>
      <c r="T1" s="1103" t="str">
        <f>A1</f>
        <v>PART SIX - PROJECTED REVENUES &amp; EXPENSES  -  2012-006 Hidden Glen Village, Hinesville, Liberty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3231</v>
      </c>
      <c r="AC4" s="1081" t="s">
        <v>3232</v>
      </c>
      <c r="AD4" s="1081" t="s">
        <v>3233</v>
      </c>
      <c r="AE4" s="1081" t="s">
        <v>3234</v>
      </c>
      <c r="AF4" s="1081" t="s">
        <v>1414</v>
      </c>
      <c r="AG4" s="1081" t="s">
        <v>3235</v>
      </c>
      <c r="AH4" s="1081" t="s">
        <v>3236</v>
      </c>
      <c r="AI4" s="1081" t="s">
        <v>3237</v>
      </c>
      <c r="AJ4" s="1081" t="s">
        <v>3238</v>
      </c>
      <c r="AK4" s="1081" t="s">
        <v>140</v>
      </c>
      <c r="AL4" s="1081" t="s">
        <v>3239</v>
      </c>
      <c r="AM4" s="1081" t="s">
        <v>3240</v>
      </c>
      <c r="AN4" s="1081" t="s">
        <v>3241</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3415</v>
      </c>
      <c r="BU4" s="1081" t="s">
        <v>3416</v>
      </c>
      <c r="BV4" s="1081" t="s">
        <v>3417</v>
      </c>
      <c r="BW4" s="1081" t="s">
        <v>3418</v>
      </c>
      <c r="BX4" s="1081" t="s">
        <v>3419</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3414</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3110</v>
      </c>
      <c r="EM4" s="1082" t="s">
        <v>3111</v>
      </c>
      <c r="EN4" s="1082" t="s">
        <v>3112</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3539</v>
      </c>
      <c r="GQ4" s="1082" t="s">
        <v>3540</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c r="J6" s="848" t="s">
        <v>3387</v>
      </c>
      <c r="N6" s="1100" t="str">
        <f>'Part I-Project Information'!$J$26</f>
        <v>Liberty County-Hinesville-Fort Stewart GA</v>
      </c>
      <c r="O6" s="1100"/>
      <c r="P6" s="672">
        <f>VLOOKUP('Part I-Project Information'!$J$26,'DCA Underwriting Assumptions'!$C$84:$D$194,2)</f>
        <v>51300</v>
      </c>
      <c r="Q6" s="769"/>
      <c r="R6" s="1102" t="s">
        <v>3975</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3388</v>
      </c>
      <c r="K7" s="2"/>
      <c r="L7" s="2"/>
      <c r="M7" s="2"/>
      <c r="N7" s="37"/>
      <c r="O7" s="37"/>
      <c r="P7" s="817"/>
      <c r="Q7" s="817"/>
      <c r="R7" s="818"/>
      <c r="S7" s="819" t="s">
        <v>3972</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3363</v>
      </c>
      <c r="H8" s="848" t="s">
        <v>3361</v>
      </c>
      <c r="I8" s="848" t="s">
        <v>1284</v>
      </c>
      <c r="J8" s="848" t="s">
        <v>3389</v>
      </c>
      <c r="K8" s="1098" t="s">
        <v>170</v>
      </c>
      <c r="L8" s="1098"/>
      <c r="M8" s="848" t="s">
        <v>3334</v>
      </c>
      <c r="N8" s="848" t="s">
        <v>768</v>
      </c>
      <c r="O8" s="848" t="s">
        <v>457</v>
      </c>
      <c r="P8" s="1101" t="s">
        <v>1551</v>
      </c>
      <c r="Q8" s="1101"/>
      <c r="R8" s="849" t="s">
        <v>3971</v>
      </c>
      <c r="S8" s="849" t="s">
        <v>3973</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3425</v>
      </c>
      <c r="EX8" s="776" t="s">
        <v>3426</v>
      </c>
      <c r="EY8" s="776" t="s">
        <v>3427</v>
      </c>
      <c r="EZ8" s="776" t="s">
        <v>3428</v>
      </c>
      <c r="FA8" s="1082" t="s">
        <v>3505</v>
      </c>
      <c r="FB8" s="1082" t="s">
        <v>3505</v>
      </c>
      <c r="FC8" s="1082" t="s">
        <v>3505</v>
      </c>
      <c r="FD8" s="1082" t="s">
        <v>3505</v>
      </c>
      <c r="FE8" s="1082" t="s">
        <v>3505</v>
      </c>
      <c r="FF8" s="776" t="s">
        <v>673</v>
      </c>
      <c r="FG8" s="776" t="s">
        <v>3425</v>
      </c>
      <c r="FH8" s="776" t="s">
        <v>3426</v>
      </c>
      <c r="FI8" s="776" t="s">
        <v>3427</v>
      </c>
      <c r="FJ8" s="776" t="s">
        <v>3428</v>
      </c>
      <c r="FK8" s="1082" t="s">
        <v>3507</v>
      </c>
      <c r="FL8" s="1082" t="s">
        <v>3507</v>
      </c>
      <c r="FM8" s="1082" t="s">
        <v>3507</v>
      </c>
      <c r="FN8" s="1082" t="s">
        <v>3507</v>
      </c>
      <c r="FO8" s="1082" t="s">
        <v>3507</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3362</v>
      </c>
      <c r="I9" s="848" t="s">
        <v>1285</v>
      </c>
      <c r="J9" s="758" t="s">
        <v>422</v>
      </c>
      <c r="K9" s="848" t="s">
        <v>2131</v>
      </c>
      <c r="L9" s="848" t="s">
        <v>775</v>
      </c>
      <c r="M9" s="848" t="s">
        <v>2068</v>
      </c>
      <c r="N9" s="848" t="s">
        <v>1863</v>
      </c>
      <c r="O9" s="848" t="s">
        <v>458</v>
      </c>
      <c r="P9" s="849" t="s">
        <v>1549</v>
      </c>
      <c r="Q9" s="849" t="s">
        <v>1550</v>
      </c>
      <c r="R9" s="849" t="s">
        <v>2070</v>
      </c>
      <c r="S9" s="849" t="s">
        <v>3974</v>
      </c>
      <c r="T9" s="976" t="s">
        <v>2717</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3504</v>
      </c>
      <c r="EX9" s="776" t="s">
        <v>3504</v>
      </c>
      <c r="EY9" s="776" t="s">
        <v>3504</v>
      </c>
      <c r="EZ9" s="776" t="s">
        <v>3504</v>
      </c>
      <c r="FA9" s="1082"/>
      <c r="FB9" s="1082"/>
      <c r="FC9" s="1082"/>
      <c r="FD9" s="1082"/>
      <c r="FE9" s="1082"/>
      <c r="FF9" s="776" t="s">
        <v>3506</v>
      </c>
      <c r="FG9" s="776" t="s">
        <v>3506</v>
      </c>
      <c r="FH9" s="776" t="s">
        <v>3506</v>
      </c>
      <c r="FI9" s="776" t="s">
        <v>3506</v>
      </c>
      <c r="FJ9" s="776" t="s">
        <v>3506</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2</v>
      </c>
      <c r="D10" s="1516">
        <v>2</v>
      </c>
      <c r="E10" s="1517">
        <v>3</v>
      </c>
      <c r="F10" s="1517">
        <v>1100</v>
      </c>
      <c r="G10" s="1517">
        <v>530</v>
      </c>
      <c r="H10" s="1517">
        <v>537</v>
      </c>
      <c r="I10" s="1517">
        <v>158</v>
      </c>
      <c r="J10" s="1518"/>
      <c r="K10" s="224">
        <f>MAX(0,H10-I10)</f>
        <v>379</v>
      </c>
      <c r="L10" s="224">
        <f t="shared" ref="L10:L47" si="0">MAX(0,E10*K10)</f>
        <v>1137</v>
      </c>
      <c r="M10" s="1519" t="s">
        <v>3980</v>
      </c>
      <c r="N10" s="1519" t="s">
        <v>3995</v>
      </c>
      <c r="O10" s="1519" t="s">
        <v>3214</v>
      </c>
      <c r="P10" s="673">
        <f>IF(H10="","",H10*12/0.3)</f>
        <v>21480</v>
      </c>
      <c r="Q10" s="674">
        <f>IF(H10="","",P10/($P$6*VLOOKUP(C10,'DCA Underwriting Assumptions'!$J$84:$K$89,2,FALSE)))</f>
        <v>0.46523716699155293</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3</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3300</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f t="shared" ref="DE10:DE47" si="58">IF(AND($C10=2, $O10="New Construction",NOT($B10="Unrestricted"),NOT($B10="NSP 120% AMI"),NOT($B10="N/A-CS"),NOT($M10="Common")),$E10,"")</f>
        <v>3</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f t="shared" ref="EX10:EX47" si="103">IF(AND($C10=2, NOT(OR($N10="SF Detached",$N10="Mfd Home",$N10="Duplex",$N10="Townhome"))),$E10,"")</f>
        <v>3</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f t="shared" ref="GG10:GG47" si="138">IF(AND($C10=2, $N10="2-Story Walkup"),$E10,"")</f>
        <v>3</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3</v>
      </c>
      <c r="D11" s="1522">
        <v>2</v>
      </c>
      <c r="E11" s="1523">
        <v>3</v>
      </c>
      <c r="F11" s="1523">
        <v>1250</v>
      </c>
      <c r="G11" s="1523">
        <v>620</v>
      </c>
      <c r="H11" s="1523">
        <v>620</v>
      </c>
      <c r="I11" s="1523">
        <v>194</v>
      </c>
      <c r="J11" s="1524"/>
      <c r="K11" s="225">
        <f t="shared" ref="K11:K27" si="172">MAX(0,H11-I11)</f>
        <v>426</v>
      </c>
      <c r="L11" s="225">
        <f t="shared" si="0"/>
        <v>1278</v>
      </c>
      <c r="M11" s="1525" t="s">
        <v>3980</v>
      </c>
      <c r="N11" s="1525" t="s">
        <v>3995</v>
      </c>
      <c r="O11" s="1525" t="s">
        <v>3214</v>
      </c>
      <c r="P11" s="673">
        <f>IF(H11="","",H11*12/0.3)</f>
        <v>24800</v>
      </c>
      <c r="Q11" s="674">
        <f>IF(H11="","",P11/($P$6*VLOOKUP(C11,'DCA Underwriting Assumptions'!$J$84:$K$89,2,FALSE)))</f>
        <v>0.46483730694257008</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f t="shared" si="9"/>
        <v>3</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f t="shared" si="34"/>
        <v>3750</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f t="shared" si="59"/>
        <v>3</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f t="shared" si="104"/>
        <v>3</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f t="shared" si="139"/>
        <v>3</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1670</v>
      </c>
      <c r="C12" s="1521">
        <v>3</v>
      </c>
      <c r="D12" s="1522">
        <v>2</v>
      </c>
      <c r="E12" s="1523">
        <v>19</v>
      </c>
      <c r="F12" s="1523">
        <v>1250</v>
      </c>
      <c r="G12" s="1523">
        <v>735</v>
      </c>
      <c r="H12" s="1523">
        <v>744</v>
      </c>
      <c r="I12" s="1523">
        <v>194</v>
      </c>
      <c r="J12" s="1524"/>
      <c r="K12" s="225">
        <f t="shared" si="172"/>
        <v>550</v>
      </c>
      <c r="L12" s="225">
        <f t="shared" si="0"/>
        <v>10450</v>
      </c>
      <c r="M12" s="1525" t="s">
        <v>3980</v>
      </c>
      <c r="N12" s="1525" t="s">
        <v>3995</v>
      </c>
      <c r="O12" s="1525" t="s">
        <v>3214</v>
      </c>
      <c r="P12" s="673">
        <f>IF(H12="","",H12*12/0.3)</f>
        <v>29760</v>
      </c>
      <c r="Q12" s="674">
        <f>IF(H12="","",P12/($P$6*VLOOKUP(C12,'DCA Underwriting Assumptions'!$J$84:$K$89,2,FALSE)))</f>
        <v>0.55780476833108417</v>
      </c>
      <c r="R12" s="820"/>
      <c r="S12" s="674"/>
      <c r="T12" s="1462"/>
      <c r="U12" s="1463"/>
      <c r="V12" s="757" t="str">
        <f t="shared" si="1"/>
        <v/>
      </c>
      <c r="W12" s="757" t="str">
        <f t="shared" si="2"/>
        <v/>
      </c>
      <c r="X12" s="757" t="str">
        <f t="shared" si="3"/>
        <v/>
      </c>
      <c r="Y12" s="757">
        <f t="shared" si="4"/>
        <v>19</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f t="shared" si="29"/>
        <v>23750</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19</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19</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f t="shared" si="139"/>
        <v>19</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2</v>
      </c>
      <c r="D13" s="1522">
        <v>2</v>
      </c>
      <c r="E13" s="1523">
        <v>17</v>
      </c>
      <c r="F13" s="1523">
        <v>1100</v>
      </c>
      <c r="G13" s="1523">
        <v>612</v>
      </c>
      <c r="H13" s="1523">
        <v>645</v>
      </c>
      <c r="I13" s="1523">
        <v>158</v>
      </c>
      <c r="J13" s="1524"/>
      <c r="K13" s="225">
        <f t="shared" si="172"/>
        <v>487</v>
      </c>
      <c r="L13" s="225">
        <f t="shared" si="0"/>
        <v>8279</v>
      </c>
      <c r="M13" s="1525" t="s">
        <v>3980</v>
      </c>
      <c r="N13" s="1525" t="s">
        <v>3995</v>
      </c>
      <c r="O13" s="1525" t="s">
        <v>3214</v>
      </c>
      <c r="P13" s="673">
        <f>IF(H13="","",H13*12/0.3)</f>
        <v>25800</v>
      </c>
      <c r="Q13" s="674">
        <f>IF(H13="","",P13/($P$6*VLOOKUP(C13,'DCA Underwriting Assumptions'!$J$84:$K$89,2,FALSE)))</f>
        <v>0.55880441845354123</v>
      </c>
      <c r="R13" s="820"/>
      <c r="S13" s="674"/>
      <c r="T13" s="1462"/>
      <c r="U13" s="1463"/>
      <c r="V13" s="757" t="str">
        <f t="shared" si="1"/>
        <v/>
      </c>
      <c r="W13" s="757" t="str">
        <f t="shared" si="2"/>
        <v/>
      </c>
      <c r="X13" s="757">
        <f t="shared" si="3"/>
        <v>17</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18700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17</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17</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f t="shared" si="138"/>
        <v>17</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127</v>
      </c>
      <c r="C14" s="1521">
        <v>2</v>
      </c>
      <c r="D14" s="1522">
        <v>2</v>
      </c>
      <c r="E14" s="1523">
        <v>2</v>
      </c>
      <c r="F14" s="1523">
        <v>1100</v>
      </c>
      <c r="G14" s="1523">
        <v>530</v>
      </c>
      <c r="H14" s="1523">
        <v>537</v>
      </c>
      <c r="I14" s="1523">
        <v>158</v>
      </c>
      <c r="J14" s="1524" t="s">
        <v>4072</v>
      </c>
      <c r="K14" s="225">
        <f t="shared" si="172"/>
        <v>379</v>
      </c>
      <c r="L14" s="225">
        <f t="shared" si="0"/>
        <v>758</v>
      </c>
      <c r="M14" s="1525" t="s">
        <v>3980</v>
      </c>
      <c r="N14" s="1525" t="s">
        <v>3995</v>
      </c>
      <c r="O14" s="1525" t="s">
        <v>3214</v>
      </c>
      <c r="P14" s="673">
        <f>IF(H14="","",H14*12/0.3)</f>
        <v>21480</v>
      </c>
      <c r="Q14" s="674">
        <f>IF(H14="","",P14/($P$6*VLOOKUP(C14,'DCA Underwriting Assumptions'!$J$84:$K$89,2,FALSE)))</f>
        <v>0.46523716699155293</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f t="shared" si="8"/>
        <v>2</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f t="shared" si="180"/>
        <v>2</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f t="shared" si="33"/>
        <v>2200</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f t="shared" si="48"/>
        <v>2200</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f t="shared" si="138"/>
        <v>2</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127</v>
      </c>
      <c r="C15" s="1521">
        <v>3</v>
      </c>
      <c r="D15" s="1522">
        <v>2</v>
      </c>
      <c r="E15" s="1523">
        <v>1</v>
      </c>
      <c r="F15" s="1523">
        <v>1250</v>
      </c>
      <c r="G15" s="1523">
        <v>620</v>
      </c>
      <c r="H15" s="1523">
        <v>620</v>
      </c>
      <c r="I15" s="1523">
        <v>194</v>
      </c>
      <c r="J15" s="1524" t="s">
        <v>4072</v>
      </c>
      <c r="K15" s="225">
        <f t="shared" si="172"/>
        <v>426</v>
      </c>
      <c r="L15" s="225">
        <f t="shared" si="0"/>
        <v>426</v>
      </c>
      <c r="M15" s="1525" t="s">
        <v>3980</v>
      </c>
      <c r="N15" s="1525" t="s">
        <v>3995</v>
      </c>
      <c r="O15" s="1525" t="s">
        <v>3214</v>
      </c>
      <c r="P15" s="673">
        <f t="shared" ref="P15:P47" si="203">IF(H15="","",H15*12/0.3)</f>
        <v>24800</v>
      </c>
      <c r="Q15" s="674">
        <f>IF(H15="","",P15/($P$6*VLOOKUP(C15,'DCA Underwriting Assumptions'!$J$84:$K$89,2,FALSE)))</f>
        <v>0.46483730694257008</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f t="shared" si="9"/>
        <v>1</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f t="shared" si="181"/>
        <v>1</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f t="shared" si="34"/>
        <v>1250</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f t="shared" si="49"/>
        <v>1250</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f t="shared" si="139"/>
        <v>1</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1670</v>
      </c>
      <c r="C16" s="1521">
        <v>2</v>
      </c>
      <c r="D16" s="1522">
        <v>2</v>
      </c>
      <c r="E16" s="1523">
        <v>8</v>
      </c>
      <c r="F16" s="1523">
        <v>1100</v>
      </c>
      <c r="G16" s="1523">
        <v>612</v>
      </c>
      <c r="H16" s="1523">
        <v>645</v>
      </c>
      <c r="I16" s="1523">
        <v>158</v>
      </c>
      <c r="J16" s="1524" t="s">
        <v>4072</v>
      </c>
      <c r="K16" s="225">
        <f t="shared" si="172"/>
        <v>487</v>
      </c>
      <c r="L16" s="225">
        <f t="shared" si="0"/>
        <v>3896</v>
      </c>
      <c r="M16" s="1525" t="s">
        <v>3980</v>
      </c>
      <c r="N16" s="1525" t="s">
        <v>3995</v>
      </c>
      <c r="O16" s="1525" t="s">
        <v>3214</v>
      </c>
      <c r="P16" s="673">
        <f t="shared" si="203"/>
        <v>25800</v>
      </c>
      <c r="Q16" s="674">
        <f>IF(H16="","",P16/($P$6*VLOOKUP(C16,'DCA Underwriting Assumptions'!$J$84:$K$89,2,FALSE)))</f>
        <v>0.55880441845354123</v>
      </c>
      <c r="R16" s="820"/>
      <c r="S16" s="674"/>
      <c r="T16" s="1462"/>
      <c r="U16" s="1463"/>
      <c r="V16" s="757" t="str">
        <f t="shared" si="1"/>
        <v/>
      </c>
      <c r="W16" s="757" t="str">
        <f t="shared" si="2"/>
        <v/>
      </c>
      <c r="X16" s="757">
        <f t="shared" si="3"/>
        <v>8</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f t="shared" si="185"/>
        <v>8</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f t="shared" si="28"/>
        <v>8800</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f t="shared" si="48"/>
        <v>8800</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8</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8</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f t="shared" si="138"/>
        <v>8</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1670</v>
      </c>
      <c r="C17" s="1521">
        <v>3</v>
      </c>
      <c r="D17" s="1522">
        <v>2</v>
      </c>
      <c r="E17" s="1523">
        <v>7</v>
      </c>
      <c r="F17" s="1523">
        <v>1250</v>
      </c>
      <c r="G17" s="1523">
        <v>735</v>
      </c>
      <c r="H17" s="1523">
        <v>744</v>
      </c>
      <c r="I17" s="1523">
        <v>194</v>
      </c>
      <c r="J17" s="1524" t="s">
        <v>4072</v>
      </c>
      <c r="K17" s="225">
        <f t="shared" si="172"/>
        <v>550</v>
      </c>
      <c r="L17" s="225">
        <f t="shared" si="0"/>
        <v>3850</v>
      </c>
      <c r="M17" s="1525" t="s">
        <v>3980</v>
      </c>
      <c r="N17" s="1525" t="s">
        <v>3995</v>
      </c>
      <c r="O17" s="1525" t="s">
        <v>3214</v>
      </c>
      <c r="P17" s="673">
        <f t="shared" si="203"/>
        <v>29760</v>
      </c>
      <c r="Q17" s="674">
        <f>IF(H17="","",P17/($P$6*VLOOKUP(C17,'DCA Underwriting Assumptions'!$J$84:$K$89,2,FALSE)))</f>
        <v>0.55780476833108417</v>
      </c>
      <c r="R17" s="820"/>
      <c r="S17" s="674"/>
      <c r="T17" s="1462"/>
      <c r="U17" s="1463"/>
      <c r="V17" s="757" t="str">
        <f t="shared" si="1"/>
        <v/>
      </c>
      <c r="W17" s="757" t="str">
        <f t="shared" si="2"/>
        <v/>
      </c>
      <c r="X17" s="757" t="str">
        <f t="shared" si="3"/>
        <v/>
      </c>
      <c r="Y17" s="757">
        <f t="shared" si="4"/>
        <v>7</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f t="shared" si="186"/>
        <v>7</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f t="shared" si="29"/>
        <v>8750</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f t="shared" si="49"/>
        <v>8750</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f t="shared" si="59"/>
        <v>7</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f t="shared" si="104"/>
        <v>7</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f t="shared" si="139"/>
        <v>7</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70500</v>
      </c>
      <c r="G48" s="163"/>
      <c r="H48" s="164"/>
      <c r="I48" s="164"/>
      <c r="J48" s="164"/>
      <c r="K48" s="15" t="s">
        <v>1869</v>
      </c>
      <c r="L48" s="170">
        <f>SUM(L10:L47)</f>
        <v>30074</v>
      </c>
      <c r="M48" s="2"/>
      <c r="N48" s="40"/>
      <c r="O48" s="2"/>
      <c r="P48" s="676"/>
      <c r="Q48" s="676"/>
      <c r="R48" s="676"/>
      <c r="S48" s="676"/>
      <c r="T48" s="675"/>
      <c r="U48" s="677"/>
      <c r="V48" s="779">
        <f t="shared" ref="V48:CK48" si="206">SUM(V10:V47)</f>
        <v>0</v>
      </c>
      <c r="W48" s="779">
        <f t="shared" si="206"/>
        <v>0</v>
      </c>
      <c r="X48" s="779">
        <f t="shared" si="206"/>
        <v>25</v>
      </c>
      <c r="Y48" s="779">
        <f t="shared" si="206"/>
        <v>26</v>
      </c>
      <c r="Z48" s="779">
        <f t="shared" si="206"/>
        <v>0</v>
      </c>
      <c r="AA48" s="779">
        <f t="shared" si="206"/>
        <v>0</v>
      </c>
      <c r="AB48" s="779">
        <f t="shared" si="206"/>
        <v>0</v>
      </c>
      <c r="AC48" s="779">
        <f t="shared" si="206"/>
        <v>5</v>
      </c>
      <c r="AD48" s="779">
        <f t="shared" si="206"/>
        <v>4</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2</v>
      </c>
      <c r="AX48" s="779">
        <f t="shared" si="206"/>
        <v>1</v>
      </c>
      <c r="AY48" s="779">
        <f t="shared" si="206"/>
        <v>0</v>
      </c>
      <c r="AZ48" s="779">
        <f t="shared" si="206"/>
        <v>0</v>
      </c>
      <c r="BA48" s="779">
        <f t="shared" si="206"/>
        <v>0</v>
      </c>
      <c r="BB48" s="779">
        <f t="shared" si="206"/>
        <v>8</v>
      </c>
      <c r="BC48" s="779">
        <f t="shared" si="206"/>
        <v>7</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0</v>
      </c>
      <c r="CA48" s="779">
        <f t="shared" si="206"/>
        <v>27500</v>
      </c>
      <c r="CB48" s="779">
        <f t="shared" si="206"/>
        <v>32500</v>
      </c>
      <c r="CC48" s="779">
        <f t="shared" si="206"/>
        <v>0</v>
      </c>
      <c r="CD48" s="779">
        <f t="shared" si="206"/>
        <v>0</v>
      </c>
      <c r="CE48" s="779">
        <f t="shared" si="206"/>
        <v>0</v>
      </c>
      <c r="CF48" s="779">
        <f t="shared" si="206"/>
        <v>5500</v>
      </c>
      <c r="CG48" s="779">
        <f t="shared" si="206"/>
        <v>5000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11000</v>
      </c>
      <c r="CV48" s="779">
        <f t="shared" si="208"/>
        <v>10000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30</v>
      </c>
      <c r="DF48" s="779">
        <f t="shared" si="208"/>
        <v>30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30</v>
      </c>
      <c r="EY48" s="779">
        <f t="shared" si="209"/>
        <v>30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30</v>
      </c>
      <c r="GH48" s="779">
        <f t="shared" si="209"/>
        <v>30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360888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3672</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2717</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0</v>
      </c>
      <c r="J56" s="380">
        <f>X48</f>
        <v>25</v>
      </c>
      <c r="K56" s="380">
        <f>Y48</f>
        <v>26</v>
      </c>
      <c r="L56" s="380">
        <f>Z48</f>
        <v>0</v>
      </c>
      <c r="M56" s="380">
        <f t="shared" ref="M56:M62" si="211">SUM(H56:L56)</f>
        <v>51</v>
      </c>
      <c r="N56" s="1096" t="s">
        <v>1382</v>
      </c>
      <c r="O56" s="1097"/>
      <c r="P56" s="853"/>
      <c r="Q56" s="643">
        <f t="shared" ref="Q56:Q62" si="212">ABS(M56-AF56)</f>
        <v>51</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0</v>
      </c>
      <c r="J57" s="381">
        <f>AC48</f>
        <v>5</v>
      </c>
      <c r="K57" s="381">
        <f>AD48</f>
        <v>4</v>
      </c>
      <c r="L57" s="381">
        <f>AE48</f>
        <v>0</v>
      </c>
      <c r="M57" s="381">
        <f t="shared" si="211"/>
        <v>9</v>
      </c>
      <c r="N57" s="1096"/>
      <c r="O57" s="1097"/>
      <c r="P57" s="853"/>
      <c r="Q57" s="643">
        <f t="shared" si="212"/>
        <v>9</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0</v>
      </c>
      <c r="J58" s="382">
        <f>SUM(J56:J57)</f>
        <v>30</v>
      </c>
      <c r="K58" s="382">
        <f>SUM(K56:K57)</f>
        <v>30</v>
      </c>
      <c r="L58" s="382">
        <f>SUM(L56:L57)</f>
        <v>0</v>
      </c>
      <c r="M58" s="382">
        <f t="shared" si="211"/>
        <v>60</v>
      </c>
      <c r="N58" s="385"/>
      <c r="O58" s="110"/>
      <c r="Q58" s="643">
        <f t="shared" si="212"/>
        <v>60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0</v>
      </c>
      <c r="J60" s="382">
        <f>SUM(J58:J59)</f>
        <v>30</v>
      </c>
      <c r="K60" s="382">
        <f>SUM(K58:K59)</f>
        <v>30</v>
      </c>
      <c r="L60" s="382">
        <f>SUM(L58:L59)</f>
        <v>0</v>
      </c>
      <c r="M60" s="382">
        <f t="shared" si="211"/>
        <v>60</v>
      </c>
      <c r="N60" s="65"/>
      <c r="O60" s="110"/>
      <c r="Q60" s="643">
        <f t="shared" si="212"/>
        <v>60</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0</v>
      </c>
      <c r="J62" s="382">
        <f>SUM(J60:J61)</f>
        <v>30</v>
      </c>
      <c r="K62" s="382">
        <f>SUM(K60:K61)</f>
        <v>30</v>
      </c>
      <c r="L62" s="382">
        <f>SUM(L60:L61)</f>
        <v>0</v>
      </c>
      <c r="M62" s="382">
        <f t="shared" si="211"/>
        <v>60</v>
      </c>
      <c r="O62" s="110"/>
      <c r="Q62" s="643">
        <f t="shared" si="212"/>
        <v>60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8</v>
      </c>
      <c r="K64" s="380">
        <f>BC48</f>
        <v>7</v>
      </c>
      <c r="L64" s="380">
        <f>BD48</f>
        <v>0</v>
      </c>
      <c r="M64" s="380">
        <f>SUM(H64:L64)</f>
        <v>15</v>
      </c>
      <c r="N64" s="62"/>
      <c r="O64" s="110"/>
      <c r="Q64" s="643">
        <f>ABS(M64-AF64)</f>
        <v>15</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3526</v>
      </c>
      <c r="D65" s="2"/>
      <c r="E65" s="149"/>
      <c r="F65" s="2"/>
      <c r="G65" s="44" t="s">
        <v>127</v>
      </c>
      <c r="H65" s="381">
        <f>AU48</f>
        <v>0</v>
      </c>
      <c r="I65" s="381">
        <f>AV48</f>
        <v>0</v>
      </c>
      <c r="J65" s="381">
        <f>AW48</f>
        <v>2</v>
      </c>
      <c r="K65" s="381">
        <f>AX48</f>
        <v>1</v>
      </c>
      <c r="L65" s="381">
        <f>AY48</f>
        <v>0</v>
      </c>
      <c r="M65" s="383">
        <f>SUM(H65:L65)</f>
        <v>3</v>
      </c>
      <c r="N65" s="62"/>
      <c r="O65" s="110"/>
      <c r="Q65" s="643">
        <f>ABS(M65-AF65)</f>
        <v>3</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10</v>
      </c>
      <c r="K66" s="382">
        <f>SUM(K64:K65)</f>
        <v>8</v>
      </c>
      <c r="L66" s="382">
        <f>SUM(L64:L65)</f>
        <v>0</v>
      </c>
      <c r="M66" s="382">
        <f>SUM(H66:L66)</f>
        <v>18</v>
      </c>
      <c r="N66" s="62"/>
      <c r="O66" s="110"/>
      <c r="Q66" s="643">
        <f>ABS(M66-AF66)</f>
        <v>18</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3214</v>
      </c>
      <c r="F72" s="2"/>
      <c r="G72" s="44" t="s">
        <v>2014</v>
      </c>
      <c r="H72" s="380">
        <f>DC48</f>
        <v>0</v>
      </c>
      <c r="I72" s="380">
        <f>DD48</f>
        <v>0</v>
      </c>
      <c r="J72" s="380">
        <f>DE48</f>
        <v>30</v>
      </c>
      <c r="K72" s="380">
        <f>DF48</f>
        <v>30</v>
      </c>
      <c r="L72" s="380">
        <f>DG48</f>
        <v>0</v>
      </c>
      <c r="M72" s="380">
        <f t="shared" ref="M72:M82" si="213">SUM(H72:L72)</f>
        <v>60</v>
      </c>
      <c r="N72" s="31"/>
      <c r="O72" s="110"/>
      <c r="Q72" s="643">
        <f t="shared" ref="Q72:Q80" si="214">ABS(M72-AF72)</f>
        <v>60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30</v>
      </c>
      <c r="K74" s="382">
        <f>SUM(K72:K73)+DP48</f>
        <v>30</v>
      </c>
      <c r="L74" s="382">
        <f>SUM(L72:L73)+DQ48</f>
        <v>0</v>
      </c>
      <c r="M74" s="382">
        <f t="shared" si="213"/>
        <v>60</v>
      </c>
      <c r="N74" s="62"/>
      <c r="O74" s="110"/>
      <c r="Q74" s="643">
        <f t="shared" si="214"/>
        <v>60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30</v>
      </c>
      <c r="K84" s="380">
        <f t="shared" si="215"/>
        <v>30</v>
      </c>
      <c r="L84" s="380">
        <f t="shared" si="215"/>
        <v>0</v>
      </c>
      <c r="M84" s="380">
        <f>SUM(H84:L84)</f>
        <v>60</v>
      </c>
      <c r="N84" s="31"/>
      <c r="O84" s="110"/>
      <c r="Q84" s="643">
        <f>ABS(M84-AF84)</f>
        <v>60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0</v>
      </c>
      <c r="J87" s="383">
        <f t="shared" si="219"/>
        <v>30</v>
      </c>
      <c r="K87" s="383">
        <f t="shared" si="219"/>
        <v>30</v>
      </c>
      <c r="L87" s="383">
        <f t="shared" si="219"/>
        <v>0</v>
      </c>
      <c r="M87" s="381">
        <f t="shared" si="217"/>
        <v>60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0</v>
      </c>
      <c r="J94" s="221">
        <f>CA48</f>
        <v>27500</v>
      </c>
      <c r="K94" s="221">
        <f>CB48</f>
        <v>32500</v>
      </c>
      <c r="L94" s="221">
        <f>CC48</f>
        <v>0</v>
      </c>
      <c r="M94" s="221">
        <f t="shared" ref="M94:M100" si="221">SUM(H94:L94)</f>
        <v>60000</v>
      </c>
      <c r="O94" s="110"/>
      <c r="Q94" s="643">
        <f t="shared" ref="Q94:Q100" si="222">ABS(M94-AF94)</f>
        <v>60000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5500</v>
      </c>
      <c r="K95" s="223">
        <f>CG48</f>
        <v>5000</v>
      </c>
      <c r="L95" s="223">
        <f>CH48</f>
        <v>0</v>
      </c>
      <c r="M95" s="223">
        <f t="shared" si="221"/>
        <v>10500</v>
      </c>
      <c r="N95" s="6"/>
      <c r="O95" s="110"/>
      <c r="Q95" s="643">
        <f t="shared" si="222"/>
        <v>10500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0</v>
      </c>
      <c r="J96" s="220">
        <f>SUM(J94:J95)</f>
        <v>33000</v>
      </c>
      <c r="K96" s="220">
        <f>SUM(K94:K95)</f>
        <v>37500</v>
      </c>
      <c r="L96" s="220">
        <f>SUM(L94:L95)</f>
        <v>0</v>
      </c>
      <c r="M96" s="220">
        <f t="shared" si="221"/>
        <v>70500</v>
      </c>
      <c r="N96" s="6"/>
      <c r="O96" s="110"/>
      <c r="Q96" s="643">
        <f t="shared" si="222"/>
        <v>70500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0</v>
      </c>
      <c r="J98" s="220">
        <f>SUM(J96:J97)</f>
        <v>33000</v>
      </c>
      <c r="K98" s="220">
        <f>SUM(K96:K97)</f>
        <v>37500</v>
      </c>
      <c r="L98" s="220">
        <f>SUM(L96:L97)</f>
        <v>0</v>
      </c>
      <c r="M98" s="220">
        <f t="shared" si="221"/>
        <v>70500</v>
      </c>
      <c r="O98" s="110"/>
      <c r="Q98" s="643">
        <f t="shared" si="222"/>
        <v>70500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0</v>
      </c>
      <c r="J100" s="220">
        <f>SUM(J98:J99)</f>
        <v>33000</v>
      </c>
      <c r="K100" s="220">
        <f>SUM(K98:K99)</f>
        <v>37500</v>
      </c>
      <c r="L100" s="220">
        <f>SUM(L98:L99)</f>
        <v>0</v>
      </c>
      <c r="M100" s="220">
        <f t="shared" si="221"/>
        <v>70500</v>
      </c>
      <c r="O100" s="110"/>
      <c r="Q100" s="643">
        <f t="shared" si="222"/>
        <v>70500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5">
        <f>0.02*L49</f>
        <v>7217.76</v>
      </c>
      <c r="H104" s="1536"/>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2717</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4">
        <v>24000</v>
      </c>
      <c r="G141" s="1545"/>
      <c r="H141" s="2"/>
      <c r="I141" s="2" t="s">
        <v>1946</v>
      </c>
      <c r="J141" s="2"/>
      <c r="K141" s="1544"/>
      <c r="L141" s="1545"/>
      <c r="M141" s="2"/>
      <c r="N141" s="2" t="s">
        <v>1423</v>
      </c>
      <c r="O141" s="2"/>
      <c r="P141" s="1546">
        <v>42000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22000</v>
      </c>
      <c r="G142" s="1545"/>
      <c r="H142" s="2"/>
      <c r="I142" s="2" t="s">
        <v>1947</v>
      </c>
      <c r="J142" s="2"/>
      <c r="K142" s="1544"/>
      <c r="L142" s="1545"/>
      <c r="M142" s="2"/>
      <c r="N142" s="2" t="s">
        <v>182</v>
      </c>
      <c r="O142" s="2"/>
      <c r="P142" s="1546">
        <v>18000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89">
        <f>SUM(K141:L142)</f>
        <v>0</v>
      </c>
      <c r="L143" s="1090"/>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4051</v>
      </c>
      <c r="C144" s="1551"/>
      <c r="D144" s="1551"/>
      <c r="E144" s="1552"/>
      <c r="F144" s="1553">
        <v>12540</v>
      </c>
      <c r="G144" s="1554"/>
      <c r="H144" s="2"/>
      <c r="I144" s="2"/>
      <c r="J144" s="2"/>
      <c r="K144" s="2"/>
      <c r="L144" s="2"/>
      <c r="M144" s="2"/>
      <c r="N144" s="13" t="s">
        <v>230</v>
      </c>
      <c r="O144" s="2"/>
      <c r="P144" s="633">
        <f>SUM(P141:P143)</f>
        <v>60000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58540</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20540</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5600</v>
      </c>
      <c r="G148" s="1545"/>
      <c r="H148" s="2"/>
      <c r="I148" s="2" t="s">
        <v>2211</v>
      </c>
      <c r="J148" s="2"/>
      <c r="K148" s="1555">
        <v>1500</v>
      </c>
      <c r="L148" s="1556"/>
      <c r="M148" s="2"/>
      <c r="N148" s="595">
        <f>+P147/(M62*0.93)</f>
        <v>368.10035842293905</v>
      </c>
      <c r="O148" s="30" t="s">
        <v>3589</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3000</v>
      </c>
      <c r="G149" s="1545"/>
      <c r="H149" s="2"/>
      <c r="I149" s="2" t="s">
        <v>2935</v>
      </c>
      <c r="J149" s="2"/>
      <c r="K149" s="1557">
        <v>5000</v>
      </c>
      <c r="L149" s="1558"/>
      <c r="M149" s="2"/>
      <c r="N149" s="595">
        <f>+P147/(M62*0.93)/12</f>
        <v>30.675029868578253</v>
      </c>
      <c r="O149" s="30" t="s">
        <v>3590</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0</v>
      </c>
      <c r="G150" s="1545"/>
      <c r="H150" s="2"/>
      <c r="I150" s="2" t="s">
        <v>2212</v>
      </c>
      <c r="J150" s="2"/>
      <c r="K150" s="1557">
        <v>6000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4"/>
      <c r="G151" s="1545"/>
      <c r="H151" s="2"/>
      <c r="I151" s="1547" t="s">
        <v>57</v>
      </c>
      <c r="J151" s="1548"/>
      <c r="K151" s="1555"/>
      <c r="L151" s="1556"/>
      <c r="M151" s="2"/>
      <c r="N151" s="1083" t="s">
        <v>3466</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500</v>
      </c>
      <c r="G152" s="1545"/>
      <c r="H152" s="2"/>
      <c r="I152" s="11"/>
      <c r="J152" s="13" t="s">
        <v>230</v>
      </c>
      <c r="K152" s="1087">
        <f>SUM(K148:K151)</f>
        <v>12500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v>0</v>
      </c>
      <c r="C153" s="1551"/>
      <c r="D153" s="1551"/>
      <c r="E153" s="1552"/>
      <c r="F153" s="1553">
        <v>0</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9100</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3318</v>
      </c>
      <c r="K156" s="2"/>
      <c r="L156" s="2"/>
      <c r="M156" s="2"/>
      <c r="N156" s="11" t="s">
        <v>3082</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c r="G157" s="1560"/>
      <c r="H157" s="2"/>
      <c r="I157" s="2" t="s">
        <v>1936</v>
      </c>
      <c r="J157" s="630">
        <f>K157/12/$M$62</f>
        <v>3.0555555555555558</v>
      </c>
      <c r="K157" s="1557">
        <v>2200</v>
      </c>
      <c r="L157" s="1558"/>
      <c r="M157" s="2"/>
      <c r="N157" s="364">
        <f>+$P$157/$M$62</f>
        <v>4166.333333333333</v>
      </c>
      <c r="O157" s="30" t="s">
        <v>1974</v>
      </c>
      <c r="P157" s="631">
        <f>F145+F154+F165+K143+K152+K162+P144+P147</f>
        <v>249980</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18500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9000</v>
      </c>
      <c r="G159" s="1560"/>
      <c r="H159" s="2"/>
      <c r="I159" s="2" t="s">
        <v>3317</v>
      </c>
      <c r="J159" s="630">
        <f>K159/12/$M$62</f>
        <v>50</v>
      </c>
      <c r="K159" s="1557">
        <v>36000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1500</v>
      </c>
      <c r="G160" s="1545"/>
      <c r="H160" s="2"/>
      <c r="I160" s="2" t="s">
        <v>1939</v>
      </c>
      <c r="J160" s="2"/>
      <c r="K160" s="1557">
        <v>8400</v>
      </c>
      <c r="L160" s="1558"/>
      <c r="M160" s="2"/>
      <c r="N160" s="11" t="s">
        <v>1796</v>
      </c>
      <c r="O160" s="11"/>
      <c r="P160" s="632">
        <f>P161*M62</f>
        <v>18000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1000</v>
      </c>
      <c r="G161" s="1545"/>
      <c r="H161" s="2"/>
      <c r="I161" s="1547" t="s">
        <v>57</v>
      </c>
      <c r="J161" s="1548"/>
      <c r="K161" s="1555"/>
      <c r="L161" s="1556"/>
      <c r="M161" s="2"/>
      <c r="N161" s="30" t="s">
        <v>639</v>
      </c>
      <c r="O161" s="2"/>
      <c r="P161" s="1561">
        <v>300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087">
        <f>SUM(K157:K161)</f>
        <v>46600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11500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4052</v>
      </c>
      <c r="C164" s="1551"/>
      <c r="D164" s="1551"/>
      <c r="E164" s="1552"/>
      <c r="F164" s="1553">
        <v>1200</v>
      </c>
      <c r="G164" s="1554"/>
      <c r="H164" s="2"/>
      <c r="I164" s="2"/>
      <c r="J164" s="14"/>
      <c r="K164" s="2"/>
      <c r="L164" s="2"/>
      <c r="M164" s="2"/>
      <c r="N164" s="11" t="s">
        <v>3083</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42700</v>
      </c>
      <c r="G165" s="1086"/>
      <c r="H165" s="2"/>
      <c r="I165" s="2"/>
      <c r="J165" s="14"/>
      <c r="K165" s="2"/>
      <c r="L165" s="2"/>
      <c r="M165" s="2"/>
      <c r="N165" s="2"/>
      <c r="O165" s="2"/>
      <c r="P165" s="631">
        <f>P157+P160</f>
        <v>267980</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4075</v>
      </c>
      <c r="B168" s="1361"/>
      <c r="C168" s="1361"/>
      <c r="D168" s="1361"/>
      <c r="E168" s="1361"/>
      <c r="F168" s="1361"/>
      <c r="G168" s="1361"/>
      <c r="H168" s="1361"/>
      <c r="I168" s="1361"/>
      <c r="J168" s="1362"/>
      <c r="K168" s="1363"/>
      <c r="L168" s="1364"/>
      <c r="M168" s="1364"/>
      <c r="N168" s="1364"/>
      <c r="O168" s="1364"/>
      <c r="P168" s="1365"/>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disablePrompts="1"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2012-006 Hidden Glen Village, Hinesville, Liberty County</v>
      </c>
      <c r="B1" s="1108"/>
      <c r="C1" s="1108"/>
      <c r="D1" s="1108"/>
      <c r="E1" s="1108"/>
      <c r="F1" s="1108"/>
      <c r="G1" s="1108"/>
      <c r="H1" s="1108"/>
      <c r="I1" s="1108"/>
      <c r="J1" s="1108"/>
      <c r="K1" s="1109"/>
      <c r="L1" s="11"/>
      <c r="M1" s="1105" t="str">
        <f>A1</f>
        <v>PART SEVEN - OPERATING PRO FORMA  -  2012-006 Hidden Glen Village, Hinesville, Liberty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562">
        <v>3500</v>
      </c>
      <c r="H5" s="128" t="s">
        <v>2785</v>
      </c>
      <c r="K5" s="133">
        <f>IF(($B$14+$B$15+$B$16+$B$17)=0,"",-B28/($B$14+$B$15+$B$16+$B$17))</f>
        <v>1.0223803235828348E-2</v>
      </c>
      <c r="M5" s="1460"/>
      <c r="N5" s="1461"/>
    </row>
    <row r="6" spans="1:15">
      <c r="A6" s="19" t="s">
        <v>3085</v>
      </c>
      <c r="B6" s="105">
        <v>0.03</v>
      </c>
      <c r="C6" s="19"/>
      <c r="D6" s="19" t="s">
        <v>1270</v>
      </c>
      <c r="F6" s="19"/>
      <c r="G6" s="1562">
        <v>0</v>
      </c>
      <c r="H6" s="128" t="s">
        <v>3347</v>
      </c>
      <c r="K6" s="133" t="e">
        <f>IF(($B$14+$B$15+$B$16+$B$17)=0,"",-#REF!/($B$14+$B$15+$B$16+$B$17))</f>
        <v>#REF!</v>
      </c>
      <c r="M6" s="1462"/>
      <c r="N6" s="1463"/>
    </row>
    <row r="7" spans="1:15">
      <c r="A7" s="19" t="s">
        <v>3087</v>
      </c>
      <c r="B7" s="105">
        <v>0.03</v>
      </c>
      <c r="C7" s="19"/>
      <c r="D7" s="107" t="s">
        <v>332</v>
      </c>
      <c r="G7" s="109"/>
      <c r="H7" s="128" t="s">
        <v>3348</v>
      </c>
      <c r="K7" s="133">
        <f>IF(($B$14+$B$15+$B$16+$B$17)=0,"",-B20/($B$14+$B$15+$B$16+$B$17))</f>
        <v>5.9999119561118371E-2</v>
      </c>
      <c r="M7" s="1462"/>
      <c r="N7" s="1463"/>
    </row>
    <row r="8" spans="1:15" ht="13.15" customHeight="1">
      <c r="A8" s="19" t="s">
        <v>3086</v>
      </c>
      <c r="B8" s="1563">
        <v>7.0000000000000007E-2</v>
      </c>
      <c r="C8" s="19"/>
      <c r="D8" s="106" t="s">
        <v>3518</v>
      </c>
      <c r="G8" s="1564" t="s">
        <v>3980</v>
      </c>
      <c r="H8" s="230" t="s">
        <v>2028</v>
      </c>
      <c r="K8" s="1565">
        <v>20539</v>
      </c>
      <c r="M8" s="1462"/>
      <c r="N8" s="1463"/>
    </row>
    <row r="9" spans="1:15">
      <c r="A9" s="19" t="s">
        <v>1992</v>
      </c>
      <c r="B9" s="105">
        <v>0.02</v>
      </c>
      <c r="D9" s="106" t="s">
        <v>2570</v>
      </c>
      <c r="G9" s="1564" t="s">
        <v>3981</v>
      </c>
      <c r="H9" s="230" t="s">
        <v>3323</v>
      </c>
      <c r="K9" s="1566">
        <v>0.06</v>
      </c>
      <c r="M9" s="1465"/>
      <c r="N9" s="1466"/>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3675</v>
      </c>
      <c r="N13" s="976"/>
    </row>
    <row r="14" spans="1:15" ht="13.15" customHeight="1">
      <c r="A14" s="21" t="s">
        <v>3385</v>
      </c>
      <c r="B14" s="22">
        <f>'Part VI-Revenues &amp; Expenses'!L49</f>
        <v>360888</v>
      </c>
      <c r="C14" s="22">
        <f t="shared" ref="C14:K14" si="1">$B$14*(1+$B$5)^(C13-1)</f>
        <v>368105.76</v>
      </c>
      <c r="D14" s="22">
        <f t="shared" si="1"/>
        <v>375467.87520000001</v>
      </c>
      <c r="E14" s="22">
        <f t="shared" si="1"/>
        <v>382977.23270399997</v>
      </c>
      <c r="F14" s="22">
        <f t="shared" si="1"/>
        <v>390636.77735807997</v>
      </c>
      <c r="G14" s="22">
        <f t="shared" si="1"/>
        <v>398449.51290524163</v>
      </c>
      <c r="H14" s="22">
        <f t="shared" si="1"/>
        <v>406418.50316334644</v>
      </c>
      <c r="I14" s="22">
        <f t="shared" si="1"/>
        <v>414546.87322661327</v>
      </c>
      <c r="J14" s="22">
        <f t="shared" si="1"/>
        <v>422837.8106911456</v>
      </c>
      <c r="K14" s="23">
        <f t="shared" si="1"/>
        <v>431294.56690496852</v>
      </c>
      <c r="M14" s="1460"/>
      <c r="N14" s="1461"/>
    </row>
    <row r="15" spans="1:15" ht="13.15" customHeight="1">
      <c r="A15" s="24" t="s">
        <v>1519</v>
      </c>
      <c r="B15" s="25">
        <f>MIN(B14*B9,'Part VI-Revenues &amp; Expenses'!G104)</f>
        <v>7217.76</v>
      </c>
      <c r="C15" s="25">
        <f t="shared" ref="C15:K15" si="2">$B$15*(1+$B$5)^(C13-1)</f>
        <v>7362.1152000000002</v>
      </c>
      <c r="D15" s="25">
        <f t="shared" si="2"/>
        <v>7509.3575040000005</v>
      </c>
      <c r="E15" s="25">
        <f t="shared" si="2"/>
        <v>7659.5446540799994</v>
      </c>
      <c r="F15" s="25">
        <f t="shared" si="2"/>
        <v>7812.7355471616002</v>
      </c>
      <c r="G15" s="25">
        <f t="shared" si="2"/>
        <v>7968.9902581048327</v>
      </c>
      <c r="H15" s="25">
        <f t="shared" si="2"/>
        <v>8128.3700632669297</v>
      </c>
      <c r="I15" s="25">
        <f t="shared" si="2"/>
        <v>8290.9374645322659</v>
      </c>
      <c r="J15" s="25">
        <f t="shared" si="2"/>
        <v>8456.7562138229114</v>
      </c>
      <c r="K15" s="26">
        <f t="shared" si="2"/>
        <v>8625.8913380993708</v>
      </c>
      <c r="M15" s="1462"/>
      <c r="N15" s="1463"/>
    </row>
    <row r="16" spans="1:15" ht="13.15" customHeight="1">
      <c r="A16" s="24" t="s">
        <v>3386</v>
      </c>
      <c r="B16" s="25">
        <f t="shared" ref="B16:K16" si="3">-(B14+B15)*$B$8</f>
        <v>-25767.403200000004</v>
      </c>
      <c r="C16" s="25">
        <f t="shared" si="3"/>
        <v>-26282.751264000002</v>
      </c>
      <c r="D16" s="25">
        <f t="shared" si="3"/>
        <v>-26808.406289280003</v>
      </c>
      <c r="E16" s="25">
        <f t="shared" si="3"/>
        <v>-27344.574415065599</v>
      </c>
      <c r="F16" s="25">
        <f t="shared" si="3"/>
        <v>-27891.465903366912</v>
      </c>
      <c r="G16" s="25">
        <f t="shared" si="3"/>
        <v>-28449.295221434255</v>
      </c>
      <c r="H16" s="25">
        <f t="shared" si="3"/>
        <v>-29018.281125862941</v>
      </c>
      <c r="I16" s="25">
        <f t="shared" si="3"/>
        <v>-29598.64674838019</v>
      </c>
      <c r="J16" s="25">
        <f t="shared" si="3"/>
        <v>-30190.619683347799</v>
      </c>
      <c r="K16" s="26">
        <f t="shared" si="3"/>
        <v>-30794.432077014757</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-229440</v>
      </c>
      <c r="C19" s="25">
        <f t="shared" ref="C19:K19" si="4">$B$19*(1+$B$6)^(C13-1)</f>
        <v>-236323.20000000001</v>
      </c>
      <c r="D19" s="25">
        <f t="shared" si="4"/>
        <v>-243412.89599999998</v>
      </c>
      <c r="E19" s="25">
        <f t="shared" si="4"/>
        <v>-250715.28288000001</v>
      </c>
      <c r="F19" s="25">
        <f t="shared" si="4"/>
        <v>-258236.74136639998</v>
      </c>
      <c r="G19" s="25">
        <f t="shared" si="4"/>
        <v>-265983.84360739199</v>
      </c>
      <c r="H19" s="25">
        <f t="shared" si="4"/>
        <v>-273963.35891561373</v>
      </c>
      <c r="I19" s="25">
        <f t="shared" si="4"/>
        <v>-282182.25968308217</v>
      </c>
      <c r="J19" s="25">
        <f t="shared" si="4"/>
        <v>-290647.72747357457</v>
      </c>
      <c r="K19" s="26">
        <f t="shared" si="4"/>
        <v>-299367.15929778182</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-20540</v>
      </c>
      <c r="C20" s="25">
        <f>IF(AND('Part VII-Pro Forma'!$G$8="Yes",'Part VII-Pro Forma'!$G$9="Yes"),"Choose One!",IF('Part VII-Pro Forma'!$G$8="Yes",ROUND((-$K$8*(1+'Part VII-Pro Forma'!$B$6)^('Part VII-Pro Forma'!C13-1)),),IF('Part VII-Pro Forma'!$G$9="Yes",ROUND((-(SUM(C14:C17)*'Part VII-Pro Forma'!$K$9)),),"Choose mgt fee")))</f>
        <v>-20951</v>
      </c>
      <c r="D20" s="25">
        <f>IF(AND('Part VII-Pro Forma'!$G$8="Yes",'Part VII-Pro Forma'!$G$9="Yes"),"Choose One!",IF('Part VII-Pro Forma'!$G$8="Yes",ROUND((-$K$8*(1+'Part VII-Pro Forma'!$B$6)^('Part VII-Pro Forma'!D13-1)),),IF('Part VII-Pro Forma'!$G$9="Yes",ROUND((-(SUM(D14:D17)*'Part VII-Pro Forma'!$K$9)),),"Choose mgt fee")))</f>
        <v>-21370</v>
      </c>
      <c r="E20" s="25">
        <f>IF(AND('Part VII-Pro Forma'!$G$8="Yes",'Part VII-Pro Forma'!$G$9="Yes"),"Choose One!",IF('Part VII-Pro Forma'!$G$8="Yes",ROUND((-$K$8*(1+'Part VII-Pro Forma'!$B$6)^('Part VII-Pro Forma'!E13-1)),),IF('Part VII-Pro Forma'!$G$9="Yes",ROUND((-(SUM(E14:E17)*'Part VII-Pro Forma'!$K$9)),),"Choose mgt fee")))</f>
        <v>-21798</v>
      </c>
      <c r="F20" s="25">
        <f>IF(AND('Part VII-Pro Forma'!$G$8="Yes",'Part VII-Pro Forma'!$G$9="Yes"),"Choose One!",IF('Part VII-Pro Forma'!$G$8="Yes",ROUND((-$K$8*(1+'Part VII-Pro Forma'!$B$6)^('Part VII-Pro Forma'!F13-1)),),IF('Part VII-Pro Forma'!$G$9="Yes",ROUND((-(SUM(F14:F17)*'Part VII-Pro Forma'!$K$9)),),"Choose mgt fee")))</f>
        <v>-22233</v>
      </c>
      <c r="G20" s="25">
        <f>IF(AND('Part VII-Pro Forma'!$G$8="Yes",'Part VII-Pro Forma'!$G$9="Yes"),"Choose One!",IF('Part VII-Pro Forma'!$G$8="Yes",ROUND((-$K$8*(1+'Part VII-Pro Forma'!$B$6)^('Part VII-Pro Forma'!G13-1)),),IF('Part VII-Pro Forma'!$G$9="Yes",ROUND((-(SUM(G14:G17)*'Part VII-Pro Forma'!$K$9)),),"Choose mgt fee")))</f>
        <v>-22678</v>
      </c>
      <c r="H20" s="25">
        <f>IF(AND('Part VII-Pro Forma'!$G$8="Yes",'Part VII-Pro Forma'!$G$9="Yes"),"Choose One!",IF('Part VII-Pro Forma'!$G$8="Yes",ROUND((-$K$8*(1+'Part VII-Pro Forma'!$B$6)^('Part VII-Pro Forma'!H13-1)),),IF('Part VII-Pro Forma'!$G$9="Yes",ROUND((-(SUM(H14:H17)*'Part VII-Pro Forma'!$K$9)),),"Choose mgt fee")))</f>
        <v>-23132</v>
      </c>
      <c r="I20" s="25">
        <f>IF(AND('Part VII-Pro Forma'!$G$8="Yes",'Part VII-Pro Forma'!$G$9="Yes"),"Choose One!",IF('Part VII-Pro Forma'!$G$8="Yes",ROUND((-$K$8*(1+'Part VII-Pro Forma'!$B$6)^('Part VII-Pro Forma'!I13-1)),),IF('Part VII-Pro Forma'!$G$9="Yes",ROUND((-(SUM(I14:I17)*'Part VII-Pro Forma'!$K$9)),),"Choose mgt fee")))</f>
        <v>-23594</v>
      </c>
      <c r="J20" s="25">
        <f>IF(AND('Part VII-Pro Forma'!$G$8="Yes",'Part VII-Pro Forma'!$G$9="Yes"),"Choose One!",IF('Part VII-Pro Forma'!$G$8="Yes",ROUND((-$K$8*(1+'Part VII-Pro Forma'!$B$6)^('Part VII-Pro Forma'!J13-1)),),IF('Part VII-Pro Forma'!$G$9="Yes",ROUND((-(SUM(J14:J17)*'Part VII-Pro Forma'!$K$9)),),"Choose mgt fee")))</f>
        <v>-24066</v>
      </c>
      <c r="K20" s="25">
        <f>IF(AND('Part VII-Pro Forma'!$G$8="Yes",'Part VII-Pro Forma'!$G$9="Yes"),"Choose One!",IF('Part VII-Pro Forma'!$G$8="Yes",ROUND((-$K$8*(1+'Part VII-Pro Forma'!$B$6)^('Part VII-Pro Forma'!K13-1)),),IF('Part VII-Pro Forma'!$G$9="Yes",ROUND((-(SUM(K14:K17)*'Part VII-Pro Forma'!$K$9)),),"Choose mgt fee")))</f>
        <v>-24548</v>
      </c>
      <c r="M20" s="1462"/>
      <c r="N20" s="1463"/>
    </row>
    <row r="21" spans="1:14" ht="13.15" customHeight="1">
      <c r="A21" s="24" t="s">
        <v>1739</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462"/>
      <c r="N21" s="1463"/>
    </row>
    <row r="22" spans="1:14" ht="13.15" customHeight="1">
      <c r="A22" s="24" t="s">
        <v>1740</v>
      </c>
      <c r="B22" s="25">
        <f t="shared" ref="B22:K22" si="6">SUM(B14:B21)</f>
        <v>74358.356800000009</v>
      </c>
      <c r="C22" s="25">
        <f t="shared" si="6"/>
        <v>73370.923935999977</v>
      </c>
      <c r="D22" s="25">
        <f t="shared" si="6"/>
        <v>72289.730414720063</v>
      </c>
      <c r="E22" s="25">
        <f t="shared" si="6"/>
        <v>71109.834063014379</v>
      </c>
      <c r="F22" s="25">
        <f t="shared" si="6"/>
        <v>69829.147055474677</v>
      </c>
      <c r="G22" s="25">
        <f t="shared" si="6"/>
        <v>68440.430997120187</v>
      </c>
      <c r="H22" s="25">
        <f t="shared" si="6"/>
        <v>66940.291847614688</v>
      </c>
      <c r="I22" s="25">
        <f t="shared" si="6"/>
        <v>65325.174682035497</v>
      </c>
      <c r="J22" s="25">
        <f t="shared" si="6"/>
        <v>63588.358283069043</v>
      </c>
      <c r="K22" s="26">
        <f t="shared" si="6"/>
        <v>61724.949559344917</v>
      </c>
      <c r="M22" s="1462"/>
      <c r="N22" s="1463"/>
    </row>
    <row r="23" spans="1:14" ht="13.15" customHeight="1">
      <c r="A23" s="678" t="s">
        <v>2195</v>
      </c>
      <c r="B23" s="1567">
        <f>IF('Part III A-Sources of Funds'!$M$32="", 0,-'Part III A-Sources of Funds'!$M$32)</f>
        <v>-40930.576803371514</v>
      </c>
      <c r="C23" s="1567">
        <f>IF('Part III A-Sources of Funds'!$M$32="", 0,-'Part III A-Sources of Funds'!$M$32)</f>
        <v>-40930.576803371514</v>
      </c>
      <c r="D23" s="1567">
        <f>IF('Part III A-Sources of Funds'!$M$32="", 0,-'Part III A-Sources of Funds'!$M$32)</f>
        <v>-40930.576803371514</v>
      </c>
      <c r="E23" s="1567">
        <f>IF('Part III A-Sources of Funds'!$M$32="", 0,-'Part III A-Sources of Funds'!$M$32)</f>
        <v>-40930.576803371514</v>
      </c>
      <c r="F23" s="1567">
        <f>IF('Part III A-Sources of Funds'!$M$32="", 0,-'Part III A-Sources of Funds'!$M$32)</f>
        <v>-40930.576803371514</v>
      </c>
      <c r="G23" s="1567">
        <f>IF('Part III A-Sources of Funds'!$M$32="", 0,-'Part III A-Sources of Funds'!$M$32)</f>
        <v>-40930.576803371514</v>
      </c>
      <c r="H23" s="1567">
        <f>IF('Part III A-Sources of Funds'!$M$32="", 0,-'Part III A-Sources of Funds'!$M$32)</f>
        <v>-40930.576803371514</v>
      </c>
      <c r="I23" s="1567">
        <f>IF('Part III A-Sources of Funds'!$M$32="", 0,-'Part III A-Sources of Funds'!$M$32)</f>
        <v>-40930.576803371514</v>
      </c>
      <c r="J23" s="1567">
        <f>IF('Part III A-Sources of Funds'!$M$32="", 0,-'Part III A-Sources of Funds'!$M$32)</f>
        <v>-40930.576803371514</v>
      </c>
      <c r="K23" s="1567">
        <f>IF('Part III A-Sources of Funds'!$M$32="", 0,-'Part III A-Sources of Funds'!$M$32)</f>
        <v>-40930.576803371514</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-3500</v>
      </c>
      <c r="C28" s="1568">
        <f t="shared" ref="C28:K28" si="7">+B28</f>
        <v>-3500</v>
      </c>
      <c r="D28" s="1568">
        <f t="shared" si="7"/>
        <v>-3500</v>
      </c>
      <c r="E28" s="1568">
        <f t="shared" si="7"/>
        <v>-3500</v>
      </c>
      <c r="F28" s="1568">
        <f t="shared" si="7"/>
        <v>-3500</v>
      </c>
      <c r="G28" s="1568">
        <f t="shared" si="7"/>
        <v>-3500</v>
      </c>
      <c r="H28" s="1568">
        <f t="shared" si="7"/>
        <v>-3500</v>
      </c>
      <c r="I28" s="1568">
        <f t="shared" si="7"/>
        <v>-3500</v>
      </c>
      <c r="J28" s="1568">
        <f t="shared" si="7"/>
        <v>-3500</v>
      </c>
      <c r="K28" s="1568">
        <f t="shared" si="7"/>
        <v>-3500</v>
      </c>
      <c r="M28" s="1462"/>
      <c r="N28" s="1463"/>
    </row>
    <row r="29" spans="1:14" ht="13.15" customHeight="1">
      <c r="A29" s="24" t="s">
        <v>1741</v>
      </c>
      <c r="B29" s="1570">
        <f>IF('Part III A-Sources of Funds'!$M$37="", 0,-'Part III A-Sources of Funds'!$M$37)</f>
        <v>0</v>
      </c>
      <c r="C29" s="1570">
        <f>IF('Part III A-Sources of Funds'!$M$37="", 0,-'Part III A-Sources of Funds'!$M$37)</f>
        <v>0</v>
      </c>
      <c r="D29" s="1570">
        <f>IF('Part III A-Sources of Funds'!$M$37="", 0,-'Part III A-Sources of Funds'!$M$37)</f>
        <v>0</v>
      </c>
      <c r="E29" s="1570">
        <f>IF('Part III A-Sources of Funds'!$M$37="", 0,-'Part III A-Sources of Funds'!$M$37)</f>
        <v>0</v>
      </c>
      <c r="F29" s="1570">
        <f>IF('Part III A-Sources of Funds'!$M$37="", 0,-'Part III A-Sources of Funds'!$M$37)</f>
        <v>0</v>
      </c>
      <c r="G29" s="1570">
        <f>IF('Part III A-Sources of Funds'!$M$37="", 0,-'Part III A-Sources of Funds'!$M$37)</f>
        <v>0</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29927.779996628495</v>
      </c>
      <c r="C30" s="25">
        <f t="shared" si="8"/>
        <v>28940.347132628463</v>
      </c>
      <c r="D30" s="25">
        <f t="shared" si="8"/>
        <v>27859.153611348549</v>
      </c>
      <c r="E30" s="25">
        <f t="shared" si="8"/>
        <v>26679.257259642865</v>
      </c>
      <c r="F30" s="25">
        <f t="shared" si="8"/>
        <v>25398.570252103164</v>
      </c>
      <c r="G30" s="25">
        <f t="shared" si="8"/>
        <v>24009.854193748673</v>
      </c>
      <c r="H30" s="25">
        <f t="shared" si="8"/>
        <v>22509.715044243174</v>
      </c>
      <c r="I30" s="25">
        <f t="shared" si="8"/>
        <v>20894.597878663983</v>
      </c>
      <c r="J30" s="25">
        <f t="shared" si="8"/>
        <v>19157.781479697529</v>
      </c>
      <c r="K30" s="26">
        <f t="shared" si="8"/>
        <v>17294.372755973403</v>
      </c>
      <c r="M30" s="1462"/>
      <c r="N30" s="1463"/>
    </row>
    <row r="31" spans="1:14" ht="13.15" customHeight="1">
      <c r="A31" s="24" t="str">
        <f>IF('Part III A-Sources of Funds'!$E$32 = "Neither", "", "DCR Mortgage A")</f>
        <v>DCR Mortgage A</v>
      </c>
      <c r="B31" s="27">
        <f>IF(B23=0,"",-B22/B23)</f>
        <v>1.8166945742595788</v>
      </c>
      <c r="C31" s="27">
        <f t="shared" ref="C31:K31" si="9">IF(C23=0,"",-C22/C23)</f>
        <v>1.7925699969602262</v>
      </c>
      <c r="D31" s="27">
        <f t="shared" si="9"/>
        <v>1.7661546955958227</v>
      </c>
      <c r="E31" s="27">
        <f t="shared" si="9"/>
        <v>1.7373279249061782</v>
      </c>
      <c r="F31" s="27">
        <f t="shared" si="9"/>
        <v>1.7060386759495347</v>
      </c>
      <c r="G31" s="27">
        <f t="shared" si="9"/>
        <v>1.6721101030631615</v>
      </c>
      <c r="H31" s="27">
        <f t="shared" si="9"/>
        <v>1.6354592843680795</v>
      </c>
      <c r="I31" s="27">
        <f t="shared" si="9"/>
        <v>1.5959993673154043</v>
      </c>
      <c r="J31" s="27">
        <f t="shared" si="9"/>
        <v>1.553566141726866</v>
      </c>
      <c r="K31" s="28">
        <f t="shared" si="9"/>
        <v>1.5080400614892029</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1.2774772624822748</v>
      </c>
      <c r="C35" s="378">
        <f t="shared" ref="C35:K35" si="13">IF(OR(C20="Choose mgt fee",C20="Choose One!"),"",(C14+C15+C16+C17+C18) / -(C19+C20+C21))</f>
        <v>1.2660157596526938</v>
      </c>
      <c r="D35" s="378">
        <f t="shared" si="13"/>
        <v>1.2546497133227452</v>
      </c>
      <c r="E35" s="378">
        <f t="shared" si="13"/>
        <v>1.2433748290001008</v>
      </c>
      <c r="F35" s="378">
        <f t="shared" si="13"/>
        <v>1.2321996557960362</v>
      </c>
      <c r="G35" s="378">
        <f t="shared" si="13"/>
        <v>1.2211116900750307</v>
      </c>
      <c r="H35" s="378">
        <f t="shared" si="13"/>
        <v>1.2101153488512508</v>
      </c>
      <c r="I35" s="378">
        <f t="shared" si="13"/>
        <v>1.1992143574884035</v>
      </c>
      <c r="J35" s="378">
        <f t="shared" si="13"/>
        <v>1.1884012483187731</v>
      </c>
      <c r="K35" s="379">
        <f t="shared" si="13"/>
        <v>1.1776763335400471</v>
      </c>
      <c r="M35" s="1462"/>
      <c r="N35" s="1463"/>
    </row>
    <row r="36" spans="1:14" ht="13.15" customHeight="1">
      <c r="A36" s="678" t="s">
        <v>3667</v>
      </c>
      <c r="B36" s="1571">
        <f>IF('Part III A-Sources of Funds'!$H$32="","",-FV('Part III A-Sources of Funds'!$J$32/12,12,B23/12,'Part III A-Sources of Funds'!$H$32))</f>
        <v>495160.71630164841</v>
      </c>
      <c r="C36" s="1571">
        <f>IF('Part III A-Sources of Funds'!$H$32="","",-FV('Part III A-Sources of Funds'!$J$32/12,12,C23/12,B36))</f>
        <v>489958.68813652964</v>
      </c>
      <c r="D36" s="1571">
        <f>IF('Part III A-Sources of Funds'!$H$32="","",-FV('Part III A-Sources of Funds'!$J$32/12,12,D23/12,C36))</f>
        <v>484366.72479701578</v>
      </c>
      <c r="E36" s="1571">
        <f>IF('Part III A-Sources of Funds'!$H$32="","",-FV('Part III A-Sources of Funds'!$J$32/12,12,E23/12,D36))</f>
        <v>478355.59740632947</v>
      </c>
      <c r="F36" s="1571">
        <f>IF('Part III A-Sources of Funds'!$H$32="","",-FV('Part III A-Sources of Funds'!$J$32/12,12,F23/12,E36))</f>
        <v>471893.88614085456</v>
      </c>
      <c r="G36" s="1571">
        <f>IF('Part III A-Sources of Funds'!$H$32="","",-FV('Part III A-Sources of Funds'!$J$32/12,12,G23/12,F36))</f>
        <v>464947.8160004915</v>
      </c>
      <c r="H36" s="1571">
        <f>IF('Part III A-Sources of Funds'!$H$32="","",-FV('Part III A-Sources of Funds'!$J$32/12,12,H23/12,G36))</f>
        <v>457481.08026863763</v>
      </c>
      <c r="I36" s="1571">
        <f>IF('Part III A-Sources of Funds'!$H$32="","",-FV('Part III A-Sources of Funds'!$J$32/12,12,I23/12,H36))</f>
        <v>449454.65073902905</v>
      </c>
      <c r="J36" s="1571">
        <f>IF('Part III A-Sources of Funds'!$H$32="","",-FV('Part III A-Sources of Funds'!$J$32/12,12,J23/12,I36))</f>
        <v>440826.5737175087</v>
      </c>
      <c r="K36" s="1571">
        <f>IF('Part III A-Sources of Funds'!$H$32="","",-FV('Part III A-Sources of Funds'!$J$32/12,12,K23/12,J36))</f>
        <v>431551.75073243515</v>
      </c>
      <c r="M36" s="1462"/>
      <c r="N36" s="1463"/>
    </row>
    <row r="37" spans="1:14" ht="13.15" customHeight="1">
      <c r="A37" s="678" t="s">
        <v>3668</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3669</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3670</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261874</v>
      </c>
      <c r="C41" s="1570">
        <f>IF('Part III A-Sources of Funds'!$H$37="","",-FV('Part III A-Sources of Funds'!$J$37/12,12,C29/12,B41))</f>
        <v>261874</v>
      </c>
      <c r="D41" s="1570">
        <f>IF('Part III A-Sources of Funds'!$H$37="","",-FV('Part III A-Sources of Funds'!$J$37/12,12,D29/12,C41))</f>
        <v>261874</v>
      </c>
      <c r="E41" s="1570">
        <f>IF('Part III A-Sources of Funds'!$H$37="","",-FV('Part III A-Sources of Funds'!$J$37/12,12,E29/12,D41))</f>
        <v>261874</v>
      </c>
      <c r="F41" s="1570">
        <f>IF('Part III A-Sources of Funds'!$H$37="","",-FV('Part III A-Sources of Funds'!$J$37/12,12,F29/12,E41))</f>
        <v>261874</v>
      </c>
      <c r="G41" s="1570">
        <f>IF('Part III A-Sources of Funds'!$H$37="","",-FV('Part III A-Sources of Funds'!$J$37/12,12,G29/12,F41))</f>
        <v>261874</v>
      </c>
      <c r="H41" s="1570">
        <f>IF('Part III A-Sources of Funds'!$H$37="","",-FV('Part III A-Sources of Funds'!$J$37/12,12,H29/12,G41))</f>
        <v>261874</v>
      </c>
      <c r="I41" s="1570">
        <f>IF('Part III A-Sources of Funds'!$H$37="","",-FV('Part III A-Sources of Funds'!$J$37/12,12,I29/12,H41))</f>
        <v>261874</v>
      </c>
      <c r="J41" s="1570">
        <f>IF('Part III A-Sources of Funds'!$H$37="","",-FV('Part III A-Sources of Funds'!$J$37/12,12,J29/12,I41))</f>
        <v>261874</v>
      </c>
      <c r="K41" s="1570">
        <f>IF('Part III A-Sources of Funds'!$H$37="","",-FV('Part III A-Sources of Funds'!$J$37/12,12,K29/12,J41))</f>
        <v>261874</v>
      </c>
      <c r="M41" s="1465"/>
      <c r="N41" s="1466"/>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3673</v>
      </c>
      <c r="N43" s="976"/>
    </row>
    <row r="44" spans="1:14" ht="13.15" customHeight="1">
      <c r="A44" s="21" t="s">
        <v>3385</v>
      </c>
      <c r="B44" s="22">
        <f t="shared" ref="B44:K44" si="16">$B$14*(1+$B$5)^(B43-1)</f>
        <v>439920.4582430679</v>
      </c>
      <c r="C44" s="22">
        <f t="shared" si="16"/>
        <v>448718.86740792915</v>
      </c>
      <c r="D44" s="22">
        <f t="shared" si="16"/>
        <v>457693.24475608784</v>
      </c>
      <c r="E44" s="22">
        <f t="shared" si="16"/>
        <v>466847.10965120955</v>
      </c>
      <c r="F44" s="22">
        <f t="shared" si="16"/>
        <v>476184.05184423382</v>
      </c>
      <c r="G44" s="22">
        <f t="shared" si="16"/>
        <v>485707.73288111837</v>
      </c>
      <c r="H44" s="22">
        <f t="shared" si="16"/>
        <v>495421.88753874082</v>
      </c>
      <c r="I44" s="22">
        <f t="shared" si="16"/>
        <v>505330.32528951566</v>
      </c>
      <c r="J44" s="22">
        <f t="shared" si="16"/>
        <v>515436.93179530592</v>
      </c>
      <c r="K44" s="23">
        <f t="shared" si="16"/>
        <v>525745.67043121206</v>
      </c>
      <c r="M44" s="1460"/>
      <c r="N44" s="1461"/>
    </row>
    <row r="45" spans="1:14" ht="13.15" customHeight="1">
      <c r="A45" s="24" t="s">
        <v>1519</v>
      </c>
      <c r="B45" s="25">
        <f t="shared" ref="B45:K45" si="17">$B$15*(1+$B$5)^(B43-1)</f>
        <v>8798.4091648613576</v>
      </c>
      <c r="C45" s="25">
        <f t="shared" si="17"/>
        <v>8974.3773481585831</v>
      </c>
      <c r="D45" s="25">
        <f t="shared" si="17"/>
        <v>9153.8648951217565</v>
      </c>
      <c r="E45" s="25">
        <f t="shared" si="17"/>
        <v>9336.9421930241915</v>
      </c>
      <c r="F45" s="25">
        <f t="shared" si="17"/>
        <v>9523.6810368846764</v>
      </c>
      <c r="G45" s="25">
        <f t="shared" si="17"/>
        <v>9714.1546576223664</v>
      </c>
      <c r="H45" s="25">
        <f t="shared" si="17"/>
        <v>9908.4377507748159</v>
      </c>
      <c r="I45" s="25">
        <f t="shared" si="17"/>
        <v>10106.606505790314</v>
      </c>
      <c r="J45" s="25">
        <f t="shared" si="17"/>
        <v>10308.738635906118</v>
      </c>
      <c r="K45" s="26">
        <f t="shared" si="17"/>
        <v>10514.913408624241</v>
      </c>
      <c r="M45" s="1462"/>
      <c r="N45" s="1463"/>
    </row>
    <row r="46" spans="1:14" ht="13.15" customHeight="1">
      <c r="A46" s="24" t="s">
        <v>3386</v>
      </c>
      <c r="B46" s="25">
        <f t="shared" ref="B46:K46" si="18">-(B44+B45)*$B$8</f>
        <v>-31410.320718555053</v>
      </c>
      <c r="C46" s="25">
        <f t="shared" si="18"/>
        <v>-32038.527132926145</v>
      </c>
      <c r="D46" s="25">
        <f t="shared" si="18"/>
        <v>-32679.297675584676</v>
      </c>
      <c r="E46" s="25">
        <f t="shared" si="18"/>
        <v>-33332.883629096366</v>
      </c>
      <c r="F46" s="25">
        <f t="shared" si="18"/>
        <v>-33999.541301678299</v>
      </c>
      <c r="G46" s="25">
        <f t="shared" si="18"/>
        <v>-34679.532127711856</v>
      </c>
      <c r="H46" s="25">
        <f t="shared" si="18"/>
        <v>-35373.122770266098</v>
      </c>
      <c r="I46" s="25">
        <f t="shared" si="18"/>
        <v>-36080.585225671421</v>
      </c>
      <c r="J46" s="25">
        <f t="shared" si="18"/>
        <v>-36802.196930184844</v>
      </c>
      <c r="K46" s="26">
        <f t="shared" si="18"/>
        <v>-37538.240868788547</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-308348.17407671531</v>
      </c>
      <c r="C49" s="25">
        <f t="shared" si="19"/>
        <v>-317598.61929901678</v>
      </c>
      <c r="D49" s="25">
        <f t="shared" si="19"/>
        <v>-327126.57787798723</v>
      </c>
      <c r="E49" s="25">
        <f t="shared" si="19"/>
        <v>-336940.37521432684</v>
      </c>
      <c r="F49" s="25">
        <f t="shared" si="19"/>
        <v>-347048.58647075668</v>
      </c>
      <c r="G49" s="25">
        <f t="shared" si="19"/>
        <v>-357460.04406487942</v>
      </c>
      <c r="H49" s="25">
        <f t="shared" si="19"/>
        <v>-368183.84538682573</v>
      </c>
      <c r="I49" s="25">
        <f t="shared" si="19"/>
        <v>-379229.36074843048</v>
      </c>
      <c r="J49" s="25">
        <f t="shared" si="19"/>
        <v>-390606.24157088337</v>
      </c>
      <c r="K49" s="26">
        <f t="shared" si="19"/>
        <v>-402324.42881800991</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-25039</v>
      </c>
      <c r="C50" s="25">
        <f>IF(AND('Part VII-Pro Forma'!$G$8="Yes",'Part VII-Pro Forma'!$G$9="Yes"),"Choose One!",IF('Part VII-Pro Forma'!$G$8="Yes",ROUND((-$K$8*(1+'Part VII-Pro Forma'!$B$6)^('Part VII-Pro Forma'!C43-1)),),IF('Part VII-Pro Forma'!$G$9="Yes",ROUND((-(SUM(C44:C47)*'Part VII-Pro Forma'!$K$9)),),"Choose mgt fee")))</f>
        <v>-25539</v>
      </c>
      <c r="D50" s="25">
        <f>IF(AND('Part VII-Pro Forma'!$G$8="Yes",'Part VII-Pro Forma'!$G$9="Yes"),"Choose One!",IF('Part VII-Pro Forma'!$G$8="Yes",ROUND((-$K$8*(1+'Part VII-Pro Forma'!$B$6)^('Part VII-Pro Forma'!D43-1)),),IF('Part VII-Pro Forma'!$G$9="Yes",ROUND((-(SUM(D44:D47)*'Part VII-Pro Forma'!$K$9)),),"Choose mgt fee")))</f>
        <v>-26050</v>
      </c>
      <c r="E50" s="25">
        <f>IF(AND('Part VII-Pro Forma'!$G$8="Yes",'Part VII-Pro Forma'!$G$9="Yes"),"Choose One!",IF('Part VII-Pro Forma'!$G$8="Yes",ROUND((-$K$8*(1+'Part VII-Pro Forma'!$B$6)^('Part VII-Pro Forma'!E43-1)),),IF('Part VII-Pro Forma'!$G$9="Yes",ROUND((-(SUM(E44:E47)*'Part VII-Pro Forma'!$K$9)),),"Choose mgt fee")))</f>
        <v>-26571</v>
      </c>
      <c r="F50" s="25">
        <f>IF(AND('Part VII-Pro Forma'!$G$8="Yes",'Part VII-Pro Forma'!$G$9="Yes"),"Choose One!",IF('Part VII-Pro Forma'!$G$8="Yes",ROUND((-$K$8*(1+'Part VII-Pro Forma'!$B$6)^('Part VII-Pro Forma'!F43-1)),),IF('Part VII-Pro Forma'!$G$9="Yes",ROUND((-(SUM(F44:F47)*'Part VII-Pro Forma'!$K$9)),),"Choose mgt fee")))</f>
        <v>-27102</v>
      </c>
      <c r="G50" s="25">
        <f>IF(AND('Part VII-Pro Forma'!$G$8="Yes",'Part VII-Pro Forma'!$G$9="Yes"),"Choose One!",IF('Part VII-Pro Forma'!$G$8="Yes",ROUND((-$K$8*(1+'Part VII-Pro Forma'!$B$6)^('Part VII-Pro Forma'!G43-1)),),IF('Part VII-Pro Forma'!$G$9="Yes",ROUND((-(SUM(G44:G47)*'Part VII-Pro Forma'!$K$9)),),"Choose mgt fee")))</f>
        <v>-27645</v>
      </c>
      <c r="H50" s="25">
        <f>IF(AND('Part VII-Pro Forma'!$G$8="Yes",'Part VII-Pro Forma'!$G$9="Yes"),"Choose One!",IF('Part VII-Pro Forma'!$G$8="Yes",ROUND((-$K$8*(1+'Part VII-Pro Forma'!$B$6)^('Part VII-Pro Forma'!H43-1)),),IF('Part VII-Pro Forma'!$G$9="Yes",ROUND((-(SUM(H44:H47)*'Part VII-Pro Forma'!$K$9)),),"Choose mgt fee")))</f>
        <v>-28197</v>
      </c>
      <c r="I50" s="25">
        <f>IF(AND('Part VII-Pro Forma'!$G$8="Yes",'Part VII-Pro Forma'!$G$9="Yes"),"Choose One!",IF('Part VII-Pro Forma'!$G$8="Yes",ROUND((-$K$8*(1+'Part VII-Pro Forma'!$B$6)^('Part VII-Pro Forma'!I43-1)),),IF('Part VII-Pro Forma'!$G$9="Yes",ROUND((-(SUM(I44:I47)*'Part VII-Pro Forma'!$K$9)),),"Choose mgt fee")))</f>
        <v>-28761</v>
      </c>
      <c r="J50" s="25">
        <f>IF(AND('Part VII-Pro Forma'!$G$8="Yes",'Part VII-Pro Forma'!$G$9="Yes"),"Choose One!",IF('Part VII-Pro Forma'!$G$8="Yes",ROUND((-$K$8*(1+'Part VII-Pro Forma'!$B$6)^('Part VII-Pro Forma'!J43-1)),),IF('Part VII-Pro Forma'!$G$9="Yes",ROUND((-(SUM(J44:J47)*'Part VII-Pro Forma'!$K$9)),),"Choose mgt fee")))</f>
        <v>-29337</v>
      </c>
      <c r="K50" s="25">
        <f>IF(AND('Part VII-Pro Forma'!$G$8="Yes",'Part VII-Pro Forma'!$G$9="Yes"),"Choose One!",IF('Part VII-Pro Forma'!$G$8="Yes",ROUND((-$K$8*(1+'Part VII-Pro Forma'!$B$6)^('Part VII-Pro Forma'!K43-1)),),IF('Part VII-Pro Forma'!$G$9="Yes",ROUND((-(SUM(K44:K47)*'Part VII-Pro Forma'!$K$9)),),"Choose mgt fee")))</f>
        <v>-29923</v>
      </c>
      <c r="M50" s="1462"/>
      <c r="N50" s="1463"/>
    </row>
    <row r="51" spans="1:14" ht="13.15" customHeight="1">
      <c r="A51" s="24" t="s">
        <v>1739</v>
      </c>
      <c r="B51" s="25">
        <f t="shared" ref="B51:K51" si="20">$B$21*(1+$B$7)^(B43-1)</f>
        <v>-24190.494828194191</v>
      </c>
      <c r="C51" s="25">
        <f t="shared" si="20"/>
        <v>-24916.209673040019</v>
      </c>
      <c r="D51" s="25">
        <f t="shared" si="20"/>
        <v>-25663.695963231214</v>
      </c>
      <c r="E51" s="25">
        <f t="shared" si="20"/>
        <v>-26433.606842128149</v>
      </c>
      <c r="F51" s="25">
        <f t="shared" si="20"/>
        <v>-27226.615047391999</v>
      </c>
      <c r="G51" s="25">
        <f t="shared" si="20"/>
        <v>-28043.413498813759</v>
      </c>
      <c r="H51" s="25">
        <f t="shared" si="20"/>
        <v>-28884.715903778168</v>
      </c>
      <c r="I51" s="25">
        <f t="shared" si="20"/>
        <v>-29751.257380891511</v>
      </c>
      <c r="J51" s="25">
        <f t="shared" si="20"/>
        <v>-30643.795102318258</v>
      </c>
      <c r="K51" s="26">
        <f t="shared" si="20"/>
        <v>-31563.108955387805</v>
      </c>
      <c r="M51" s="1462"/>
      <c r="N51" s="1463"/>
    </row>
    <row r="52" spans="1:14" ht="13.15" customHeight="1">
      <c r="A52" s="24" t="s">
        <v>1740</v>
      </c>
      <c r="B52" s="25">
        <f t="shared" ref="B52:K52" si="21">SUM(B44:B51)</f>
        <v>59730.877784464697</v>
      </c>
      <c r="C52" s="25">
        <f t="shared" si="21"/>
        <v>57600.88865110476</v>
      </c>
      <c r="D52" s="25">
        <f t="shared" si="21"/>
        <v>55327.538134406488</v>
      </c>
      <c r="E52" s="25">
        <f t="shared" si="21"/>
        <v>52906.186158682394</v>
      </c>
      <c r="F52" s="25">
        <f t="shared" si="21"/>
        <v>50330.990061291523</v>
      </c>
      <c r="G52" s="25">
        <f t="shared" si="21"/>
        <v>47593.89784733572</v>
      </c>
      <c r="H52" s="25">
        <f t="shared" si="21"/>
        <v>44691.641228645676</v>
      </c>
      <c r="I52" s="25">
        <f t="shared" si="21"/>
        <v>41614.728440312574</v>
      </c>
      <c r="J52" s="25">
        <f t="shared" si="21"/>
        <v>38356.436827825586</v>
      </c>
      <c r="K52" s="26">
        <f t="shared" si="21"/>
        <v>34911.805197650021</v>
      </c>
      <c r="M52" s="1462"/>
      <c r="N52" s="1463"/>
    </row>
    <row r="53" spans="1:14" ht="13.15" customHeight="1">
      <c r="A53" s="24" t="str">
        <f>$A23</f>
        <v>Mortgage A</v>
      </c>
      <c r="B53" s="1567">
        <f>IF('Part III A-Sources of Funds'!$M$32="", 0,-'Part III A-Sources of Funds'!$M$32)</f>
        <v>-40930.576803371514</v>
      </c>
      <c r="C53" s="1567">
        <f>IF('Part III A-Sources of Funds'!$M$32="", 0,-'Part III A-Sources of Funds'!$M$32)</f>
        <v>-40930.576803371514</v>
      </c>
      <c r="D53" s="1567">
        <f>IF('Part III A-Sources of Funds'!$M$32="", 0,-'Part III A-Sources of Funds'!$M$32)</f>
        <v>-40930.576803371514</v>
      </c>
      <c r="E53" s="1567">
        <f>IF('Part III A-Sources of Funds'!$M$32="", 0,-'Part III A-Sources of Funds'!$M$32)</f>
        <v>-40930.576803371514</v>
      </c>
      <c r="F53" s="1567">
        <f>IF('Part III A-Sources of Funds'!$M$32="", 0,-'Part III A-Sources of Funds'!$M$32)</f>
        <v>-40930.576803371514</v>
      </c>
      <c r="G53" s="1567">
        <f>IF('Part III A-Sources of Funds'!$M$32="", 0,-'Part III A-Sources of Funds'!$M$32)</f>
        <v>-40930.576803371514</v>
      </c>
      <c r="H53" s="1567">
        <f>IF('Part III A-Sources of Funds'!$M$32="", 0,-'Part III A-Sources of Funds'!$M$32)</f>
        <v>-40930.576803371514</v>
      </c>
      <c r="I53" s="1567">
        <f>IF('Part III A-Sources of Funds'!$M$32="", 0,-'Part III A-Sources of Funds'!$M$32)</f>
        <v>-40930.576803371514</v>
      </c>
      <c r="J53" s="1567">
        <f>IF('Part III A-Sources of Funds'!$M$32="", 0,-'Part III A-Sources of Funds'!$M$32)</f>
        <v>-40930.576803371514</v>
      </c>
      <c r="K53" s="1567">
        <f>IF('Part III A-Sources of Funds'!$M$32="", 0,-'Part III A-Sources of Funds'!$M$32)</f>
        <v>-40930.576803371514</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-3500</v>
      </c>
      <c r="C58" s="1568">
        <f t="shared" ref="C58:K58" si="22">+B58</f>
        <v>-3500</v>
      </c>
      <c r="D58" s="1568">
        <f t="shared" si="22"/>
        <v>-3500</v>
      </c>
      <c r="E58" s="1568">
        <f t="shared" si="22"/>
        <v>-3500</v>
      </c>
      <c r="F58" s="1568">
        <f t="shared" si="22"/>
        <v>-3500</v>
      </c>
      <c r="G58" s="1568">
        <f t="shared" si="22"/>
        <v>-3500</v>
      </c>
      <c r="H58" s="1568">
        <f t="shared" si="22"/>
        <v>-3500</v>
      </c>
      <c r="I58" s="1568">
        <f t="shared" si="22"/>
        <v>-3500</v>
      </c>
      <c r="J58" s="1568">
        <f t="shared" si="22"/>
        <v>-3500</v>
      </c>
      <c r="K58" s="1568">
        <f t="shared" si="22"/>
        <v>-3500</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15300.300981093184</v>
      </c>
      <c r="C60" s="25">
        <f t="shared" si="23"/>
        <v>13170.311847733246</v>
      </c>
      <c r="D60" s="25">
        <f t="shared" si="23"/>
        <v>10896.961331034974</v>
      </c>
      <c r="E60" s="25">
        <f t="shared" si="23"/>
        <v>8475.6093553108803</v>
      </c>
      <c r="F60" s="25">
        <f t="shared" si="23"/>
        <v>5900.4132579200086</v>
      </c>
      <c r="G60" s="25">
        <f t="shared" si="23"/>
        <v>3163.3210439642062</v>
      </c>
      <c r="H60" s="25">
        <f t="shared" si="23"/>
        <v>261.0644252741622</v>
      </c>
      <c r="I60" s="25">
        <f t="shared" si="23"/>
        <v>-2815.8483630589399</v>
      </c>
      <c r="J60" s="25">
        <f t="shared" si="23"/>
        <v>-6074.1399755459279</v>
      </c>
      <c r="K60" s="23">
        <f t="shared" si="23"/>
        <v>-9518.771605721493</v>
      </c>
      <c r="M60" s="1462"/>
      <c r="N60" s="1463"/>
    </row>
    <row r="61" spans="1:14" ht="13.15" customHeight="1">
      <c r="A61" s="24" t="str">
        <f>$A31</f>
        <v>DCR Mortgage A</v>
      </c>
      <c r="B61" s="27">
        <f>IF(B53=0,"",-B52/B53)</f>
        <v>1.4593216721916455</v>
      </c>
      <c r="C61" s="27">
        <f t="shared" ref="C61:K61" si="24">IF(C53=0,"",-C52/C53)</f>
        <v>1.4072826026326628</v>
      </c>
      <c r="D61" s="27">
        <f t="shared" si="24"/>
        <v>1.3517409832799883</v>
      </c>
      <c r="E61" s="27">
        <f t="shared" si="24"/>
        <v>1.2925834496015318</v>
      </c>
      <c r="F61" s="27">
        <f t="shared" si="24"/>
        <v>1.22966725592652</v>
      </c>
      <c r="G61" s="27">
        <f t="shared" si="24"/>
        <v>1.1627956790341478</v>
      </c>
      <c r="H61" s="27">
        <f t="shared" si="24"/>
        <v>1.0918888693736746</v>
      </c>
      <c r="I61" s="27">
        <f t="shared" si="24"/>
        <v>1.0167149278210197</v>
      </c>
      <c r="J61" s="27">
        <f t="shared" si="24"/>
        <v>0.93710960908486651</v>
      </c>
      <c r="K61" s="28">
        <f t="shared" si="24"/>
        <v>0.85295170320625147</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1.1670430873588722</v>
      </c>
      <c r="C65" s="378">
        <f t="shared" ref="C65:K65" si="28">IF(OR(C50="Choose mgt fee",C50="Choose One!"),"",(C44+C45+C46+C47+C48) / -(C49+C50+C51))</f>
        <v>1.1565012618180857</v>
      </c>
      <c r="D65" s="378">
        <f t="shared" si="28"/>
        <v>1.1460444993701902</v>
      </c>
      <c r="E65" s="378">
        <f t="shared" si="28"/>
        <v>1.1356760276274636</v>
      </c>
      <c r="F65" s="378">
        <f t="shared" si="28"/>
        <v>1.1253957371542833</v>
      </c>
      <c r="G65" s="378">
        <f t="shared" si="28"/>
        <v>1.1151980528452012</v>
      </c>
      <c r="H65" s="378">
        <f t="shared" si="28"/>
        <v>1.1050911366841336</v>
      </c>
      <c r="I65" s="378">
        <f t="shared" si="28"/>
        <v>1.0950668767072047</v>
      </c>
      <c r="J65" s="378">
        <f t="shared" si="28"/>
        <v>1.0851254778899564</v>
      </c>
      <c r="K65" s="379">
        <f t="shared" si="28"/>
        <v>1.0752716946994136</v>
      </c>
      <c r="M65" s="1462"/>
      <c r="N65" s="1463"/>
    </row>
    <row r="66" spans="1:14" ht="13.15" customHeight="1">
      <c r="A66" s="678" t="s">
        <v>3667</v>
      </c>
      <c r="B66" s="1571">
        <f>IF('Part III A-Sources of Funds'!$H$32="","",-FV('Part III A-Sources of Funds'!$J$32/12,12,B53/12,K36))</f>
        <v>421581.70280751633</v>
      </c>
      <c r="C66" s="1571">
        <f>IF('Part III A-Sources of Funds'!$H$32="","",-FV('Part III A-Sources of Funds'!$J$32/12,12,C53/12,B66))</f>
        <v>410864.31706493651</v>
      </c>
      <c r="D66" s="1571">
        <f>IF('Part III A-Sources of Funds'!$H$32="","",-FV('Part III A-Sources of Funds'!$J$32/12,12,D53/12,C66))</f>
        <v>399343.57433428534</v>
      </c>
      <c r="E66" s="1571">
        <f>IF('Part III A-Sources of Funds'!$H$32="","",-FV('Part III A-Sources of Funds'!$J$32/12,12,E53/12,D66))</f>
        <v>386959.25634351536</v>
      </c>
      <c r="F66" s="1571">
        <f>IF('Part III A-Sources of Funds'!$H$32="","",-FV('Part III A-Sources of Funds'!$J$32/12,12,F53/12,E66))</f>
        <v>373646.63096143294</v>
      </c>
      <c r="G66" s="1571">
        <f>IF('Part III A-Sources of Funds'!$H$32="","",-FV('Part III A-Sources of Funds'!$J$32/12,12,G53/12,F66))</f>
        <v>359336.11384650168</v>
      </c>
      <c r="H66" s="1571">
        <f>IF('Part III A-Sources of Funds'!$H$32="","",-FV('Part III A-Sources of Funds'!$J$32/12,12,H53/12,G66))</f>
        <v>343952.90473341639</v>
      </c>
      <c r="I66" s="1571">
        <f>IF('Part III A-Sources of Funds'!$H$32="","",-FV('Part III A-Sources of Funds'!$J$32/12,12,I53/12,H66))</f>
        <v>327416.59645633795</v>
      </c>
      <c r="J66" s="1571">
        <f>IF('Part III A-Sources of Funds'!$H$32="","",-FV('Part III A-Sources of Funds'!$J$32/12,12,J53/12,I66))</f>
        <v>309640.75466517557</v>
      </c>
      <c r="K66" s="1571">
        <f>IF('Part III A-Sources of Funds'!$H$32="","",-FV('Part III A-Sources of Funds'!$J$32/12,12,K53/12,J66))</f>
        <v>290532.46603811672</v>
      </c>
      <c r="M66" s="1462"/>
      <c r="N66" s="1463"/>
    </row>
    <row r="67" spans="1:14" ht="13.15" customHeight="1">
      <c r="A67" s="678" t="s">
        <v>3668</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3669</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3652</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261874</v>
      </c>
      <c r="C71" s="1570">
        <f>IF('Part III A-Sources of Funds'!$H$37="","",-FV('Part III A-Sources of Funds'!$J$37/12,12,C59/12,B71))</f>
        <v>261874</v>
      </c>
      <c r="D71" s="1570">
        <f>IF('Part III A-Sources of Funds'!$H$37="","",-FV('Part III A-Sources of Funds'!$J$37/12,12,D59/12,C71))</f>
        <v>261874</v>
      </c>
      <c r="E71" s="1570">
        <f>IF('Part III A-Sources of Funds'!$H$37="","",-FV('Part III A-Sources of Funds'!$J$37/12,12,E59/12,D71))</f>
        <v>261874</v>
      </c>
      <c r="F71" s="1570">
        <f>IF('Part III A-Sources of Funds'!$H$37="","",-FV('Part III A-Sources of Funds'!$J$37/12,12,F59/12,E71))</f>
        <v>261874</v>
      </c>
      <c r="G71" s="1570">
        <f>IF('Part III A-Sources of Funds'!$H$37="","",-FV('Part III A-Sources of Funds'!$J$37/12,12,G59/12,F71))</f>
        <v>261874</v>
      </c>
      <c r="H71" s="1570">
        <f>IF('Part III A-Sources of Funds'!$H$37="","",-FV('Part III A-Sources of Funds'!$J$37/12,12,H59/12,G71))</f>
        <v>261874</v>
      </c>
      <c r="I71" s="1570">
        <f>IF('Part III A-Sources of Funds'!$H$37="","",-FV('Part III A-Sources of Funds'!$J$37/12,12,I59/12,H71))</f>
        <v>261874</v>
      </c>
      <c r="J71" s="1570">
        <f>IF('Part III A-Sources of Funds'!$H$37="","",-FV('Part III A-Sources of Funds'!$J$37/12,12,J59/12,I71))</f>
        <v>261874</v>
      </c>
      <c r="K71" s="1570">
        <f>IF('Part III A-Sources of Funds'!$H$37="","",-FV('Part III A-Sources of Funds'!$J$37/12,12,K59/12,J71))</f>
        <v>261874</v>
      </c>
      <c r="M71" s="1465"/>
      <c r="N71" s="1466"/>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3674</v>
      </c>
      <c r="N73" s="976"/>
    </row>
    <row r="74" spans="1:14" ht="13.15" customHeight="1">
      <c r="A74" s="21" t="s">
        <v>3385</v>
      </c>
      <c r="B74" s="22">
        <f t="shared" ref="B74:K74" si="31">$B$14*(1+$B$5)^(B73-1)</f>
        <v>536260.5838398363</v>
      </c>
      <c r="C74" s="22">
        <f t="shared" si="31"/>
        <v>546985.79551663296</v>
      </c>
      <c r="D74" s="22">
        <f t="shared" si="31"/>
        <v>557925.51142696571</v>
      </c>
      <c r="E74" s="22">
        <f t="shared" si="31"/>
        <v>569084.02165550494</v>
      </c>
      <c r="F74" s="22">
        <f t="shared" si="31"/>
        <v>580465.70208861504</v>
      </c>
      <c r="G74" s="22">
        <f t="shared" si="31"/>
        <v>592075.01613038732</v>
      </c>
      <c r="H74" s="22">
        <f t="shared" si="31"/>
        <v>603916.51645299513</v>
      </c>
      <c r="I74" s="22">
        <f t="shared" si="31"/>
        <v>615994.84678205487</v>
      </c>
      <c r="J74" s="22">
        <f t="shared" si="31"/>
        <v>628314.74371769617</v>
      </c>
      <c r="K74" s="23">
        <f t="shared" si="31"/>
        <v>640881.03859204997</v>
      </c>
      <c r="M74" s="1460"/>
      <c r="N74" s="1461"/>
    </row>
    <row r="75" spans="1:14" ht="13.15" customHeight="1">
      <c r="A75" s="24" t="s">
        <v>1519</v>
      </c>
      <c r="B75" s="25">
        <f t="shared" ref="B75:K75" si="32">$B$15*(1+$B$5)^(B73-1)</f>
        <v>10725.211676796727</v>
      </c>
      <c r="C75" s="25">
        <f t="shared" si="32"/>
        <v>10939.715910332659</v>
      </c>
      <c r="D75" s="25">
        <f t="shared" si="32"/>
        <v>11158.510228539313</v>
      </c>
      <c r="E75" s="25">
        <f t="shared" si="32"/>
        <v>11381.680433110098</v>
      </c>
      <c r="F75" s="25">
        <f t="shared" si="32"/>
        <v>11609.314041772301</v>
      </c>
      <c r="G75" s="25">
        <f t="shared" si="32"/>
        <v>11841.500322607746</v>
      </c>
      <c r="H75" s="25">
        <f t="shared" si="32"/>
        <v>12078.330329059903</v>
      </c>
      <c r="I75" s="25">
        <f t="shared" si="32"/>
        <v>12319.896935641098</v>
      </c>
      <c r="J75" s="25">
        <f t="shared" si="32"/>
        <v>12566.294874353924</v>
      </c>
      <c r="K75" s="26">
        <f t="shared" si="32"/>
        <v>12817.620771841001</v>
      </c>
      <c r="M75" s="1462"/>
      <c r="N75" s="1463"/>
    </row>
    <row r="76" spans="1:14" ht="13.15" customHeight="1">
      <c r="A76" s="24" t="s">
        <v>3386</v>
      </c>
      <c r="B76" s="25">
        <f t="shared" ref="B76:K76" si="33">-(B74+B75)*$B$8</f>
        <v>-38289.005686164317</v>
      </c>
      <c r="C76" s="25">
        <f t="shared" si="33"/>
        <v>-39054.785799887592</v>
      </c>
      <c r="D76" s="25">
        <f t="shared" si="33"/>
        <v>-39835.881515885361</v>
      </c>
      <c r="E76" s="25">
        <f t="shared" si="33"/>
        <v>-40632.599146203058</v>
      </c>
      <c r="F76" s="25">
        <f t="shared" si="33"/>
        <v>-41445.251129127115</v>
      </c>
      <c r="G76" s="25">
        <f t="shared" si="33"/>
        <v>-42274.156151709656</v>
      </c>
      <c r="H76" s="25">
        <f t="shared" si="33"/>
        <v>-43119.639274743851</v>
      </c>
      <c r="I76" s="25">
        <f t="shared" si="33"/>
        <v>-43982.032060238722</v>
      </c>
      <c r="J76" s="25">
        <f t="shared" si="33"/>
        <v>-44861.672701443509</v>
      </c>
      <c r="K76" s="26">
        <f t="shared" si="33"/>
        <v>-45758.906155472374</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-414394.16168255016</v>
      </c>
      <c r="C79" s="25">
        <f t="shared" si="34"/>
        <v>-426825.98653302662</v>
      </c>
      <c r="D79" s="25">
        <f t="shared" si="34"/>
        <v>-439630.76612901746</v>
      </c>
      <c r="E79" s="25">
        <f t="shared" si="34"/>
        <v>-452819.68911288801</v>
      </c>
      <c r="F79" s="25">
        <f t="shared" si="34"/>
        <v>-466404.27978627459</v>
      </c>
      <c r="G79" s="25">
        <f t="shared" si="34"/>
        <v>-480396.40817986283</v>
      </c>
      <c r="H79" s="25">
        <f t="shared" si="34"/>
        <v>-494808.30042525876</v>
      </c>
      <c r="I79" s="25">
        <f t="shared" si="34"/>
        <v>-509652.54943801649</v>
      </c>
      <c r="J79" s="25">
        <f t="shared" si="34"/>
        <v>-524942.12592115696</v>
      </c>
      <c r="K79" s="26">
        <f t="shared" si="34"/>
        <v>-540690.38969879167</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-30522</v>
      </c>
      <c r="C80" s="25">
        <f>IF(AND('Part VII-Pro Forma'!$G$8="Yes",'Part VII-Pro Forma'!$G$9="Yes"),"Choose One!",IF('Part VII-Pro Forma'!$G$8="Yes",ROUND((-$K$8*(1+'Part VII-Pro Forma'!$B$6)^('Part VII-Pro Forma'!C73-1)),),IF('Part VII-Pro Forma'!$G$9="Yes",ROUND((-(SUM(C74:C77)*'Part VII-Pro Forma'!$K$9)),),"Choose mgt fee")))</f>
        <v>-31132</v>
      </c>
      <c r="D80" s="25">
        <f>IF(AND('Part VII-Pro Forma'!$G$8="Yes",'Part VII-Pro Forma'!$G$9="Yes"),"Choose One!",IF('Part VII-Pro Forma'!$G$8="Yes",ROUND((-$K$8*(1+'Part VII-Pro Forma'!$B$6)^('Part VII-Pro Forma'!D73-1)),),IF('Part VII-Pro Forma'!$G$9="Yes",ROUND((-(SUM(D74:D77)*'Part VII-Pro Forma'!$K$9)),),"Choose mgt fee")))</f>
        <v>-31755</v>
      </c>
      <c r="E80" s="25">
        <f>IF(AND('Part VII-Pro Forma'!$G$8="Yes",'Part VII-Pro Forma'!$G$9="Yes"),"Choose One!",IF('Part VII-Pro Forma'!$G$8="Yes",ROUND((-$K$8*(1+'Part VII-Pro Forma'!$B$6)^('Part VII-Pro Forma'!E73-1)),),IF('Part VII-Pro Forma'!$G$9="Yes",ROUND((-(SUM(E74:E77)*'Part VII-Pro Forma'!$K$9)),),"Choose mgt fee")))</f>
        <v>-32390</v>
      </c>
      <c r="F80" s="25">
        <f>IF(AND('Part VII-Pro Forma'!$G$8="Yes",'Part VII-Pro Forma'!$G$9="Yes"),"Choose One!",IF('Part VII-Pro Forma'!$G$8="Yes",ROUND((-$K$8*(1+'Part VII-Pro Forma'!$B$6)^('Part VII-Pro Forma'!F73-1)),),IF('Part VII-Pro Forma'!$G$9="Yes",ROUND((-(SUM(F74:F77)*'Part VII-Pro Forma'!$K$9)),),"Choose mgt fee")))</f>
        <v>-33038</v>
      </c>
      <c r="G80" s="25">
        <f>IF(AND('Part VII-Pro Forma'!$G$8="Yes",'Part VII-Pro Forma'!$G$9="Yes"),"Choose One!",IF('Part VII-Pro Forma'!$G$8="Yes",ROUND((-$K$8*(1+'Part VII-Pro Forma'!$B$6)^('Part VII-Pro Forma'!G73-1)),),IF('Part VII-Pro Forma'!$G$9="Yes",ROUND((-(SUM(G74:G77)*'Part VII-Pro Forma'!$K$9)),),"Choose mgt fee")))</f>
        <v>-33699</v>
      </c>
      <c r="H80" s="25">
        <f>IF(AND('Part VII-Pro Forma'!$G$8="Yes",'Part VII-Pro Forma'!$G$9="Yes"),"Choose One!",IF('Part VII-Pro Forma'!$G$8="Yes",ROUND((-$K$8*(1+'Part VII-Pro Forma'!$B$6)^('Part VII-Pro Forma'!H73-1)),),IF('Part VII-Pro Forma'!$G$9="Yes",ROUND((-(SUM(H74:H77)*'Part VII-Pro Forma'!$K$9)),),"Choose mgt fee")))</f>
        <v>-34373</v>
      </c>
      <c r="I80" s="25">
        <f>IF(AND('Part VII-Pro Forma'!$G$8="Yes",'Part VII-Pro Forma'!$G$9="Yes"),"Choose One!",IF('Part VII-Pro Forma'!$G$8="Yes",ROUND((-$K$8*(1+'Part VII-Pro Forma'!$B$6)^('Part VII-Pro Forma'!I73-1)),),IF('Part VII-Pro Forma'!$G$9="Yes",ROUND((-(SUM(I74:I77)*'Part VII-Pro Forma'!$K$9)),),"Choose mgt fee")))</f>
        <v>-35060</v>
      </c>
      <c r="J80" s="25">
        <f>IF(AND('Part VII-Pro Forma'!$G$8="Yes",'Part VII-Pro Forma'!$G$9="Yes"),"Choose One!",IF('Part VII-Pro Forma'!$G$8="Yes",ROUND((-$K$8*(1+'Part VII-Pro Forma'!$B$6)^('Part VII-Pro Forma'!J73-1)),),IF('Part VII-Pro Forma'!$G$9="Yes",ROUND((-(SUM(J74:J77)*'Part VII-Pro Forma'!$K$9)),),"Choose mgt fee")))</f>
        <v>-35761</v>
      </c>
      <c r="K80" s="25">
        <f>IF(AND('Part VII-Pro Forma'!$G$8="Yes",'Part VII-Pro Forma'!$G$9="Yes"),"Choose One!",IF('Part VII-Pro Forma'!$G$8="Yes",ROUND((-$K$8*(1+'Part VII-Pro Forma'!$B$6)^('Part VII-Pro Forma'!K73-1)),),IF('Part VII-Pro Forma'!$G$9="Yes",ROUND((-(SUM(K74:K77)*'Part VII-Pro Forma'!$K$9)),),"Choose mgt fee")))</f>
        <v>-36476</v>
      </c>
      <c r="M80" s="1462"/>
      <c r="N80" s="1463"/>
    </row>
    <row r="81" spans="1:14" ht="13.15" customHeight="1">
      <c r="A81" s="24" t="s">
        <v>1739</v>
      </c>
      <c r="B81" s="25">
        <f t="shared" ref="B81:K81" si="35">$B$21*(1+$B$7)^(B73-1)</f>
        <v>-32510.00222404944</v>
      </c>
      <c r="C81" s="25">
        <f t="shared" si="35"/>
        <v>-33485.302290770916</v>
      </c>
      <c r="D81" s="25">
        <f t="shared" si="35"/>
        <v>-34489.861359494047</v>
      </c>
      <c r="E81" s="25">
        <f t="shared" si="35"/>
        <v>-35524.557200278869</v>
      </c>
      <c r="F81" s="25">
        <f t="shared" si="35"/>
        <v>-36590.293916287235</v>
      </c>
      <c r="G81" s="25">
        <f t="shared" si="35"/>
        <v>-37688.002733775851</v>
      </c>
      <c r="H81" s="25">
        <f t="shared" si="35"/>
        <v>-38818.642815789128</v>
      </c>
      <c r="I81" s="25">
        <f t="shared" si="35"/>
        <v>-39983.202100262803</v>
      </c>
      <c r="J81" s="25">
        <f t="shared" si="35"/>
        <v>-41182.698163270681</v>
      </c>
      <c r="K81" s="26">
        <f t="shared" si="35"/>
        <v>-42418.179108168799</v>
      </c>
      <c r="M81" s="1462"/>
      <c r="N81" s="1463"/>
    </row>
    <row r="82" spans="1:14" ht="13.15" customHeight="1">
      <c r="A82" s="24" t="s">
        <v>1740</v>
      </c>
      <c r="B82" s="25">
        <f t="shared" ref="B82:K82" si="36">SUM(B74:B81)</f>
        <v>31270.625923869175</v>
      </c>
      <c r="C82" s="25">
        <f t="shared" si="36"/>
        <v>27427.436803280441</v>
      </c>
      <c r="D82" s="25">
        <f t="shared" si="36"/>
        <v>23372.512651108198</v>
      </c>
      <c r="E82" s="25">
        <f t="shared" si="36"/>
        <v>19098.856629245143</v>
      </c>
      <c r="F82" s="25">
        <f t="shared" si="36"/>
        <v>14597.191298698381</v>
      </c>
      <c r="G82" s="25">
        <f t="shared" si="36"/>
        <v>9858.9493876467168</v>
      </c>
      <c r="H82" s="25">
        <f t="shared" si="36"/>
        <v>4875.2642662632497</v>
      </c>
      <c r="I82" s="25">
        <f t="shared" si="36"/>
        <v>-363.03988082212163</v>
      </c>
      <c r="J82" s="25">
        <f t="shared" si="36"/>
        <v>-5866.4581938210977</v>
      </c>
      <c r="K82" s="26">
        <f t="shared" si="36"/>
        <v>-11644.815598541856</v>
      </c>
      <c r="M82" s="1462"/>
      <c r="N82" s="1463"/>
    </row>
    <row r="83" spans="1:14" ht="13.15" customHeight="1">
      <c r="A83" s="24" t="str">
        <f>$A53</f>
        <v>Mortgage A</v>
      </c>
      <c r="B83" s="1567">
        <f>IF('Part III A-Sources of Funds'!$M$32="", 0,-'Part III A-Sources of Funds'!$M$32)</f>
        <v>-40930.576803371514</v>
      </c>
      <c r="C83" s="1567">
        <f>IF('Part III A-Sources of Funds'!$M$32="", 0,-'Part III A-Sources of Funds'!$M$32)</f>
        <v>-40930.576803371514</v>
      </c>
      <c r="D83" s="1567">
        <f>IF('Part III A-Sources of Funds'!$M$32="", 0,-'Part III A-Sources of Funds'!$M$32)</f>
        <v>-40930.576803371514</v>
      </c>
      <c r="E83" s="1567">
        <f>IF('Part III A-Sources of Funds'!$M$32="", 0,-'Part III A-Sources of Funds'!$M$32)</f>
        <v>-40930.576803371514</v>
      </c>
      <c r="F83" s="1567">
        <f>IF('Part III A-Sources of Funds'!$M$32="", 0,-'Part III A-Sources of Funds'!$M$32)</f>
        <v>-40930.576803371514</v>
      </c>
      <c r="G83" s="1567">
        <f>IF('Part III A-Sources of Funds'!$M$32="", 0,-'Part III A-Sources of Funds'!$M$32)</f>
        <v>-40930.576803371514</v>
      </c>
      <c r="H83" s="1567">
        <f>IF('Part III A-Sources of Funds'!$M$32="", 0,-'Part III A-Sources of Funds'!$M$32)</f>
        <v>-40930.576803371514</v>
      </c>
      <c r="I83" s="1567">
        <f>IF('Part III A-Sources of Funds'!$M$32="", 0,-'Part III A-Sources of Funds'!$M$32)</f>
        <v>-40930.576803371514</v>
      </c>
      <c r="J83" s="1567">
        <f>IF('Part III A-Sources of Funds'!$M$32="", 0,-'Part III A-Sources of Funds'!$M$32)</f>
        <v>-40930.576803371514</v>
      </c>
      <c r="K83" s="1567">
        <f>IF('Part III A-Sources of Funds'!$M$32="", 0,-'Part III A-Sources of Funds'!$M$32)</f>
        <v>-40930.576803371514</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-3500</v>
      </c>
      <c r="C88" s="1568">
        <f t="shared" ref="C88:K88" si="37">+B88</f>
        <v>-3500</v>
      </c>
      <c r="D88" s="1568">
        <f t="shared" si="37"/>
        <v>-3500</v>
      </c>
      <c r="E88" s="1568">
        <f t="shared" si="37"/>
        <v>-3500</v>
      </c>
      <c r="F88" s="1568">
        <f t="shared" si="37"/>
        <v>-3500</v>
      </c>
      <c r="G88" s="1568">
        <f t="shared" si="37"/>
        <v>-3500</v>
      </c>
      <c r="H88" s="1568">
        <f t="shared" si="37"/>
        <v>-3500</v>
      </c>
      <c r="I88" s="1568">
        <f t="shared" si="37"/>
        <v>-3500</v>
      </c>
      <c r="J88" s="1568">
        <f t="shared" si="37"/>
        <v>-3500</v>
      </c>
      <c r="K88" s="1568">
        <f t="shared" si="37"/>
        <v>-3500</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-13159.950879502339</v>
      </c>
      <c r="C90" s="25">
        <f t="shared" si="38"/>
        <v>-17003.140000091073</v>
      </c>
      <c r="D90" s="25">
        <f t="shared" si="38"/>
        <v>-21058.064152263316</v>
      </c>
      <c r="E90" s="25">
        <f t="shared" si="38"/>
        <v>-25331.720174126371</v>
      </c>
      <c r="F90" s="25">
        <f t="shared" si="38"/>
        <v>-29833.385504673133</v>
      </c>
      <c r="G90" s="25">
        <f t="shared" si="38"/>
        <v>-34571.627415724797</v>
      </c>
      <c r="H90" s="25">
        <f t="shared" si="38"/>
        <v>-39555.312537108264</v>
      </c>
      <c r="I90" s="25">
        <f t="shared" si="38"/>
        <v>-44793.616684193636</v>
      </c>
      <c r="J90" s="25">
        <f t="shared" si="38"/>
        <v>-50297.034997192612</v>
      </c>
      <c r="K90" s="23">
        <f t="shared" si="38"/>
        <v>-56075.39240191337</v>
      </c>
      <c r="M90" s="1462"/>
      <c r="N90" s="1463"/>
    </row>
    <row r="91" spans="1:14" ht="13.15" customHeight="1">
      <c r="A91" s="24" t="str">
        <f>$A61</f>
        <v>DCR Mortgage A</v>
      </c>
      <c r="B91" s="27">
        <f>IF(B83=0,"",-B82/B83)</f>
        <v>0.76399182142220301</v>
      </c>
      <c r="C91" s="27">
        <f t="shared" ref="C91:K91" si="39">IF(C83=0,"",-C82/C83)</f>
        <v>0.67009651329959274</v>
      </c>
      <c r="D91" s="27">
        <f t="shared" si="39"/>
        <v>0.57102817689055796</v>
      </c>
      <c r="E91" s="27">
        <f t="shared" si="39"/>
        <v>0.4666158681563447</v>
      </c>
      <c r="F91" s="27">
        <f t="shared" si="39"/>
        <v>0.35663292430064136</v>
      </c>
      <c r="G91" s="27">
        <f t="shared" si="39"/>
        <v>0.2408700330564269</v>
      </c>
      <c r="H91" s="27">
        <f t="shared" si="39"/>
        <v>0.11911056835782649</v>
      </c>
      <c r="I91" s="27">
        <f t="shared" si="39"/>
        <v>-8.8696497624782423E-3</v>
      </c>
      <c r="J91" s="27">
        <f t="shared" si="39"/>
        <v>-0.14332703450535952</v>
      </c>
      <c r="K91" s="28">
        <f t="shared" si="39"/>
        <v>-0.28450162465295764</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1.0654983498767503</v>
      </c>
      <c r="C95" s="378">
        <f t="shared" ref="C95:K95" si="43">IF(OR(C80="Choose mgt fee",C80="Choose One!"),"",(C74+C75+C76+C77+C78) / -(C79+C80+C81))</f>
        <v>1.055809973250269</v>
      </c>
      <c r="D95" s="378">
        <f t="shared" si="43"/>
        <v>1.0462020927300733</v>
      </c>
      <c r="E95" s="378">
        <f t="shared" si="43"/>
        <v>1.0366767823788552</v>
      </c>
      <c r="F95" s="378">
        <f t="shared" si="43"/>
        <v>1.027231910922634</v>
      </c>
      <c r="G95" s="378">
        <f t="shared" si="43"/>
        <v>1.0178674262267551</v>
      </c>
      <c r="H95" s="378">
        <f t="shared" si="43"/>
        <v>1.0085832125940801</v>
      </c>
      <c r="I95" s="378">
        <f t="shared" si="43"/>
        <v>0.99937909608567033</v>
      </c>
      <c r="J95" s="378">
        <f t="shared" si="43"/>
        <v>0.99025320424725893</v>
      </c>
      <c r="K95" s="379">
        <f t="shared" si="43"/>
        <v>0.98120544606047155</v>
      </c>
      <c r="M95" s="1462"/>
      <c r="N95" s="1463"/>
    </row>
    <row r="96" spans="1:14" ht="13.15" customHeight="1">
      <c r="A96" s="678" t="s">
        <v>3667</v>
      </c>
      <c r="B96" s="1571">
        <f>IF('Part III A-Sources of Funds'!$H$32="","",-FV('Part III A-Sources of Funds'!$J$32/12,12,B83/12,K66))</f>
        <v>269991.85262893827</v>
      </c>
      <c r="C96" s="1571">
        <f>IF('Part III A-Sources of Funds'!$H$32="","",-FV('Part III A-Sources of Funds'!$J$32/12,12,C83/12,B96))</f>
        <v>247911.54981061807</v>
      </c>
      <c r="D96" s="1571">
        <f>IF('Part III A-Sources of Funds'!$H$32="","",-FV('Part III A-Sources of Funds'!$J$32/12,12,D83/12,C96))</f>
        <v>224176.1450864893</v>
      </c>
      <c r="E96" s="1571">
        <f>IF('Part III A-Sources of Funds'!$H$32="","",-FV('Part III A-Sources of Funds'!$J$32/12,12,E83/12,D96))</f>
        <v>198661.57483563366</v>
      </c>
      <c r="F96" s="1571">
        <f>IF('Part III A-Sources of Funds'!$H$32="","",-FV('Part III A-Sources of Funds'!$J$32/12,12,F83/12,E96))</f>
        <v>171234.47583933701</v>
      </c>
      <c r="G96" s="1571">
        <f>IF('Part III A-Sources of Funds'!$H$32="","",-FV('Part III A-Sources of Funds'!$J$32/12,12,G83/12,F96))</f>
        <v>141751.48819907178</v>
      </c>
      <c r="H96" s="1571">
        <f>IF('Part III A-Sources of Funds'!$H$32="","",-FV('Part III A-Sources of Funds'!$J$32/12,12,H83/12,G96))</f>
        <v>110058.50600239824</v>
      </c>
      <c r="I96" s="1571">
        <f>IF('Part III A-Sources of Funds'!$H$32="","",-FV('Part III A-Sources of Funds'!$J$32/12,12,I83/12,H96))</f>
        <v>75989.871820057582</v>
      </c>
      <c r="J96" s="1571">
        <f>IF('Part III A-Sources of Funds'!$H$32="","",-FV('Part III A-Sources of Funds'!$J$32/12,12,J83/12,I96))</f>
        <v>39367.510823938632</v>
      </c>
      <c r="K96" s="1571">
        <f>IF('Part III A-Sources of Funds'!$H$32="","",-FV('Part III A-Sources of Funds'!$J$32/12,12,K83/12,J96))</f>
        <v>1.3606040738523006E-9</v>
      </c>
      <c r="M96" s="1462"/>
      <c r="N96" s="1463"/>
    </row>
    <row r="97" spans="1:14" ht="13.15" customHeight="1">
      <c r="A97" s="678" t="s">
        <v>3668</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3669</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3652</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261874</v>
      </c>
      <c r="C101" s="1570">
        <f>IF('Part III A-Sources of Funds'!$H$37="","",-FV('Part III A-Sources of Funds'!$J$37/12,12,C89/12,B101))</f>
        <v>261874</v>
      </c>
      <c r="D101" s="1570">
        <f>IF('Part III A-Sources of Funds'!$H$37="","",-FV('Part III A-Sources of Funds'!$J$37/12,12,D89/12,C101))</f>
        <v>261874</v>
      </c>
      <c r="E101" s="1570">
        <f>IF('Part III A-Sources of Funds'!$H$37="","",-FV('Part III A-Sources of Funds'!$J$37/12,12,E89/12,D101))</f>
        <v>261874</v>
      </c>
      <c r="F101" s="1570">
        <f>IF('Part III A-Sources of Funds'!$H$37="","",-FV('Part III A-Sources of Funds'!$J$37/12,12,F89/12,E101))</f>
        <v>261874</v>
      </c>
      <c r="G101" s="1570">
        <f>IF('Part III A-Sources of Funds'!$H$37="","",-FV('Part III A-Sources of Funds'!$J$37/12,12,G89/12,F101))</f>
        <v>261874</v>
      </c>
      <c r="H101" s="1570">
        <f>IF('Part III A-Sources of Funds'!$H$37="","",-FV('Part III A-Sources of Funds'!$J$37/12,12,H89/12,G101))</f>
        <v>261874</v>
      </c>
      <c r="I101" s="1570">
        <f>IF('Part III A-Sources of Funds'!$H$37="","",-FV('Part III A-Sources of Funds'!$J$37/12,12,I89/12,H101))</f>
        <v>261874</v>
      </c>
      <c r="J101" s="1570">
        <f>IF('Part III A-Sources of Funds'!$H$37="","",-FV('Part III A-Sources of Funds'!$J$37/12,12,J89/12,I101))</f>
        <v>261874</v>
      </c>
      <c r="K101" s="1570">
        <f>IF('Part III A-Sources of Funds'!$H$37="","",-FV('Part III A-Sources of Funds'!$J$37/12,12,K89/12,J101))</f>
        <v>261874</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10" zoomScaleNormal="110" zoomScaleSheetLayoutView="40" workbookViewId="0">
      <pane ySplit="1620" topLeftCell="A94"/>
      <selection sqref="A1:XFD1048576"/>
      <selection pane="bottomLeft" activeCell="T138" sqref="T138"/>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2012-006 Hidden Glen Village, Hinesville, Liberty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2913</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2900</v>
      </c>
      <c r="B15" s="1141"/>
      <c r="C15" s="1141"/>
      <c r="D15" s="1141"/>
      <c r="E15" s="1141"/>
      <c r="F15" s="1141"/>
      <c r="G15" s="1141"/>
      <c r="H15" s="1141"/>
      <c r="I15" s="1141"/>
      <c r="J15" s="1141"/>
      <c r="K15" s="1141"/>
      <c r="L15" s="1141"/>
      <c r="M15" s="1141"/>
      <c r="N15" s="1141"/>
      <c r="O15" s="1141"/>
      <c r="P15" s="1141"/>
      <c r="Q15" s="1142"/>
      <c r="R15" s="886" t="s">
        <v>2913</v>
      </c>
      <c r="S15" s="886"/>
    </row>
    <row r="16" spans="1:32" ht="24.6" customHeight="1">
      <c r="A16" s="1140" t="s">
        <v>2901</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2902</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2903</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2904</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2905</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2906</v>
      </c>
      <c r="B21" s="1141"/>
      <c r="C21" s="1141"/>
      <c r="D21" s="1141"/>
      <c r="E21" s="1141"/>
      <c r="F21" s="1141"/>
      <c r="G21" s="1141"/>
      <c r="H21" s="1141"/>
      <c r="I21" s="1141"/>
      <c r="J21" s="1141"/>
      <c r="K21" s="1141"/>
      <c r="L21" s="1141"/>
      <c r="M21" s="1141"/>
      <c r="N21" s="1141"/>
      <c r="O21" s="1141"/>
      <c r="P21" s="1141"/>
      <c r="Q21" s="1142"/>
    </row>
    <row r="22" spans="1:19" ht="24.6" customHeight="1">
      <c r="A22" s="1140" t="s">
        <v>2907</v>
      </c>
      <c r="B22" s="1141"/>
      <c r="C22" s="1141"/>
      <c r="D22" s="1141"/>
      <c r="E22" s="1141"/>
      <c r="F22" s="1141"/>
      <c r="G22" s="1141"/>
      <c r="H22" s="1141"/>
      <c r="I22" s="1141"/>
      <c r="J22" s="1141"/>
      <c r="K22" s="1141"/>
      <c r="L22" s="1141"/>
      <c r="M22" s="1141"/>
      <c r="N22" s="1141"/>
      <c r="O22" s="1141"/>
      <c r="P22" s="1141"/>
      <c r="Q22" s="1142"/>
      <c r="R22" s="886" t="s">
        <v>2913</v>
      </c>
      <c r="S22" s="886"/>
    </row>
    <row r="23" spans="1:19" ht="24.6" customHeight="1">
      <c r="A23" s="1140" t="s">
        <v>2908</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2909</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2910</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2911</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2912</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3791</v>
      </c>
      <c r="C29" s="179"/>
      <c r="D29" s="115"/>
      <c r="E29" s="115"/>
      <c r="F29" s="115"/>
      <c r="G29" s="115"/>
      <c r="I29" s="180"/>
      <c r="J29" s="180"/>
      <c r="K29" s="180"/>
      <c r="L29" s="848"/>
      <c r="M29" s="848"/>
      <c r="O29" s="181" t="s">
        <v>2740</v>
      </c>
      <c r="P29" s="1114"/>
      <c r="Q29" s="1119"/>
    </row>
    <row r="30" spans="1:19" ht="3" customHeight="1"/>
    <row r="31" spans="1:19" ht="12" customHeight="1">
      <c r="B31" s="192" t="s">
        <v>2863</v>
      </c>
      <c r="C31" s="62" t="s">
        <v>3869</v>
      </c>
      <c r="E31" s="38"/>
      <c r="F31" s="38"/>
      <c r="G31" s="38"/>
      <c r="H31" s="38"/>
      <c r="I31" s="50"/>
      <c r="J31" s="40"/>
      <c r="K31" s="50"/>
      <c r="L31" s="40"/>
      <c r="M31" s="40"/>
      <c r="O31" s="79" t="s">
        <v>849</v>
      </c>
      <c r="P31" s="1574" t="s">
        <v>3980</v>
      </c>
      <c r="Q31" s="232"/>
    </row>
    <row r="32" spans="1:19" ht="12" customHeight="1">
      <c r="B32" s="55" t="s">
        <v>2866</v>
      </c>
      <c r="C32" s="62" t="s">
        <v>994</v>
      </c>
      <c r="E32" s="38"/>
      <c r="F32" s="38"/>
      <c r="G32" s="38"/>
      <c r="H32" s="38"/>
      <c r="J32" s="1575" t="s">
        <v>3051</v>
      </c>
      <c r="K32" s="1576"/>
      <c r="L32" s="1576"/>
      <c r="M32" s="1576"/>
      <c r="N32" s="1577"/>
      <c r="O32" s="79"/>
      <c r="P32" s="79"/>
      <c r="Q32" s="79"/>
    </row>
    <row r="33" spans="1:31" ht="11.25" customHeight="1">
      <c r="B33" s="80" t="s">
        <v>2738</v>
      </c>
      <c r="C33" s="80"/>
      <c r="D33" s="80"/>
      <c r="E33" s="80"/>
      <c r="F33" s="80"/>
      <c r="G33" s="180"/>
      <c r="H33" s="180"/>
      <c r="I33" s="180"/>
      <c r="J33" s="180"/>
      <c r="K33" s="848"/>
      <c r="L33" s="848"/>
      <c r="M33" s="848"/>
      <c r="N33" s="848"/>
      <c r="O33" s="848"/>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2739</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2740</v>
      </c>
      <c r="P41" s="1114"/>
      <c r="Q41" s="1119"/>
    </row>
    <row r="42" spans="1:31" ht="3" customHeight="1"/>
    <row r="43" spans="1:31" ht="11.45" customHeight="1">
      <c r="A43" s="189"/>
      <c r="C43" s="190" t="s">
        <v>108</v>
      </c>
      <c r="D43" s="190"/>
      <c r="E43" s="190"/>
      <c r="F43" s="190"/>
      <c r="G43" s="190"/>
      <c r="H43" s="190"/>
      <c r="J43" s="1581" t="str">
        <f>'Part I-Project Information'!$H$65</f>
        <v>Family</v>
      </c>
      <c r="K43" s="1582"/>
      <c r="L43" s="1583"/>
      <c r="M43" s="856"/>
      <c r="N43" s="856"/>
      <c r="P43" s="1574" t="s">
        <v>3981</v>
      </c>
      <c r="Q43" s="232"/>
    </row>
    <row r="44" spans="1:31" ht="11.25" customHeight="1">
      <c r="B44" s="127" t="s">
        <v>2738</v>
      </c>
      <c r="D44" s="127"/>
      <c r="E44" s="127"/>
      <c r="F44" s="127"/>
      <c r="G44" s="127"/>
      <c r="H44" s="48"/>
      <c r="I44" s="180"/>
      <c r="J44" s="180"/>
      <c r="K44" s="187" t="s">
        <v>2739</v>
      </c>
      <c r="L44" s="848"/>
      <c r="M44" s="848"/>
      <c r="N44" s="848"/>
      <c r="O44" s="848"/>
      <c r="P44" s="848"/>
      <c r="Q44" s="60"/>
    </row>
    <row r="45" spans="1:31" ht="11.45" customHeight="1">
      <c r="A45" s="1578"/>
      <c r="B45" s="1579"/>
      <c r="C45" s="1579"/>
      <c r="D45" s="1579"/>
      <c r="E45" s="1579"/>
      <c r="F45" s="1579"/>
      <c r="G45" s="1579"/>
      <c r="H45" s="1579"/>
      <c r="I45" s="1579"/>
      <c r="J45" s="1580"/>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3792</v>
      </c>
      <c r="C47" s="154"/>
      <c r="D47" s="856"/>
      <c r="E47" s="856"/>
      <c r="F47" s="856"/>
      <c r="G47" s="856"/>
      <c r="H47" s="856"/>
      <c r="I47" s="856"/>
      <c r="J47" s="856"/>
      <c r="K47" s="856"/>
      <c r="L47" s="856"/>
      <c r="M47" s="856"/>
      <c r="O47" s="181" t="s">
        <v>2740</v>
      </c>
      <c r="P47" s="1114"/>
      <c r="Q47" s="1119"/>
    </row>
    <row r="48" spans="1:31" ht="3" customHeight="1"/>
    <row r="49" spans="1:31" ht="12.6" customHeight="1">
      <c r="B49" s="192" t="s">
        <v>2863</v>
      </c>
      <c r="C49" s="1146" t="s">
        <v>373</v>
      </c>
      <c r="D49" s="1146"/>
      <c r="E49" s="1146"/>
      <c r="F49" s="1146"/>
      <c r="G49" s="1146"/>
      <c r="H49" s="1146"/>
      <c r="I49" s="1146"/>
      <c r="J49" s="1146"/>
      <c r="K49" s="1146"/>
      <c r="L49" s="1146"/>
      <c r="M49" s="1146"/>
      <c r="O49" s="193"/>
      <c r="P49" s="1574" t="s">
        <v>3987</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4" t="s">
        <v>3981</v>
      </c>
      <c r="Q51" s="232"/>
    </row>
    <row r="52" spans="1:31" ht="10.9" customHeight="1">
      <c r="A52" s="194"/>
      <c r="B52" s="50"/>
      <c r="C52" s="79" t="s">
        <v>2591</v>
      </c>
      <c r="D52" s="38" t="s">
        <v>2669</v>
      </c>
      <c r="E52" s="853"/>
      <c r="F52" s="853"/>
      <c r="G52" s="853"/>
      <c r="H52" s="40"/>
      <c r="I52" s="50"/>
      <c r="J52" s="50"/>
      <c r="O52" s="79" t="s">
        <v>2591</v>
      </c>
      <c r="P52" s="1574" t="s">
        <v>3980</v>
      </c>
      <c r="Q52" s="232"/>
    </row>
    <row r="53" spans="1:31" ht="10.9" customHeight="1">
      <c r="A53" s="194"/>
      <c r="B53" s="50"/>
      <c r="C53" s="79" t="s">
        <v>2592</v>
      </c>
      <c r="D53" s="38" t="s">
        <v>374</v>
      </c>
      <c r="E53" s="853"/>
      <c r="J53" s="79"/>
      <c r="K53" s="79" t="s">
        <v>2592</v>
      </c>
      <c r="L53" s="1584"/>
      <c r="M53" s="1585"/>
      <c r="N53" s="1585"/>
      <c r="O53" s="1585"/>
      <c r="P53" s="1586"/>
      <c r="Q53" s="232"/>
    </row>
    <row r="54" spans="1:31" ht="11.25" customHeight="1">
      <c r="B54" s="127" t="s">
        <v>2738</v>
      </c>
      <c r="D54" s="127"/>
      <c r="E54" s="127"/>
      <c r="F54" s="127"/>
      <c r="G54" s="127"/>
      <c r="H54" s="48"/>
      <c r="I54" s="180"/>
      <c r="J54" s="180"/>
      <c r="K54" s="180"/>
      <c r="L54" s="848"/>
      <c r="M54" s="848"/>
      <c r="N54" s="848"/>
      <c r="O54" s="848"/>
      <c r="P54" s="848"/>
      <c r="Q54" s="60"/>
    </row>
    <row r="55" spans="1:31" ht="12" customHeight="1">
      <c r="A55" s="1578"/>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2739</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3793</v>
      </c>
      <c r="C59" s="857"/>
      <c r="D59" s="856"/>
      <c r="E59" s="856"/>
      <c r="F59" s="856"/>
      <c r="G59" s="856"/>
      <c r="H59" s="856"/>
      <c r="I59" s="856"/>
      <c r="J59" s="856"/>
      <c r="K59" s="856"/>
      <c r="O59" s="181" t="s">
        <v>2740</v>
      </c>
      <c r="P59" s="1114"/>
      <c r="Q59" s="1119"/>
    </row>
    <row r="60" spans="1:31" ht="3" customHeight="1"/>
    <row r="61" spans="1:31" ht="12" customHeight="1">
      <c r="B61" s="55" t="s">
        <v>2863</v>
      </c>
      <c r="C61" s="195" t="s">
        <v>3463</v>
      </c>
      <c r="D61" s="183"/>
      <c r="E61" s="183"/>
      <c r="F61" s="183"/>
      <c r="G61" s="183"/>
      <c r="H61" s="183"/>
      <c r="I61" s="50"/>
      <c r="J61" s="50"/>
      <c r="K61" s="50"/>
      <c r="L61" s="803" t="s">
        <v>2863</v>
      </c>
      <c r="M61" s="1584" t="s">
        <v>4067</v>
      </c>
      <c r="N61" s="1585"/>
      <c r="O61" s="1585"/>
      <c r="P61" s="1587"/>
      <c r="Q61" s="232"/>
    </row>
    <row r="62" spans="1:31" ht="12" customHeight="1">
      <c r="B62" s="55" t="s">
        <v>2866</v>
      </c>
      <c r="C62" s="62" t="s">
        <v>2919</v>
      </c>
      <c r="D62" s="183"/>
      <c r="E62" s="183"/>
      <c r="F62" s="183"/>
      <c r="L62" s="803" t="s">
        <v>2866</v>
      </c>
      <c r="M62" s="1584" t="s">
        <v>4068</v>
      </c>
      <c r="N62" s="1585"/>
      <c r="O62" s="1585"/>
      <c r="P62" s="1587"/>
      <c r="Q62" s="232"/>
    </row>
    <row r="63" spans="1:31" ht="12" customHeight="1">
      <c r="B63" s="55" t="s">
        <v>1145</v>
      </c>
      <c r="C63" s="62" t="s">
        <v>3464</v>
      </c>
      <c r="D63" s="183"/>
      <c r="E63" s="183"/>
      <c r="F63" s="183"/>
      <c r="L63" s="803" t="s">
        <v>1145</v>
      </c>
      <c r="M63" s="1584" t="s">
        <v>4068</v>
      </c>
      <c r="N63" s="1585"/>
      <c r="O63" s="1585"/>
      <c r="P63" s="1587"/>
      <c r="Q63" s="352"/>
    </row>
    <row r="64" spans="1:31" ht="12" customHeight="1">
      <c r="B64" s="55" t="s">
        <v>3005</v>
      </c>
      <c r="C64" s="62" t="s">
        <v>3465</v>
      </c>
      <c r="D64" s="183"/>
      <c r="E64" s="183"/>
      <c r="F64" s="183"/>
      <c r="L64" s="803" t="s">
        <v>3005</v>
      </c>
      <c r="M64" s="1588">
        <v>5.9200000000000003E-2</v>
      </c>
      <c r="N64" s="1585"/>
      <c r="O64" s="1585"/>
      <c r="P64" s="1587"/>
      <c r="Q64" s="232"/>
    </row>
    <row r="65" spans="1:31" ht="22.15" customHeight="1">
      <c r="B65" s="192" t="s">
        <v>2588</v>
      </c>
      <c r="C65" s="1118" t="s">
        <v>3870</v>
      </c>
      <c r="D65" s="1118"/>
      <c r="E65" s="1118"/>
      <c r="F65" s="1118"/>
      <c r="G65" s="1118"/>
      <c r="H65" s="1118"/>
      <c r="I65" s="1118"/>
      <c r="J65" s="1118"/>
      <c r="K65" s="1118"/>
      <c r="L65" s="1118"/>
      <c r="M65" s="853"/>
      <c r="O65" s="803" t="s">
        <v>2588</v>
      </c>
      <c r="P65" s="1574"/>
      <c r="Q65" s="232"/>
    </row>
    <row r="66" spans="1:31" ht="12" customHeight="1">
      <c r="B66" s="55"/>
      <c r="C66" s="62"/>
      <c r="D66" s="821" t="s">
        <v>3352</v>
      </c>
      <c r="E66" s="38" t="s">
        <v>874</v>
      </c>
      <c r="F66" s="38"/>
      <c r="H66" s="62"/>
      <c r="I66" s="821" t="s">
        <v>3352</v>
      </c>
      <c r="J66" s="38" t="s">
        <v>874</v>
      </c>
      <c r="K66" s="38"/>
      <c r="M66" s="62"/>
      <c r="N66" s="821" t="s">
        <v>3352</v>
      </c>
      <c r="O66" s="38" t="s">
        <v>874</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3"/>
      <c r="M69" s="853"/>
      <c r="O69" s="803" t="s">
        <v>2589</v>
      </c>
      <c r="P69" s="1591" t="s">
        <v>3981</v>
      </c>
      <c r="Q69" s="352"/>
    </row>
    <row r="70" spans="1:31" ht="11.25" customHeight="1">
      <c r="B70" s="191" t="s">
        <v>2738</v>
      </c>
      <c r="D70" s="191"/>
      <c r="E70" s="191"/>
      <c r="F70" s="191"/>
      <c r="G70" s="191"/>
      <c r="H70" s="48"/>
      <c r="I70" s="180"/>
      <c r="J70" s="180"/>
      <c r="K70" s="180"/>
      <c r="L70" s="848"/>
      <c r="M70" s="848"/>
      <c r="N70" s="848"/>
      <c r="O70" s="848"/>
      <c r="P70" s="848"/>
      <c r="Q70" s="60"/>
    </row>
    <row r="71" spans="1:31" ht="22.9" customHeight="1">
      <c r="A71" s="1578" t="s">
        <v>4073</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2739</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3794</v>
      </c>
      <c r="C74" s="857"/>
      <c r="D74" s="856"/>
      <c r="E74" s="856"/>
      <c r="F74" s="856"/>
      <c r="G74" s="856"/>
      <c r="H74" s="856"/>
      <c r="I74" s="856"/>
      <c r="J74" s="856"/>
      <c r="K74" s="856"/>
      <c r="L74" s="856"/>
      <c r="M74" s="856"/>
      <c r="O74" s="181" t="s">
        <v>2740</v>
      </c>
      <c r="P74" s="1114"/>
      <c r="Q74" s="1119"/>
    </row>
    <row r="75" spans="1:31" ht="3" customHeight="1"/>
    <row r="76" spans="1:31" ht="12" customHeight="1">
      <c r="B76" s="55" t="s">
        <v>2863</v>
      </c>
      <c r="C76" s="62" t="s">
        <v>684</v>
      </c>
      <c r="D76" s="62"/>
      <c r="E76" s="62"/>
      <c r="F76" s="62"/>
      <c r="G76" s="62"/>
      <c r="H76" s="62"/>
      <c r="I76" s="62"/>
      <c r="J76" s="62"/>
      <c r="K76" s="62"/>
      <c r="L76" s="62"/>
      <c r="M76" s="62"/>
      <c r="O76" s="803" t="s">
        <v>2863</v>
      </c>
      <c r="P76" s="1574" t="s">
        <v>3980</v>
      </c>
      <c r="Q76" s="232"/>
    </row>
    <row r="77" spans="1:31" ht="12" customHeight="1">
      <c r="B77" s="55" t="s">
        <v>2866</v>
      </c>
      <c r="C77" s="62" t="s">
        <v>1871</v>
      </c>
      <c r="D77" s="62"/>
      <c r="E77" s="62"/>
      <c r="F77" s="62"/>
      <c r="G77" s="62"/>
      <c r="H77" s="62"/>
      <c r="I77" s="62"/>
      <c r="J77" s="62"/>
      <c r="K77" s="62"/>
      <c r="L77" s="38"/>
      <c r="M77" s="38"/>
      <c r="O77" s="803" t="s">
        <v>2866</v>
      </c>
      <c r="P77" s="1574" t="s">
        <v>3980</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7" t="s">
        <v>638</v>
      </c>
      <c r="E79" s="1595"/>
      <c r="F79" s="1595"/>
      <c r="G79" s="1595"/>
      <c r="H79" s="1595"/>
      <c r="I79" s="1595"/>
      <c r="J79" s="1595"/>
      <c r="K79" s="1595"/>
      <c r="L79" s="1595"/>
      <c r="M79" s="1595"/>
      <c r="N79" s="1595"/>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18" t="s">
        <v>3945</v>
      </c>
      <c r="E81" s="1118"/>
      <c r="F81" s="1118"/>
      <c r="G81" s="1118"/>
      <c r="H81" s="1118"/>
      <c r="I81" s="1118"/>
      <c r="J81" s="1118"/>
      <c r="K81" s="1118"/>
      <c r="L81" s="1118"/>
      <c r="M81" s="1118"/>
      <c r="N81" s="1118"/>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c r="Q84" s="232"/>
    </row>
    <row r="85" spans="1:32" ht="12" customHeight="1">
      <c r="B85" s="55"/>
      <c r="C85" s="79" t="s">
        <v>2591</v>
      </c>
      <c r="D85" s="62" t="s">
        <v>2011</v>
      </c>
      <c r="E85" s="62"/>
      <c r="F85" s="62"/>
      <c r="G85" s="62"/>
      <c r="H85" s="62"/>
      <c r="I85" s="62"/>
      <c r="J85" s="62"/>
      <c r="K85" s="62"/>
      <c r="L85" s="38"/>
      <c r="M85" s="38"/>
      <c r="O85" s="79" t="s">
        <v>2591</v>
      </c>
      <c r="P85" s="1574"/>
      <c r="Q85" s="232"/>
    </row>
    <row r="86" spans="1:32" ht="12" customHeight="1">
      <c r="B86" s="55"/>
      <c r="C86" s="79" t="s">
        <v>2592</v>
      </c>
      <c r="D86" s="62" t="s">
        <v>2012</v>
      </c>
      <c r="E86" s="62"/>
      <c r="F86" s="62"/>
      <c r="G86" s="62"/>
      <c r="H86" s="62"/>
      <c r="I86" s="62"/>
      <c r="J86" s="62"/>
      <c r="K86" s="62"/>
      <c r="L86" s="38"/>
      <c r="M86" s="38"/>
      <c r="O86" s="79" t="s">
        <v>2592</v>
      </c>
      <c r="P86" s="1574"/>
      <c r="Q86" s="232"/>
    </row>
    <row r="87" spans="1:32" ht="11.25" customHeight="1">
      <c r="B87" s="191" t="s">
        <v>2738</v>
      </c>
      <c r="D87" s="191"/>
      <c r="E87" s="191"/>
      <c r="F87" s="191"/>
      <c r="G87" s="191"/>
      <c r="H87" s="48"/>
      <c r="I87" s="180"/>
      <c r="J87" s="180"/>
      <c r="K87" s="180"/>
      <c r="L87" s="848"/>
      <c r="M87" s="848"/>
      <c r="N87" s="848"/>
      <c r="O87" s="848"/>
      <c r="P87" s="848"/>
      <c r="Q87" s="60"/>
    </row>
    <row r="88" spans="1:32" ht="13.15" customHeight="1">
      <c r="A88" s="1578"/>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2739</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3795</v>
      </c>
      <c r="C92" s="48"/>
      <c r="D92" s="856"/>
      <c r="E92" s="856"/>
      <c r="F92" s="856"/>
      <c r="G92" s="856"/>
      <c r="H92" s="856"/>
      <c r="I92" s="856"/>
      <c r="J92" s="856"/>
      <c r="K92" s="856"/>
      <c r="L92" s="856"/>
      <c r="M92" s="856"/>
      <c r="O92" s="181" t="s">
        <v>2740</v>
      </c>
      <c r="P92" s="1114"/>
      <c r="Q92" s="1119"/>
    </row>
    <row r="93" spans="1:32" ht="6.6" customHeight="1"/>
    <row r="94" spans="1:32" ht="12" customHeight="1">
      <c r="B94" s="55" t="s">
        <v>2863</v>
      </c>
      <c r="C94" s="62" t="s">
        <v>3937</v>
      </c>
      <c r="D94" s="183"/>
      <c r="E94" s="183"/>
      <c r="F94" s="183"/>
      <c r="G94" s="183"/>
      <c r="H94" s="183"/>
      <c r="I94" s="50"/>
      <c r="J94" s="50"/>
      <c r="K94" s="50"/>
      <c r="L94" s="803" t="s">
        <v>2863</v>
      </c>
      <c r="M94" s="1584" t="s">
        <v>4069</v>
      </c>
      <c r="N94" s="1585"/>
      <c r="O94" s="1585"/>
      <c r="P94" s="1586"/>
      <c r="Q94" s="232"/>
    </row>
    <row r="95" spans="1:32" ht="12" customHeight="1">
      <c r="B95" s="55" t="s">
        <v>2866</v>
      </c>
      <c r="C95" s="62" t="s">
        <v>2141</v>
      </c>
      <c r="D95" s="183"/>
      <c r="E95" s="183"/>
      <c r="F95" s="183"/>
      <c r="G95" s="183"/>
      <c r="H95" s="183"/>
      <c r="I95" s="50"/>
      <c r="J95" s="50"/>
      <c r="K95" s="183"/>
      <c r="L95" s="183"/>
      <c r="M95" s="853"/>
      <c r="O95" s="803" t="s">
        <v>2866</v>
      </c>
      <c r="P95" s="1574" t="s">
        <v>3980</v>
      </c>
      <c r="Q95" s="352"/>
    </row>
    <row r="96" spans="1:32" ht="12" customHeight="1">
      <c r="B96" s="55" t="s">
        <v>1145</v>
      </c>
      <c r="C96" s="62" t="s">
        <v>186</v>
      </c>
      <c r="D96" s="183"/>
      <c r="E96" s="183"/>
      <c r="F96" s="183"/>
      <c r="G96" s="183"/>
      <c r="H96" s="183"/>
      <c r="I96" s="50"/>
      <c r="J96" s="50"/>
      <c r="K96" s="183"/>
      <c r="L96" s="853"/>
      <c r="M96" s="853"/>
      <c r="O96" s="803" t="s">
        <v>1145</v>
      </c>
      <c r="P96" s="1574" t="s">
        <v>3980</v>
      </c>
      <c r="Q96" s="232"/>
    </row>
    <row r="97" spans="2:17" ht="12" customHeight="1">
      <c r="B97" s="55"/>
      <c r="C97" s="78" t="s">
        <v>2590</v>
      </c>
      <c r="D97" s="62" t="s">
        <v>3938</v>
      </c>
      <c r="E97" s="183"/>
      <c r="F97" s="183"/>
      <c r="G97" s="183"/>
      <c r="H97" s="183"/>
      <c r="I97" s="50"/>
      <c r="J97" s="50"/>
      <c r="K97" s="183"/>
      <c r="L97" s="79" t="s">
        <v>2590</v>
      </c>
      <c r="M97" s="1584"/>
      <c r="N97" s="1585"/>
      <c r="O97" s="1585"/>
      <c r="P97" s="1586"/>
      <c r="Q97" s="352"/>
    </row>
    <row r="98" spans="2:17" ht="12" customHeight="1">
      <c r="B98" s="189"/>
      <c r="C98" s="79" t="s">
        <v>2591</v>
      </c>
      <c r="D98" s="44" t="s">
        <v>3645</v>
      </c>
      <c r="E98" s="50"/>
      <c r="F98" s="50"/>
      <c r="G98" s="50"/>
      <c r="H98" s="62"/>
      <c r="I98" s="50"/>
      <c r="J98" s="50"/>
      <c r="K98" s="183"/>
      <c r="L98" s="853"/>
      <c r="M98" s="853"/>
      <c r="O98" s="803" t="s">
        <v>2591</v>
      </c>
      <c r="P98" s="1591"/>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7"/>
      <c r="E100" s="1598"/>
      <c r="F100" s="1598"/>
      <c r="G100" s="1598"/>
      <c r="H100" s="1598"/>
      <c r="I100" s="1598"/>
      <c r="J100" s="1598"/>
      <c r="K100" s="1598"/>
      <c r="L100" s="1598"/>
      <c r="M100" s="1598"/>
      <c r="N100" s="1598"/>
      <c r="O100" s="1599"/>
      <c r="P100" s="856"/>
      <c r="Q100" s="848"/>
    </row>
    <row r="101" spans="2:17" ht="12" customHeight="1">
      <c r="B101" s="55" t="s">
        <v>3005</v>
      </c>
      <c r="C101" s="62" t="s">
        <v>1815</v>
      </c>
      <c r="D101" s="183"/>
      <c r="E101" s="183"/>
      <c r="F101" s="183"/>
      <c r="G101" s="183"/>
      <c r="H101" s="183"/>
      <c r="I101" s="50"/>
      <c r="J101" s="50"/>
      <c r="K101" s="183"/>
      <c r="L101" s="853"/>
      <c r="M101" s="853"/>
      <c r="N101" s="853"/>
      <c r="O101" s="803" t="s">
        <v>3005</v>
      </c>
    </row>
    <row r="102" spans="2:17" ht="12" customHeight="1">
      <c r="B102" s="55"/>
      <c r="C102" s="79" t="s">
        <v>2590</v>
      </c>
      <c r="D102" s="62" t="s">
        <v>184</v>
      </c>
      <c r="E102" s="183"/>
      <c r="F102" s="183"/>
      <c r="G102" s="183"/>
      <c r="H102" s="183"/>
      <c r="I102" s="50"/>
      <c r="J102" s="50"/>
      <c r="K102" s="183"/>
      <c r="L102" s="853"/>
      <c r="M102" s="853"/>
      <c r="O102" s="79" t="s">
        <v>2590</v>
      </c>
      <c r="P102" s="1574" t="s">
        <v>3980</v>
      </c>
      <c r="Q102" s="232"/>
    </row>
    <row r="103" spans="2:17" ht="12" customHeight="1">
      <c r="B103" s="55"/>
      <c r="C103" s="79" t="s">
        <v>2591</v>
      </c>
      <c r="D103" s="62" t="s">
        <v>1816</v>
      </c>
      <c r="E103" s="183"/>
      <c r="F103" s="183"/>
      <c r="G103" s="183"/>
      <c r="H103" s="50"/>
      <c r="I103" s="50"/>
      <c r="J103" s="50"/>
      <c r="K103" s="183"/>
      <c r="L103" s="853"/>
      <c r="M103" s="853"/>
      <c r="O103" s="79" t="s">
        <v>2591</v>
      </c>
      <c r="P103" s="1591" t="s">
        <v>3980</v>
      </c>
      <c r="Q103" s="352"/>
    </row>
    <row r="104" spans="2:17" ht="12" customHeight="1">
      <c r="B104" s="55"/>
      <c r="C104" s="79"/>
      <c r="D104" s="62" t="s">
        <v>3765</v>
      </c>
      <c r="E104" s="728" t="s">
        <v>3420</v>
      </c>
      <c r="F104" s="62" t="s">
        <v>3766</v>
      </c>
      <c r="G104" s="50"/>
      <c r="H104" s="62"/>
      <c r="I104" s="50"/>
      <c r="J104" s="50"/>
      <c r="K104" s="183"/>
      <c r="L104" s="853"/>
      <c r="M104" s="853"/>
      <c r="O104" s="728" t="s">
        <v>3420</v>
      </c>
      <c r="P104" s="1600"/>
      <c r="Q104" s="448"/>
    </row>
    <row r="105" spans="2:17" ht="12" customHeight="1">
      <c r="B105" s="55"/>
      <c r="C105" s="79"/>
      <c r="E105" s="728" t="s">
        <v>3421</v>
      </c>
      <c r="F105" s="62" t="s">
        <v>3767</v>
      </c>
      <c r="G105" s="50"/>
      <c r="H105" s="62"/>
      <c r="I105" s="50"/>
      <c r="J105" s="50"/>
      <c r="K105" s="183"/>
      <c r="L105" s="853"/>
      <c r="M105" s="853"/>
      <c r="O105" s="728" t="s">
        <v>3421</v>
      </c>
      <c r="P105" s="1591"/>
      <c r="Q105" s="352"/>
    </row>
    <row r="106" spans="2:17" ht="12" customHeight="1">
      <c r="B106" s="55"/>
      <c r="C106" s="79"/>
      <c r="E106" s="728" t="s">
        <v>3422</v>
      </c>
      <c r="F106" s="62" t="s">
        <v>3768</v>
      </c>
      <c r="G106" s="50"/>
      <c r="H106" s="62"/>
      <c r="I106" s="50"/>
      <c r="J106" s="50"/>
      <c r="K106" s="183"/>
      <c r="L106" s="853"/>
      <c r="M106" s="853"/>
      <c r="O106" s="728" t="s">
        <v>3422</v>
      </c>
      <c r="P106" s="1591"/>
      <c r="Q106" s="352"/>
    </row>
    <row r="107" spans="2:17" ht="12" customHeight="1">
      <c r="B107" s="55"/>
      <c r="C107" s="79" t="s">
        <v>2592</v>
      </c>
      <c r="D107" s="62" t="s">
        <v>1817</v>
      </c>
      <c r="E107" s="183"/>
      <c r="F107" s="183"/>
      <c r="G107" s="183"/>
      <c r="H107" s="62"/>
      <c r="I107" s="50"/>
      <c r="J107" s="50"/>
      <c r="K107" s="183"/>
      <c r="L107" s="853"/>
      <c r="M107" s="853"/>
      <c r="O107" s="79" t="s">
        <v>2592</v>
      </c>
      <c r="P107" s="1574" t="s">
        <v>3980</v>
      </c>
      <c r="Q107" s="232"/>
    </row>
    <row r="108" spans="2:17" ht="12" customHeight="1">
      <c r="B108" s="55"/>
      <c r="C108" s="79"/>
      <c r="D108" s="62" t="s">
        <v>3765</v>
      </c>
      <c r="E108" s="728" t="s">
        <v>3420</v>
      </c>
      <c r="F108" s="62" t="s">
        <v>3769</v>
      </c>
      <c r="G108" s="50"/>
      <c r="H108" s="62"/>
      <c r="I108" s="50"/>
      <c r="J108" s="50"/>
      <c r="K108" s="183"/>
      <c r="L108" s="853"/>
      <c r="O108" s="728" t="s">
        <v>3420</v>
      </c>
      <c r="P108" s="1600"/>
      <c r="Q108" s="353"/>
    </row>
    <row r="109" spans="2:17" ht="12" customHeight="1">
      <c r="B109" s="55"/>
      <c r="C109" s="79"/>
      <c r="E109" s="728" t="s">
        <v>3421</v>
      </c>
      <c r="F109" s="62" t="s">
        <v>3770</v>
      </c>
      <c r="G109" s="50"/>
      <c r="H109" s="62"/>
      <c r="I109" s="50"/>
      <c r="J109" s="50"/>
      <c r="K109" s="183"/>
      <c r="L109" s="853"/>
      <c r="O109" s="728" t="s">
        <v>3421</v>
      </c>
      <c r="P109" s="1591"/>
      <c r="Q109" s="352"/>
    </row>
    <row r="110" spans="2:17" ht="12" customHeight="1">
      <c r="B110" s="55"/>
      <c r="C110" s="79"/>
      <c r="E110" s="728" t="s">
        <v>3422</v>
      </c>
      <c r="F110" s="62" t="s">
        <v>3768</v>
      </c>
      <c r="G110" s="50"/>
      <c r="H110" s="62"/>
      <c r="I110" s="50"/>
      <c r="J110" s="50"/>
      <c r="K110" s="183"/>
      <c r="L110" s="853"/>
      <c r="O110" s="728" t="s">
        <v>3422</v>
      </c>
      <c r="P110" s="1591"/>
      <c r="Q110" s="352"/>
    </row>
    <row r="111" spans="2:17" ht="12" customHeight="1">
      <c r="B111" s="44"/>
      <c r="C111" s="79" t="s">
        <v>3332</v>
      </c>
      <c r="D111" s="62" t="s">
        <v>3771</v>
      </c>
      <c r="E111" s="183"/>
      <c r="F111" s="183"/>
      <c r="G111" s="183"/>
      <c r="H111" s="183"/>
      <c r="I111" s="50"/>
      <c r="J111" s="50"/>
      <c r="K111" s="183"/>
      <c r="L111" s="853"/>
      <c r="M111" s="853"/>
      <c r="O111" s="79" t="s">
        <v>3332</v>
      </c>
      <c r="P111" s="1574" t="s">
        <v>3980</v>
      </c>
      <c r="Q111" s="232"/>
    </row>
    <row r="112" spans="2:17" ht="12" customHeight="1">
      <c r="B112" s="55" t="s">
        <v>2588</v>
      </c>
      <c r="C112" s="196" t="s">
        <v>3397</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3398</v>
      </c>
      <c r="E113" s="183"/>
      <c r="F113" s="1574" t="s">
        <v>3980</v>
      </c>
      <c r="G113" s="232"/>
      <c r="H113" s="79" t="s">
        <v>3332</v>
      </c>
      <c r="I113" s="62" t="s">
        <v>2156</v>
      </c>
      <c r="J113" s="1574" t="s">
        <v>3980</v>
      </c>
      <c r="K113" s="232"/>
      <c r="L113" s="803" t="s">
        <v>107</v>
      </c>
      <c r="M113" s="62" t="s">
        <v>2157</v>
      </c>
      <c r="O113" s="1574" t="s">
        <v>3980</v>
      </c>
      <c r="P113" s="232"/>
    </row>
    <row r="114" spans="1:31" ht="12" customHeight="1">
      <c r="B114" s="44"/>
      <c r="C114" s="79" t="s">
        <v>2591</v>
      </c>
      <c r="D114" s="62" t="s">
        <v>3503</v>
      </c>
      <c r="E114" s="183"/>
      <c r="F114" s="1574" t="s">
        <v>3980</v>
      </c>
      <c r="G114" s="232"/>
      <c r="H114" s="79" t="s">
        <v>2153</v>
      </c>
      <c r="I114" s="62" t="s">
        <v>3773</v>
      </c>
      <c r="J114" s="1601" t="s">
        <v>3980</v>
      </c>
      <c r="K114" s="663"/>
      <c r="L114" s="803" t="s">
        <v>743</v>
      </c>
      <c r="M114" s="65" t="s">
        <v>3774</v>
      </c>
      <c r="O114" s="1601" t="s">
        <v>3980</v>
      </c>
      <c r="P114" s="663"/>
    </row>
    <row r="115" spans="1:31" ht="12" customHeight="1">
      <c r="B115" s="44"/>
      <c r="C115" s="79" t="s">
        <v>2592</v>
      </c>
      <c r="D115" s="62" t="s">
        <v>3772</v>
      </c>
      <c r="E115" s="183"/>
      <c r="F115" s="1574" t="s">
        <v>3980</v>
      </c>
      <c r="G115" s="232"/>
      <c r="H115" s="79" t="s">
        <v>2154</v>
      </c>
      <c r="I115" s="62" t="s">
        <v>2155</v>
      </c>
      <c r="J115" s="1601" t="s">
        <v>3980</v>
      </c>
      <c r="K115" s="663"/>
      <c r="L115" s="803" t="s">
        <v>744</v>
      </c>
      <c r="M115" s="65" t="s">
        <v>3775</v>
      </c>
      <c r="O115" s="1601" t="s">
        <v>3980</v>
      </c>
      <c r="P115" s="663"/>
    </row>
    <row r="116" spans="1:31" ht="12" customHeight="1">
      <c r="B116" s="44"/>
      <c r="C116" s="803" t="s">
        <v>745</v>
      </c>
      <c r="D116" s="62" t="s">
        <v>3776</v>
      </c>
      <c r="E116" s="183"/>
      <c r="F116" s="183"/>
      <c r="G116" s="183"/>
      <c r="H116" s="183"/>
      <c r="J116" s="1584"/>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3"/>
      <c r="O117" s="803" t="s">
        <v>2589</v>
      </c>
      <c r="P117" s="1574" t="s">
        <v>1469</v>
      </c>
      <c r="Q117" s="232"/>
    </row>
    <row r="118" spans="1:31" ht="12" customHeight="1">
      <c r="A118" s="194"/>
      <c r="B118" s="50"/>
      <c r="C118" s="79" t="s">
        <v>2590</v>
      </c>
      <c r="D118" s="62" t="s">
        <v>995</v>
      </c>
      <c r="E118" s="183"/>
      <c r="F118" s="183"/>
      <c r="G118" s="183"/>
      <c r="H118" s="183"/>
      <c r="O118" s="79" t="s">
        <v>2590</v>
      </c>
      <c r="P118" s="1574"/>
      <c r="Q118" s="232"/>
    </row>
    <row r="119" spans="1:31" ht="12" customHeight="1">
      <c r="A119" s="194"/>
      <c r="B119" s="180"/>
      <c r="C119" s="79" t="s">
        <v>2591</v>
      </c>
      <c r="D119" s="62" t="s">
        <v>681</v>
      </c>
      <c r="E119" s="62"/>
      <c r="F119" s="62"/>
      <c r="G119" s="62"/>
      <c r="H119" s="62"/>
      <c r="I119" s="50"/>
      <c r="J119" s="50"/>
      <c r="K119" s="62"/>
      <c r="L119" s="62"/>
      <c r="M119" s="62"/>
      <c r="O119" s="79" t="s">
        <v>2591</v>
      </c>
      <c r="P119" s="1574"/>
      <c r="Q119" s="232"/>
    </row>
    <row r="120" spans="1:31" ht="12" customHeight="1">
      <c r="A120" s="194"/>
      <c r="B120" s="180"/>
      <c r="C120" s="79" t="s">
        <v>2592</v>
      </c>
      <c r="D120" s="62" t="s">
        <v>951</v>
      </c>
      <c r="E120" s="62"/>
      <c r="F120" s="62"/>
      <c r="G120" s="62"/>
      <c r="H120" s="62"/>
      <c r="I120" s="50"/>
      <c r="J120" s="50"/>
      <c r="K120" s="62"/>
      <c r="L120" s="62"/>
      <c r="M120" s="62"/>
      <c r="O120" s="79" t="s">
        <v>2592</v>
      </c>
      <c r="P120" s="1574"/>
      <c r="Q120" s="232"/>
    </row>
    <row r="121" spans="1:31" ht="12" customHeight="1">
      <c r="B121" s="55" t="s">
        <v>2826</v>
      </c>
      <c r="C121" s="62" t="s">
        <v>2607</v>
      </c>
      <c r="D121" s="183"/>
      <c r="E121" s="183"/>
      <c r="F121" s="183"/>
      <c r="G121" s="183"/>
      <c r="H121" s="183"/>
      <c r="I121" s="50"/>
      <c r="J121" s="50"/>
      <c r="K121" s="183"/>
      <c r="L121" s="183"/>
      <c r="M121" s="853"/>
      <c r="O121" s="803" t="s">
        <v>2826</v>
      </c>
      <c r="P121" s="1574" t="s">
        <v>1469</v>
      </c>
      <c r="Q121" s="232"/>
    </row>
    <row r="122" spans="1:31" ht="4.9000000000000004" customHeight="1"/>
    <row r="123" spans="1:31" ht="11.25" customHeight="1">
      <c r="B123" s="191" t="s">
        <v>2738</v>
      </c>
      <c r="D123" s="191"/>
      <c r="E123" s="191"/>
      <c r="F123" s="191"/>
      <c r="G123" s="191"/>
      <c r="H123" s="48"/>
      <c r="I123" s="180"/>
      <c r="J123" s="180"/>
      <c r="K123" s="180"/>
      <c r="L123" s="848"/>
      <c r="M123" s="848"/>
      <c r="N123" s="848"/>
      <c r="O123" s="848"/>
      <c r="P123" s="848"/>
      <c r="Q123" s="60"/>
    </row>
    <row r="124" spans="1:31" ht="12" customHeight="1">
      <c r="A124" s="1578"/>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2739</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3796</v>
      </c>
      <c r="C128" s="857"/>
      <c r="D128" s="856"/>
      <c r="E128" s="856"/>
      <c r="F128" s="856"/>
      <c r="G128" s="856"/>
      <c r="H128" s="856"/>
      <c r="I128" s="856"/>
      <c r="J128" s="856"/>
      <c r="K128" s="856"/>
      <c r="O128" s="181" t="s">
        <v>2740</v>
      </c>
      <c r="P128" s="1114"/>
      <c r="Q128" s="1119"/>
    </row>
    <row r="129" spans="1:31" ht="10.9" customHeight="1">
      <c r="B129" s="55" t="s">
        <v>2863</v>
      </c>
      <c r="C129" s="62" t="s">
        <v>3777</v>
      </c>
      <c r="D129" s="62"/>
      <c r="E129" s="62"/>
      <c r="F129" s="62"/>
      <c r="G129" s="62"/>
      <c r="H129" s="62"/>
      <c r="N129" s="62"/>
      <c r="O129" s="803" t="s">
        <v>2863</v>
      </c>
      <c r="P129" s="1574" t="s">
        <v>3981</v>
      </c>
      <c r="Q129" s="232"/>
    </row>
    <row r="130" spans="1:31" ht="12" customHeight="1">
      <c r="A130" s="189"/>
      <c r="B130" s="55" t="s">
        <v>2866</v>
      </c>
      <c r="C130" s="190" t="s">
        <v>185</v>
      </c>
      <c r="D130" s="190"/>
      <c r="E130" s="190"/>
      <c r="F130" s="190"/>
      <c r="G130" s="190"/>
      <c r="H130" s="190"/>
      <c r="M130" s="803" t="s">
        <v>2866</v>
      </c>
      <c r="N130" s="1602" t="s">
        <v>3985</v>
      </c>
      <c r="O130" s="1603"/>
      <c r="P130" s="1130"/>
      <c r="Q130" s="1131"/>
    </row>
    <row r="131" spans="1:31" ht="12" customHeight="1">
      <c r="A131" s="189"/>
      <c r="B131" s="55" t="s">
        <v>1145</v>
      </c>
      <c r="C131" s="190" t="s">
        <v>952</v>
      </c>
      <c r="D131" s="190"/>
      <c r="E131" s="190"/>
      <c r="F131" s="190"/>
      <c r="G131" s="190"/>
      <c r="H131" s="190"/>
      <c r="J131" s="803" t="s">
        <v>1145</v>
      </c>
      <c r="K131" s="1604" t="s">
        <v>3996</v>
      </c>
      <c r="L131" s="1605"/>
      <c r="M131" s="1605"/>
      <c r="N131" s="1605"/>
      <c r="O131" s="1605"/>
      <c r="P131" s="1606"/>
      <c r="Q131" s="232"/>
    </row>
    <row r="132" spans="1:31" ht="12" customHeight="1">
      <c r="B132" s="191" t="s">
        <v>2738</v>
      </c>
      <c r="D132" s="191"/>
      <c r="E132" s="191"/>
      <c r="F132" s="191"/>
      <c r="G132" s="191"/>
      <c r="H132" s="48"/>
      <c r="I132" s="180"/>
      <c r="J132" s="180"/>
      <c r="K132" s="180"/>
      <c r="L132" s="848"/>
      <c r="M132" s="848"/>
      <c r="N132" s="848"/>
      <c r="O132" s="848"/>
      <c r="P132" s="848"/>
      <c r="Q132" s="60"/>
    </row>
    <row r="133" spans="1:31" ht="11.45" customHeight="1">
      <c r="A133" s="1578" t="s">
        <v>4041</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2739</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3797</v>
      </c>
      <c r="C137" s="857"/>
      <c r="D137" s="856"/>
      <c r="E137" s="856"/>
      <c r="F137" s="856"/>
      <c r="G137" s="856"/>
      <c r="H137" s="856"/>
      <c r="I137" s="856"/>
      <c r="J137" s="856"/>
      <c r="K137" s="856"/>
      <c r="L137" s="856"/>
      <c r="M137" s="856"/>
      <c r="O137" s="181" t="s">
        <v>2740</v>
      </c>
      <c r="P137" s="1114"/>
      <c r="Q137" s="1119"/>
    </row>
    <row r="138" spans="1:31" ht="12" customHeight="1">
      <c r="B138" s="192" t="s">
        <v>2863</v>
      </c>
      <c r="C138" s="190" t="s">
        <v>104</v>
      </c>
      <c r="D138" s="190"/>
      <c r="E138" s="190"/>
      <c r="F138" s="190"/>
      <c r="G138" s="190"/>
      <c r="H138" s="190"/>
      <c r="I138" s="190"/>
      <c r="J138" s="190"/>
      <c r="K138" s="190"/>
      <c r="L138" s="197"/>
      <c r="M138" s="197"/>
      <c r="N138" s="197"/>
      <c r="O138" s="219" t="s">
        <v>2863</v>
      </c>
      <c r="P138" s="1574" t="s">
        <v>3981</v>
      </c>
      <c r="Q138" s="232"/>
    </row>
    <row r="139" spans="1:31" ht="22.15" customHeight="1">
      <c r="B139" s="192" t="s">
        <v>2866</v>
      </c>
      <c r="C139" s="1118" t="s">
        <v>3519</v>
      </c>
      <c r="D139" s="1118"/>
      <c r="E139" s="1118"/>
      <c r="F139" s="1118"/>
      <c r="G139" s="1118"/>
      <c r="H139" s="1118"/>
      <c r="I139" s="1118"/>
      <c r="J139" s="1118"/>
      <c r="K139" s="1118"/>
      <c r="L139" s="1118"/>
      <c r="M139" s="1118"/>
      <c r="N139" s="1118"/>
      <c r="O139" s="219" t="s">
        <v>2866</v>
      </c>
      <c r="P139" s="1574"/>
      <c r="Q139" s="232"/>
    </row>
    <row r="140" spans="1:31" ht="21.75" customHeight="1">
      <c r="B140" s="192" t="s">
        <v>1145</v>
      </c>
      <c r="C140" s="1118" t="s">
        <v>3779</v>
      </c>
      <c r="D140" s="1118"/>
      <c r="E140" s="1118"/>
      <c r="F140" s="1118"/>
      <c r="G140" s="1118"/>
      <c r="H140" s="1118"/>
      <c r="I140" s="1118"/>
      <c r="J140" s="1118"/>
      <c r="K140" s="1118"/>
      <c r="L140" s="1118"/>
      <c r="M140" s="1118"/>
      <c r="N140" s="1118"/>
      <c r="O140" s="219" t="s">
        <v>1145</v>
      </c>
      <c r="P140" s="1574"/>
      <c r="Q140" s="232"/>
    </row>
    <row r="141" spans="1:31" ht="12" customHeight="1">
      <c r="B141" s="191" t="s">
        <v>2738</v>
      </c>
      <c r="D141" s="191"/>
      <c r="E141" s="191"/>
      <c r="F141" s="191"/>
      <c r="G141" s="191"/>
      <c r="H141" s="48"/>
      <c r="I141" s="180"/>
      <c r="J141" s="180"/>
      <c r="K141" s="180"/>
      <c r="L141" s="848"/>
      <c r="M141" s="848"/>
      <c r="N141" s="848"/>
      <c r="O141" s="848"/>
      <c r="P141" s="848"/>
      <c r="Q141" s="60"/>
    </row>
    <row r="142" spans="1:31" ht="11.45" customHeight="1">
      <c r="A142" s="1578"/>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2739</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3798</v>
      </c>
      <c r="C146" s="1120"/>
      <c r="D146" s="1120"/>
      <c r="O146" s="181" t="s">
        <v>2740</v>
      </c>
      <c r="P146" s="1114"/>
      <c r="Q146" s="1119"/>
    </row>
    <row r="147" spans="1:32" ht="12" customHeight="1">
      <c r="B147" s="192" t="s">
        <v>2863</v>
      </c>
      <c r="C147" s="197" t="s">
        <v>653</v>
      </c>
      <c r="D147" s="197"/>
      <c r="E147" s="197"/>
      <c r="F147" s="197"/>
      <c r="G147" s="197"/>
      <c r="H147" s="197"/>
      <c r="I147" s="197"/>
      <c r="J147" s="197"/>
      <c r="K147" s="197"/>
      <c r="L147" s="197"/>
      <c r="M147" s="197"/>
      <c r="O147" s="219" t="s">
        <v>2863</v>
      </c>
      <c r="P147" s="1574" t="s">
        <v>3981</v>
      </c>
      <c r="Q147" s="232"/>
    </row>
    <row r="148" spans="1:32" ht="12" customHeight="1">
      <c r="B148" s="192" t="s">
        <v>2866</v>
      </c>
      <c r="C148" s="197" t="s">
        <v>3780</v>
      </c>
      <c r="D148" s="197"/>
      <c r="E148" s="197"/>
      <c r="F148" s="197"/>
      <c r="G148" s="197"/>
      <c r="H148" s="197"/>
      <c r="I148" s="197"/>
      <c r="J148" s="197"/>
      <c r="K148" s="197"/>
      <c r="L148" s="197"/>
      <c r="M148" s="197"/>
      <c r="O148" s="219" t="s">
        <v>2866</v>
      </c>
      <c r="P148" s="1574" t="s">
        <v>3981</v>
      </c>
      <c r="Q148" s="232"/>
    </row>
    <row r="149" spans="1:32" ht="12" customHeight="1">
      <c r="B149" s="192" t="s">
        <v>1145</v>
      </c>
      <c r="C149" s="197" t="s">
        <v>3781</v>
      </c>
      <c r="D149" s="197"/>
      <c r="E149" s="197"/>
      <c r="F149" s="197"/>
      <c r="G149" s="197"/>
      <c r="H149" s="197"/>
      <c r="I149" s="197"/>
      <c r="J149" s="197"/>
      <c r="K149" s="197"/>
      <c r="L149" s="197"/>
      <c r="M149" s="197"/>
      <c r="O149" s="219" t="s">
        <v>1145</v>
      </c>
      <c r="P149" s="1574" t="s">
        <v>3981</v>
      </c>
      <c r="Q149" s="232"/>
    </row>
    <row r="150" spans="1:32" ht="12" customHeight="1">
      <c r="B150" s="192"/>
      <c r="C150" s="197" t="s">
        <v>3765</v>
      </c>
      <c r="D150" s="197"/>
      <c r="E150" s="728" t="s">
        <v>2590</v>
      </c>
      <c r="F150" s="197" t="s">
        <v>3782</v>
      </c>
      <c r="G150" s="197"/>
      <c r="H150" s="197"/>
      <c r="I150" s="197"/>
      <c r="J150" s="197"/>
      <c r="K150" s="197"/>
      <c r="L150" s="197"/>
      <c r="M150" s="197"/>
      <c r="O150" s="728" t="s">
        <v>2590</v>
      </c>
      <c r="P150" s="1574" t="s">
        <v>3981</v>
      </c>
      <c r="Q150" s="232"/>
    </row>
    <row r="151" spans="1:32" ht="12" customHeight="1">
      <c r="B151" s="192"/>
      <c r="C151" s="197"/>
      <c r="D151" s="197"/>
      <c r="E151" s="728" t="s">
        <v>2591</v>
      </c>
      <c r="F151" s="197" t="s">
        <v>3783</v>
      </c>
      <c r="G151" s="197"/>
      <c r="H151" s="197"/>
      <c r="I151" s="197"/>
      <c r="J151" s="197"/>
      <c r="K151" s="197"/>
      <c r="L151" s="197"/>
      <c r="M151" s="197"/>
      <c r="O151" s="728" t="s">
        <v>2591</v>
      </c>
      <c r="P151" s="1574" t="s">
        <v>3981</v>
      </c>
      <c r="Q151" s="232"/>
    </row>
    <row r="152" spans="1:32" s="182" customFormat="1" ht="21.75" customHeight="1">
      <c r="B152" s="192"/>
      <c r="C152" s="197"/>
      <c r="D152" s="197"/>
      <c r="E152" s="219" t="s">
        <v>2592</v>
      </c>
      <c r="F152" s="1118" t="s">
        <v>3784</v>
      </c>
      <c r="G152" s="1118"/>
      <c r="H152" s="1118"/>
      <c r="I152" s="1118"/>
      <c r="J152" s="1118"/>
      <c r="K152" s="1118"/>
      <c r="L152" s="1118"/>
      <c r="M152" s="1118"/>
      <c r="N152" s="1118"/>
      <c r="O152" s="219" t="s">
        <v>2592</v>
      </c>
      <c r="P152" s="1596" t="s">
        <v>3981</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4" t="s">
        <v>3981</v>
      </c>
      <c r="Q153" s="232"/>
    </row>
    <row r="154" spans="1:32" s="182" customFormat="1" ht="21.75" customHeight="1">
      <c r="B154" s="192"/>
      <c r="C154" s="197"/>
      <c r="D154" s="197"/>
      <c r="E154" s="219" t="s">
        <v>2153</v>
      </c>
      <c r="F154" s="1118" t="s">
        <v>3786</v>
      </c>
      <c r="G154" s="1118"/>
      <c r="H154" s="1118"/>
      <c r="I154" s="1118"/>
      <c r="J154" s="1118"/>
      <c r="K154" s="1118"/>
      <c r="L154" s="1118"/>
      <c r="M154" s="1118"/>
      <c r="N154" s="1118"/>
      <c r="O154" s="219" t="s">
        <v>2153</v>
      </c>
      <c r="P154" s="1596"/>
      <c r="Q154" s="354"/>
      <c r="AE154" s="806"/>
      <c r="AF154" s="806"/>
    </row>
    <row r="155" spans="1:32" ht="21.75" customHeight="1">
      <c r="B155" s="192" t="s">
        <v>3005</v>
      </c>
      <c r="C155" s="1118" t="s">
        <v>3787</v>
      </c>
      <c r="D155" s="1118"/>
      <c r="E155" s="1118"/>
      <c r="F155" s="1118"/>
      <c r="G155" s="1118"/>
      <c r="H155" s="1118"/>
      <c r="I155" s="1118"/>
      <c r="J155" s="1118"/>
      <c r="K155" s="1118"/>
      <c r="L155" s="1118"/>
      <c r="M155" s="1118"/>
      <c r="N155" s="1118"/>
      <c r="O155" s="219" t="s">
        <v>3005</v>
      </c>
      <c r="P155" s="1574" t="s">
        <v>3981</v>
      </c>
      <c r="Q155" s="232"/>
    </row>
    <row r="156" spans="1:32" ht="12" customHeight="1">
      <c r="B156" s="192" t="s">
        <v>2588</v>
      </c>
      <c r="C156" s="197" t="s">
        <v>3353</v>
      </c>
      <c r="D156" s="197"/>
      <c r="E156" s="197"/>
      <c r="F156" s="197"/>
      <c r="G156" s="197"/>
      <c r="H156" s="197"/>
      <c r="I156" s="197"/>
      <c r="J156" s="197"/>
      <c r="K156" s="197"/>
      <c r="L156" s="197"/>
      <c r="M156" s="197"/>
      <c r="O156" s="219" t="s">
        <v>2588</v>
      </c>
      <c r="P156" s="1574" t="s">
        <v>3981</v>
      </c>
      <c r="Q156" s="232"/>
    </row>
    <row r="157" spans="1:32" ht="12" customHeight="1">
      <c r="B157" s="191" t="s">
        <v>2738</v>
      </c>
      <c r="D157" s="191"/>
      <c r="E157" s="191"/>
      <c r="F157" s="191"/>
      <c r="G157" s="191"/>
      <c r="H157" s="48"/>
      <c r="I157" s="180"/>
      <c r="J157" s="180"/>
      <c r="K157" s="180"/>
      <c r="L157" s="848"/>
      <c r="M157" s="848"/>
      <c r="N157" s="848"/>
      <c r="O157" s="848"/>
      <c r="P157" s="848"/>
      <c r="Q157" s="60"/>
    </row>
    <row r="158" spans="1:32" ht="11.45" customHeight="1">
      <c r="A158" s="1578"/>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2739</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3799</v>
      </c>
      <c r="C162" s="857"/>
      <c r="D162" s="856"/>
      <c r="E162" s="198"/>
      <c r="F162" s="198"/>
      <c r="G162" s="856"/>
      <c r="J162" s="1148"/>
      <c r="K162" s="1148"/>
      <c r="L162" s="1148"/>
      <c r="M162" s="1148"/>
      <c r="N162" s="1148"/>
      <c r="O162" s="181" t="s">
        <v>2740</v>
      </c>
      <c r="P162" s="1114"/>
      <c r="Q162" s="1119"/>
    </row>
    <row r="163" spans="1:31" ht="12" customHeight="1">
      <c r="A163" s="189"/>
      <c r="B163" s="55" t="s">
        <v>2863</v>
      </c>
      <c r="C163" s="1118" t="s">
        <v>105</v>
      </c>
      <c r="D163" s="1118"/>
      <c r="E163" s="1118"/>
      <c r="F163" s="1118"/>
      <c r="G163" s="1118"/>
      <c r="H163" s="79" t="s">
        <v>2590</v>
      </c>
      <c r="I163" s="62" t="s">
        <v>187</v>
      </c>
      <c r="J163" s="1584" t="s">
        <v>2711</v>
      </c>
      <c r="K163" s="1585"/>
      <c r="L163" s="1585"/>
      <c r="M163" s="1585"/>
      <c r="N163" s="1586"/>
      <c r="O163" s="79" t="s">
        <v>2590</v>
      </c>
      <c r="P163" s="1574" t="s">
        <v>3980</v>
      </c>
      <c r="Q163" s="232"/>
    </row>
    <row r="164" spans="1:31" ht="12" customHeight="1">
      <c r="A164" s="189"/>
      <c r="B164" s="180"/>
      <c r="C164" s="143"/>
      <c r="D164" s="143"/>
      <c r="E164" s="143"/>
      <c r="F164" s="143"/>
      <c r="H164" s="79" t="s">
        <v>2591</v>
      </c>
      <c r="I164" s="62" t="s">
        <v>2204</v>
      </c>
      <c r="J164" s="1584" t="s">
        <v>4053</v>
      </c>
      <c r="K164" s="1585"/>
      <c r="L164" s="1585"/>
      <c r="M164" s="1585"/>
      <c r="N164" s="1586"/>
      <c r="O164" s="79" t="s">
        <v>2591</v>
      </c>
      <c r="P164" s="1574" t="s">
        <v>3981</v>
      </c>
      <c r="Q164" s="232"/>
    </row>
    <row r="165" spans="1:31" ht="12" customHeight="1">
      <c r="B165" s="191" t="s">
        <v>2738</v>
      </c>
      <c r="D165" s="191"/>
      <c r="E165" s="191"/>
      <c r="F165" s="191"/>
      <c r="G165" s="191"/>
      <c r="J165" s="180"/>
      <c r="K165" s="180"/>
      <c r="L165" s="848"/>
      <c r="M165" s="848"/>
      <c r="N165" s="848"/>
      <c r="O165" s="848"/>
      <c r="P165" s="848"/>
      <c r="Q165" s="60"/>
    </row>
    <row r="166" spans="1:31" ht="11.45" customHeight="1">
      <c r="A166" s="1578"/>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2739</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3800</v>
      </c>
      <c r="C170" s="5"/>
      <c r="D170" s="115"/>
      <c r="E170" s="115"/>
      <c r="F170" s="115"/>
      <c r="G170" s="856"/>
      <c r="H170" s="856"/>
      <c r="I170" s="856"/>
      <c r="J170" s="856"/>
      <c r="K170" s="856"/>
      <c r="L170" s="856"/>
      <c r="M170" s="856"/>
      <c r="O170" s="181" t="s">
        <v>2740</v>
      </c>
      <c r="P170" s="1114"/>
      <c r="Q170" s="1119"/>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74"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t="s">
        <v>3980</v>
      </c>
      <c r="Q173" s="232"/>
    </row>
    <row r="174" spans="1:31" ht="11.45" customHeight="1">
      <c r="A174" s="189"/>
      <c r="B174" s="192" t="s">
        <v>2866</v>
      </c>
      <c r="C174" s="1118" t="s">
        <v>2721</v>
      </c>
      <c r="D174" s="1118"/>
      <c r="E174" s="1118"/>
      <c r="F174" s="1118"/>
      <c r="G174" s="1118"/>
      <c r="H174" s="79" t="s">
        <v>2590</v>
      </c>
      <c r="I174" s="62" t="s">
        <v>894</v>
      </c>
      <c r="J174" s="1584" t="s">
        <v>3991</v>
      </c>
      <c r="K174" s="1585"/>
      <c r="L174" s="1585"/>
      <c r="M174" s="1585"/>
      <c r="N174" s="1586"/>
      <c r="O174" s="79" t="s">
        <v>2030</v>
      </c>
      <c r="P174" s="1574" t="s">
        <v>3981</v>
      </c>
      <c r="Q174" s="232"/>
    </row>
    <row r="175" spans="1:31" ht="11.45" customHeight="1">
      <c r="A175" s="189"/>
      <c r="B175" s="859"/>
      <c r="C175" s="1118"/>
      <c r="D175" s="1118"/>
      <c r="E175" s="1118"/>
      <c r="F175" s="1118"/>
      <c r="G175" s="1118"/>
      <c r="H175" s="79" t="s">
        <v>2591</v>
      </c>
      <c r="I175" s="62" t="s">
        <v>125</v>
      </c>
      <c r="J175" s="1584" t="s">
        <v>3991</v>
      </c>
      <c r="K175" s="1585"/>
      <c r="L175" s="1585"/>
      <c r="M175" s="1585"/>
      <c r="N175" s="1586"/>
      <c r="O175" s="79" t="s">
        <v>2591</v>
      </c>
      <c r="P175" s="1574" t="s">
        <v>3981</v>
      </c>
      <c r="Q175" s="232"/>
    </row>
    <row r="176" spans="1:31" ht="11.25" customHeight="1">
      <c r="B176" s="191" t="s">
        <v>2738</v>
      </c>
      <c r="D176" s="191"/>
      <c r="E176" s="191"/>
      <c r="F176" s="191"/>
      <c r="G176" s="191"/>
      <c r="H176" s="48"/>
      <c r="I176" s="180"/>
      <c r="J176" s="180"/>
      <c r="K176" s="180"/>
      <c r="L176" s="848"/>
      <c r="M176" s="848"/>
      <c r="N176" s="848"/>
      <c r="O176" s="848"/>
      <c r="P176" s="848"/>
      <c r="Q176" s="60"/>
    </row>
    <row r="177" spans="1:32" ht="11.45" customHeight="1">
      <c r="A177" s="1578"/>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2739</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3801</v>
      </c>
      <c r="C181" s="5"/>
      <c r="D181" s="115"/>
      <c r="E181" s="115"/>
      <c r="F181" s="115"/>
      <c r="G181" s="115"/>
      <c r="H181" s="856"/>
      <c r="I181" s="856"/>
      <c r="J181" s="856"/>
      <c r="K181" s="856"/>
      <c r="L181" s="856"/>
      <c r="M181" s="856"/>
      <c r="O181" s="181" t="s">
        <v>2740</v>
      </c>
      <c r="P181" s="1114"/>
      <c r="Q181" s="1119"/>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4" t="s">
        <v>3981</v>
      </c>
      <c r="Q183" s="232"/>
    </row>
    <row r="184" spans="1:32" ht="11.45" customHeight="1">
      <c r="B184" s="55" t="s">
        <v>2866</v>
      </c>
      <c r="C184" s="62" t="s">
        <v>176</v>
      </c>
      <c r="D184" s="62"/>
      <c r="E184" s="62"/>
      <c r="F184" s="62"/>
      <c r="G184" s="62"/>
      <c r="H184" s="62"/>
      <c r="I184" s="50"/>
      <c r="J184" s="50"/>
      <c r="K184" s="50"/>
      <c r="L184" s="190"/>
      <c r="M184" s="190"/>
      <c r="O184" s="219" t="s">
        <v>2866</v>
      </c>
      <c r="P184" s="1574"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3980</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4" t="s">
        <v>3981</v>
      </c>
      <c r="Q186" s="232"/>
      <c r="AE186" s="807"/>
      <c r="AF186" s="807"/>
    </row>
    <row r="187" spans="1:32" ht="11.25" customHeight="1">
      <c r="B187" s="191" t="s">
        <v>2738</v>
      </c>
      <c r="D187" s="191"/>
      <c r="E187" s="191"/>
      <c r="F187" s="191"/>
      <c r="G187" s="191"/>
      <c r="H187" s="48"/>
      <c r="I187" s="180"/>
      <c r="J187" s="180"/>
      <c r="K187" s="180"/>
      <c r="L187" s="848"/>
      <c r="M187" s="848"/>
      <c r="N187" s="848"/>
      <c r="O187" s="848"/>
      <c r="P187" s="848"/>
      <c r="Q187" s="60"/>
    </row>
    <row r="188" spans="1:32" ht="13.15" customHeight="1">
      <c r="A188" s="1578"/>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3802</v>
      </c>
      <c r="C193" s="154"/>
      <c r="D193" s="856"/>
      <c r="E193" s="856"/>
      <c r="F193" s="856"/>
      <c r="G193" s="856"/>
      <c r="H193" s="856"/>
      <c r="I193" s="856"/>
      <c r="J193" s="856"/>
      <c r="K193" s="856"/>
      <c r="L193" s="856"/>
      <c r="M193" s="856"/>
      <c r="O193" s="181" t="s">
        <v>2740</v>
      </c>
      <c r="P193" s="1114"/>
      <c r="Q193" s="1119"/>
    </row>
    <row r="194" spans="1:32" s="31" customFormat="1" ht="11.45" customHeight="1">
      <c r="B194" s="195" t="s">
        <v>1716</v>
      </c>
      <c r="N194" s="166"/>
      <c r="P194" s="1574" t="s">
        <v>3980</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584" t="s">
        <v>768</v>
      </c>
      <c r="N196" s="1585"/>
      <c r="O196" s="1586"/>
      <c r="P196" s="1574" t="s">
        <v>3987</v>
      </c>
      <c r="Q196" s="232"/>
    </row>
    <row r="197" spans="1:32" ht="11.45" customHeight="1">
      <c r="B197" s="55"/>
      <c r="C197" s="79" t="s">
        <v>2591</v>
      </c>
      <c r="D197" s="38" t="s">
        <v>180</v>
      </c>
      <c r="E197" s="38"/>
      <c r="F197" s="38"/>
      <c r="G197" s="38"/>
      <c r="H197" s="38"/>
      <c r="I197" s="50"/>
      <c r="J197" s="50"/>
      <c r="K197" s="50"/>
      <c r="L197" s="79" t="s">
        <v>2082</v>
      </c>
      <c r="M197" s="1584" t="s">
        <v>4055</v>
      </c>
      <c r="N197" s="1585"/>
      <c r="O197" s="1586"/>
      <c r="P197" s="1574" t="s">
        <v>3987</v>
      </c>
      <c r="Q197" s="232"/>
    </row>
    <row r="198" spans="1:32" ht="11.45" customHeight="1">
      <c r="B198" s="55"/>
      <c r="C198" s="79" t="s">
        <v>2592</v>
      </c>
      <c r="D198" s="38" t="s">
        <v>796</v>
      </c>
      <c r="E198" s="38"/>
      <c r="F198" s="38"/>
      <c r="G198" s="38"/>
      <c r="H198" s="38"/>
      <c r="I198" s="50"/>
      <c r="J198" s="50"/>
      <c r="K198" s="50"/>
      <c r="L198" s="79" t="s">
        <v>2083</v>
      </c>
      <c r="M198" s="1607" t="s">
        <v>4063</v>
      </c>
      <c r="N198" s="1608"/>
      <c r="O198" s="1609"/>
      <c r="P198" s="1574" t="s">
        <v>3987</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4"/>
      <c r="Q200" s="232"/>
    </row>
    <row r="201" spans="1:32" ht="10.9" customHeight="1">
      <c r="B201" s="55"/>
      <c r="C201" s="62" t="s">
        <v>3520</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4070</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4071</v>
      </c>
      <c r="E204" s="1614"/>
      <c r="F204" s="1614"/>
      <c r="G204" s="1614"/>
      <c r="H204" s="1615"/>
      <c r="I204" s="652"/>
      <c r="J204" s="293"/>
      <c r="K204" s="79" t="s">
        <v>3332</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3987</v>
      </c>
      <c r="Q206" s="232"/>
    </row>
    <row r="207" spans="1:32" ht="11.45" customHeight="1">
      <c r="B207" s="55"/>
      <c r="C207" s="79" t="s">
        <v>2590</v>
      </c>
      <c r="D207" s="62" t="s">
        <v>188</v>
      </c>
      <c r="E207" s="62"/>
      <c r="F207" s="62"/>
      <c r="G207" s="62"/>
      <c r="H207" s="62"/>
      <c r="I207" s="50"/>
      <c r="J207" s="40"/>
      <c r="K207" s="50"/>
      <c r="L207" s="40"/>
      <c r="M207" s="40"/>
      <c r="O207" s="79" t="s">
        <v>2590</v>
      </c>
      <c r="P207" s="1574" t="s">
        <v>3981</v>
      </c>
      <c r="Q207" s="232"/>
    </row>
    <row r="208" spans="1:32" ht="11.45" customHeight="1">
      <c r="C208" s="79" t="s">
        <v>2591</v>
      </c>
      <c r="D208" s="38" t="s">
        <v>2490</v>
      </c>
      <c r="E208" s="38"/>
      <c r="F208" s="38"/>
      <c r="G208" s="38"/>
      <c r="H208" s="38"/>
      <c r="I208" s="50"/>
      <c r="J208" s="40"/>
      <c r="K208" s="50"/>
      <c r="L208" s="40"/>
      <c r="M208" s="40"/>
      <c r="O208" s="79" t="s">
        <v>2591</v>
      </c>
      <c r="P208" s="1574" t="s">
        <v>3981</v>
      </c>
      <c r="Q208" s="232"/>
    </row>
    <row r="209" spans="1:31" ht="11.45" customHeight="1">
      <c r="C209" s="79" t="s">
        <v>2592</v>
      </c>
      <c r="D209" s="38" t="s">
        <v>2107</v>
      </c>
      <c r="E209" s="38"/>
      <c r="F209" s="38"/>
      <c r="G209" s="38"/>
      <c r="H209" s="38"/>
      <c r="I209" s="50"/>
      <c r="J209" s="40"/>
      <c r="K209" s="50"/>
      <c r="L209" s="40"/>
      <c r="M209" s="40"/>
      <c r="O209" s="79" t="s">
        <v>2592</v>
      </c>
      <c r="P209" s="1574" t="s">
        <v>3981</v>
      </c>
      <c r="Q209" s="232"/>
    </row>
    <row r="210" spans="1:31" ht="11.45" customHeight="1">
      <c r="B210" s="55"/>
      <c r="C210" s="79" t="s">
        <v>3332</v>
      </c>
      <c r="D210" s="38" t="s">
        <v>189</v>
      </c>
      <c r="E210" s="38"/>
      <c r="F210" s="38"/>
      <c r="G210" s="38"/>
      <c r="H210" s="38"/>
      <c r="I210" s="50"/>
      <c r="J210" s="40"/>
      <c r="K210" s="50"/>
      <c r="L210" s="40"/>
      <c r="M210" s="40"/>
      <c r="O210" s="79" t="s">
        <v>3332</v>
      </c>
      <c r="P210" s="1574" t="s">
        <v>3981</v>
      </c>
      <c r="Q210" s="232"/>
    </row>
    <row r="211" spans="1:31" ht="11.45" customHeight="1">
      <c r="B211" s="55"/>
      <c r="C211" s="79" t="s">
        <v>2153</v>
      </c>
      <c r="D211" s="62" t="s">
        <v>1256</v>
      </c>
      <c r="E211" s="62"/>
      <c r="F211" s="62"/>
      <c r="G211" s="62"/>
      <c r="H211" s="62"/>
      <c r="I211" s="50"/>
      <c r="J211" s="40"/>
      <c r="K211" s="50"/>
      <c r="L211" s="40"/>
      <c r="M211" s="40"/>
      <c r="O211" s="79" t="s">
        <v>1257</v>
      </c>
      <c r="P211" s="1574" t="s">
        <v>3981</v>
      </c>
      <c r="Q211" s="232"/>
    </row>
    <row r="212" spans="1:31" ht="11.45" customHeight="1">
      <c r="B212" s="55"/>
      <c r="C212" s="79"/>
      <c r="D212" s="62" t="s">
        <v>2084</v>
      </c>
      <c r="E212" s="62"/>
      <c r="F212" s="62"/>
      <c r="G212" s="62"/>
      <c r="H212" s="62"/>
      <c r="I212" s="50"/>
      <c r="J212" s="40"/>
      <c r="K212" s="50"/>
      <c r="L212" s="40"/>
      <c r="M212" s="40"/>
      <c r="O212" s="79" t="s">
        <v>1258</v>
      </c>
      <c r="P212" s="1574"/>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4"/>
      <c r="Q214" s="232"/>
    </row>
    <row r="215" spans="1:31" ht="11.45" customHeight="1">
      <c r="B215" s="55"/>
      <c r="C215" s="79" t="s">
        <v>2590</v>
      </c>
      <c r="D215" s="47" t="s">
        <v>1807</v>
      </c>
      <c r="E215" s="50"/>
      <c r="F215" s="50"/>
      <c r="G215" s="47"/>
      <c r="H215" s="38"/>
      <c r="I215" s="50"/>
      <c r="J215" s="38"/>
      <c r="K215" s="50"/>
      <c r="L215" s="38"/>
      <c r="M215" s="38"/>
      <c r="O215" s="79" t="s">
        <v>2590</v>
      </c>
      <c r="P215" s="1574"/>
      <c r="Q215" s="232"/>
    </row>
    <row r="216" spans="1:31" ht="11.45" customHeight="1">
      <c r="B216" s="55"/>
      <c r="C216" s="79" t="s">
        <v>2591</v>
      </c>
      <c r="D216" s="47" t="s">
        <v>181</v>
      </c>
      <c r="E216" s="50"/>
      <c r="F216" s="50"/>
      <c r="G216" s="38"/>
      <c r="H216" s="38"/>
      <c r="I216" s="50"/>
      <c r="J216" s="38"/>
      <c r="K216" s="50"/>
      <c r="L216" s="38"/>
      <c r="M216" s="38"/>
      <c r="O216" s="79" t="s">
        <v>2591</v>
      </c>
      <c r="P216" s="1574"/>
      <c r="Q216" s="232"/>
    </row>
    <row r="217" spans="1:31" ht="11.45" customHeight="1">
      <c r="B217" s="55"/>
      <c r="C217" s="79" t="s">
        <v>2592</v>
      </c>
      <c r="D217" s="38" t="s">
        <v>2468</v>
      </c>
      <c r="E217" s="50"/>
      <c r="F217" s="50"/>
      <c r="G217" s="38"/>
      <c r="H217" s="38"/>
      <c r="I217" s="50"/>
      <c r="J217" s="38"/>
      <c r="K217" s="50"/>
      <c r="L217" s="38"/>
      <c r="M217" s="38"/>
      <c r="O217" s="79" t="s">
        <v>3341</v>
      </c>
      <c r="P217" s="1574"/>
      <c r="Q217" s="232"/>
    </row>
    <row r="218" spans="1:31" ht="11.45" customHeight="1">
      <c r="B218" s="44"/>
      <c r="C218" s="50"/>
      <c r="D218" s="38" t="s">
        <v>1852</v>
      </c>
      <c r="E218" s="50"/>
      <c r="F218" s="50"/>
      <c r="G218" s="38"/>
      <c r="H218" s="38"/>
      <c r="I218" s="50"/>
      <c r="J218" s="38"/>
      <c r="K218" s="50"/>
      <c r="L218" s="38"/>
      <c r="M218" s="38"/>
      <c r="O218" s="79" t="s">
        <v>3342</v>
      </c>
      <c r="P218" s="1574"/>
      <c r="Q218" s="232"/>
    </row>
    <row r="219" spans="1:31" ht="11.25" customHeight="1">
      <c r="B219" s="191" t="s">
        <v>2738</v>
      </c>
      <c r="D219" s="191"/>
      <c r="E219" s="191"/>
      <c r="F219" s="191"/>
      <c r="G219" s="191"/>
      <c r="H219" s="48"/>
      <c r="I219" s="180"/>
      <c r="J219" s="180"/>
      <c r="K219" s="180"/>
      <c r="L219" s="848"/>
      <c r="M219" s="848"/>
      <c r="N219" s="848"/>
      <c r="O219" s="848"/>
      <c r="P219" s="848"/>
      <c r="Q219" s="60"/>
    </row>
    <row r="220" spans="1:31" ht="11.45" customHeight="1">
      <c r="A220" s="1578"/>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2739</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3803</v>
      </c>
      <c r="C224" s="5"/>
      <c r="D224" s="115"/>
      <c r="E224" s="115"/>
      <c r="F224" s="115"/>
      <c r="G224" s="115"/>
      <c r="H224" s="856"/>
      <c r="I224" s="856"/>
      <c r="J224" s="856"/>
      <c r="K224" s="856"/>
      <c r="L224" s="856"/>
      <c r="M224" s="856"/>
      <c r="O224" s="181" t="s">
        <v>2740</v>
      </c>
      <c r="P224" s="1114"/>
      <c r="Q224" s="1119"/>
    </row>
    <row r="225" spans="1:32" ht="4.9000000000000004" customHeight="1"/>
    <row r="226" spans="1:32" ht="11.45" customHeight="1">
      <c r="B226" s="55" t="s">
        <v>2863</v>
      </c>
      <c r="C226" s="62" t="s">
        <v>1823</v>
      </c>
      <c r="D226" s="50"/>
      <c r="E226" s="62"/>
      <c r="F226" s="62"/>
      <c r="G226" s="62"/>
      <c r="H226" s="62"/>
      <c r="I226" s="50"/>
      <c r="J226" s="50"/>
      <c r="K226" s="50"/>
      <c r="L226" s="803" t="s">
        <v>2863</v>
      </c>
      <c r="M226" s="1584" t="s">
        <v>2626</v>
      </c>
      <c r="N226" s="1585"/>
      <c r="O226" s="1586"/>
      <c r="P226" s="1132" t="s">
        <v>2626</v>
      </c>
      <c r="Q226" s="1133"/>
    </row>
    <row r="227" spans="1:32" ht="11.45" customHeight="1">
      <c r="B227" s="55" t="s">
        <v>2866</v>
      </c>
      <c r="C227" s="62" t="s">
        <v>1795</v>
      </c>
      <c r="D227" s="62"/>
      <c r="E227" s="62"/>
      <c r="F227" s="62"/>
      <c r="G227" s="62"/>
      <c r="H227" s="62"/>
      <c r="I227" s="50"/>
      <c r="J227" s="50"/>
      <c r="K227" s="50"/>
      <c r="L227" s="803" t="s">
        <v>2866</v>
      </c>
      <c r="M227" s="1616"/>
      <c r="N227" s="1617"/>
      <c r="O227" s="1618"/>
      <c r="P227" s="1163"/>
      <c r="Q227" s="1164"/>
    </row>
    <row r="228" spans="1:32" s="199" customFormat="1" ht="11.45" customHeight="1">
      <c r="B228" s="55" t="s">
        <v>1145</v>
      </c>
      <c r="C228" s="62" t="s">
        <v>2824</v>
      </c>
      <c r="D228" s="62"/>
      <c r="E228" s="62"/>
      <c r="F228" s="62"/>
      <c r="G228" s="62"/>
      <c r="H228" s="62"/>
      <c r="I228" s="126"/>
      <c r="J228" s="126"/>
      <c r="K228" s="126"/>
      <c r="L228" s="803" t="s">
        <v>1145</v>
      </c>
      <c r="M228" s="1584"/>
      <c r="N228" s="1585"/>
      <c r="O228" s="1586"/>
      <c r="P228" s="1132"/>
      <c r="Q228" s="1133"/>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4"/>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4"/>
      <c r="Q230" s="232"/>
      <c r="AE230" s="807"/>
      <c r="AF230" s="807"/>
    </row>
    <row r="231" spans="1:32" ht="11.25" customHeight="1">
      <c r="B231" s="191" t="s">
        <v>2738</v>
      </c>
      <c r="D231" s="191"/>
      <c r="E231" s="191"/>
      <c r="F231" s="191"/>
      <c r="G231" s="191"/>
      <c r="H231" s="48"/>
      <c r="I231" s="180"/>
      <c r="J231" s="180"/>
      <c r="K231" s="180"/>
      <c r="L231" s="848"/>
      <c r="M231" s="848"/>
      <c r="N231" s="848"/>
      <c r="O231" s="848"/>
      <c r="P231" s="848"/>
      <c r="Q231" s="60"/>
    </row>
    <row r="232" spans="1:32" ht="13.15" customHeight="1">
      <c r="A232" s="1578"/>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2739</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3804</v>
      </c>
      <c r="C236" s="5"/>
      <c r="D236" s="115"/>
      <c r="E236" s="115"/>
      <c r="F236" s="115"/>
      <c r="G236" s="115"/>
      <c r="H236" s="856"/>
      <c r="I236" s="856"/>
      <c r="J236" s="856"/>
      <c r="K236" s="856"/>
      <c r="L236" s="856"/>
      <c r="M236" s="856"/>
      <c r="O236" s="181" t="s">
        <v>2740</v>
      </c>
      <c r="P236" s="1114"/>
      <c r="Q236" s="1119"/>
    </row>
    <row r="237" spans="1:32" ht="3" customHeight="1"/>
    <row r="238" spans="1:32" s="661" customFormat="1" ht="11.25" customHeight="1">
      <c r="B238" s="192" t="s">
        <v>2863</v>
      </c>
      <c r="C238" s="1118" t="s">
        <v>3847</v>
      </c>
      <c r="D238" s="1118"/>
      <c r="E238" s="1118"/>
      <c r="F238" s="1118"/>
      <c r="G238" s="1118"/>
      <c r="H238" s="1118"/>
      <c r="I238" s="1118"/>
      <c r="J238" s="1118"/>
      <c r="K238" s="1118"/>
      <c r="L238" s="1118"/>
      <c r="M238" s="1118"/>
      <c r="N238" s="1118"/>
      <c r="O238" s="219" t="s">
        <v>2863</v>
      </c>
      <c r="P238" s="1596" t="s">
        <v>3981</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4" t="s">
        <v>3981</v>
      </c>
      <c r="Q239" s="232"/>
      <c r="AE239" s="807"/>
      <c r="AF239" s="807"/>
    </row>
    <row r="240" spans="1:32" ht="11.25" customHeight="1">
      <c r="B240" s="191" t="s">
        <v>2738</v>
      </c>
      <c r="D240" s="191"/>
      <c r="E240" s="191"/>
      <c r="F240" s="191"/>
      <c r="G240" s="191"/>
      <c r="H240" s="48"/>
      <c r="I240" s="180"/>
      <c r="J240" s="180"/>
      <c r="K240" s="180"/>
      <c r="L240" s="848"/>
      <c r="M240" s="848"/>
      <c r="N240" s="848"/>
      <c r="O240" s="848"/>
      <c r="P240" s="848"/>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2739</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3805</v>
      </c>
      <c r="C245" s="857"/>
      <c r="D245" s="856"/>
      <c r="E245" s="856"/>
      <c r="F245" s="856"/>
      <c r="G245" s="856"/>
      <c r="H245" s="856"/>
      <c r="I245" s="856"/>
      <c r="J245" s="856"/>
      <c r="K245" s="856"/>
      <c r="L245" s="856"/>
      <c r="M245" s="856"/>
      <c r="O245" s="181" t="s">
        <v>2740</v>
      </c>
      <c r="P245" s="1114"/>
      <c r="Q245" s="1119"/>
    </row>
    <row r="246" spans="1:32" ht="3" customHeight="1"/>
    <row r="247" spans="1:32" s="661" customFormat="1" ht="24" customHeight="1">
      <c r="B247" s="192" t="s">
        <v>2863</v>
      </c>
      <c r="C247" s="1113" t="s">
        <v>3891</v>
      </c>
      <c r="D247" s="1006"/>
      <c r="E247" s="1006"/>
      <c r="F247" s="1006"/>
      <c r="G247" s="1006"/>
      <c r="H247" s="1006"/>
      <c r="I247" s="1006"/>
      <c r="J247" s="1006"/>
      <c r="K247" s="1006"/>
      <c r="L247" s="1006"/>
      <c r="M247" s="1006"/>
      <c r="N247" s="1006"/>
      <c r="O247" s="219" t="s">
        <v>2863</v>
      </c>
      <c r="P247" s="1574" t="s">
        <v>3987</v>
      </c>
      <c r="Q247" s="232"/>
      <c r="AE247" s="808"/>
      <c r="AF247" s="808"/>
    </row>
    <row r="248" spans="1:32" s="661" customFormat="1" ht="24" customHeight="1">
      <c r="B248" s="192" t="s">
        <v>2866</v>
      </c>
      <c r="C248" s="1113" t="s">
        <v>3892</v>
      </c>
      <c r="D248" s="1006"/>
      <c r="E248" s="1006"/>
      <c r="F248" s="1006"/>
      <c r="G248" s="1006"/>
      <c r="H248" s="1006"/>
      <c r="I248" s="1006"/>
      <c r="J248" s="1006"/>
      <c r="K248" s="1006"/>
      <c r="L248" s="1006"/>
      <c r="M248" s="1006"/>
      <c r="N248" s="1006"/>
      <c r="O248" s="219" t="s">
        <v>2866</v>
      </c>
      <c r="P248" s="1574" t="s">
        <v>3987</v>
      </c>
      <c r="Q248" s="232"/>
      <c r="AE248" s="808"/>
      <c r="AF248" s="808"/>
    </row>
    <row r="249" spans="1:32" ht="11.25" customHeight="1">
      <c r="B249" s="191" t="s">
        <v>2738</v>
      </c>
      <c r="D249" s="191"/>
      <c r="E249" s="191"/>
      <c r="F249" s="191"/>
      <c r="G249" s="191"/>
      <c r="H249" s="48"/>
      <c r="I249" s="180"/>
      <c r="J249" s="180"/>
      <c r="K249" s="180"/>
      <c r="L249" s="848"/>
      <c r="M249" s="848"/>
      <c r="N249" s="848"/>
      <c r="O249" s="848"/>
      <c r="P249" s="848"/>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2739</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3806</v>
      </c>
      <c r="C254" s="200"/>
      <c r="D254" s="855"/>
      <c r="E254" s="856"/>
      <c r="F254" s="856"/>
      <c r="G254" s="856"/>
      <c r="H254" s="856"/>
      <c r="I254" s="856"/>
      <c r="J254" s="856"/>
      <c r="K254" s="856"/>
      <c r="L254" s="856"/>
      <c r="M254" s="856"/>
      <c r="O254" s="181" t="s">
        <v>2740</v>
      </c>
      <c r="P254" s="1114"/>
      <c r="Q254" s="1119"/>
    </row>
    <row r="255" spans="1:32" s="199" customFormat="1" ht="46.5" customHeight="1">
      <c r="B255" s="192" t="s">
        <v>2863</v>
      </c>
      <c r="C255" s="1113" t="s">
        <v>3834</v>
      </c>
      <c r="D255" s="1113"/>
      <c r="E255" s="1113"/>
      <c r="F255" s="1113"/>
      <c r="G255" s="1113"/>
      <c r="H255" s="1113"/>
      <c r="I255" s="1113"/>
      <c r="J255" s="1113"/>
      <c r="K255" s="1113"/>
      <c r="L255" s="1113"/>
      <c r="M255" s="1113"/>
      <c r="N255" s="1113"/>
      <c r="O255" s="219" t="s">
        <v>2863</v>
      </c>
      <c r="P255" s="1596" t="s">
        <v>3981</v>
      </c>
      <c r="Q255" s="232"/>
      <c r="AE255" s="807"/>
      <c r="AF255" s="807"/>
    </row>
    <row r="256" spans="1:32" s="126" customFormat="1">
      <c r="B256" s="55" t="s">
        <v>2866</v>
      </c>
      <c r="C256" s="1097" t="s">
        <v>3835</v>
      </c>
      <c r="D256" s="1097"/>
      <c r="E256" s="1097"/>
      <c r="F256" s="1097"/>
      <c r="G256" s="1097"/>
      <c r="H256" s="1097"/>
      <c r="I256" s="1097"/>
      <c r="J256" s="1097"/>
      <c r="K256" s="1097"/>
      <c r="L256" s="1097"/>
      <c r="M256" s="1097"/>
      <c r="N256" s="1097"/>
      <c r="O256" s="803" t="s">
        <v>2866</v>
      </c>
      <c r="P256" s="1574" t="s">
        <v>3981</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596" t="s">
        <v>3981</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4" t="s">
        <v>3981</v>
      </c>
      <c r="Q258" s="232"/>
      <c r="AE258" s="807"/>
      <c r="AF258" s="807"/>
    </row>
    <row r="259" spans="1:256" s="661" customFormat="1" ht="24.75" customHeight="1">
      <c r="B259" s="192" t="s">
        <v>2588</v>
      </c>
      <c r="C259" s="1113" t="s">
        <v>3848</v>
      </c>
      <c r="D259" s="1006"/>
      <c r="E259" s="1006"/>
      <c r="F259" s="1006"/>
      <c r="G259" s="1006"/>
      <c r="H259" s="1006"/>
      <c r="I259" s="1006"/>
      <c r="J259" s="1006"/>
      <c r="K259" s="1006"/>
      <c r="L259" s="1006"/>
      <c r="M259" s="1006"/>
      <c r="N259" s="1006"/>
      <c r="O259" s="219" t="s">
        <v>2588</v>
      </c>
      <c r="P259" s="1596" t="s">
        <v>3981</v>
      </c>
      <c r="Q259" s="354"/>
      <c r="AE259" s="808"/>
      <c r="AF259" s="808"/>
    </row>
    <row r="260" spans="1:256" ht="11.25" customHeight="1">
      <c r="B260" s="191" t="s">
        <v>2738</v>
      </c>
      <c r="D260" s="191"/>
      <c r="E260" s="191"/>
      <c r="F260" s="191"/>
      <c r="G260" s="191"/>
      <c r="H260" s="48"/>
      <c r="I260" s="180"/>
      <c r="J260" s="180"/>
      <c r="K260" s="180"/>
      <c r="L260" s="848"/>
      <c r="M260" s="848"/>
      <c r="N260" s="848"/>
      <c r="O260" s="848"/>
      <c r="P260" s="848"/>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3807</v>
      </c>
      <c r="C264" s="11"/>
      <c r="D264" s="11"/>
      <c r="E264" s="11"/>
      <c r="F264" s="11"/>
      <c r="G264" s="11"/>
      <c r="H264" s="856"/>
      <c r="I264" s="856"/>
      <c r="J264" s="856"/>
      <c r="K264" s="856"/>
      <c r="L264" s="856"/>
      <c r="M264" s="856"/>
      <c r="O264" s="181" t="s">
        <v>2740</v>
      </c>
      <c r="P264" s="1171"/>
      <c r="Q264" s="1172"/>
    </row>
    <row r="265" spans="1:256" ht="11.45" customHeight="1">
      <c r="B265" s="195" t="s">
        <v>3165</v>
      </c>
      <c r="P265" s="1574" t="s">
        <v>3980</v>
      </c>
      <c r="Q265" s="232"/>
    </row>
    <row r="266" spans="1:256" ht="12" customHeight="1">
      <c r="B266" s="197" t="s">
        <v>3113</v>
      </c>
      <c r="C266" s="197"/>
      <c r="D266" s="197"/>
      <c r="E266" s="197"/>
      <c r="F266" s="197"/>
      <c r="G266" s="197"/>
      <c r="H266" s="197"/>
      <c r="I266" s="197"/>
      <c r="J266" s="197"/>
      <c r="K266" s="197"/>
      <c r="L266" s="197"/>
      <c r="P266" s="1574" t="s">
        <v>3981</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13" t="s">
        <v>3939</v>
      </c>
      <c r="D268" s="1113"/>
      <c r="E268" s="1113"/>
      <c r="F268" s="1113"/>
      <c r="G268" s="1113"/>
      <c r="H268" s="1113"/>
      <c r="I268" s="1113"/>
      <c r="J268" s="1113"/>
      <c r="K268" s="1113"/>
      <c r="L268" s="1113"/>
      <c r="M268" s="1113"/>
      <c r="N268" s="1113"/>
      <c r="O268" s="219" t="s">
        <v>2863</v>
      </c>
      <c r="P268" s="1596" t="s">
        <v>3981</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2866</v>
      </c>
      <c r="C270" s="1147" t="s">
        <v>634</v>
      </c>
      <c r="D270" s="1147"/>
      <c r="E270" s="1147"/>
      <c r="F270" s="1147"/>
      <c r="G270" s="1147"/>
      <c r="H270" s="1147"/>
      <c r="I270" s="1147"/>
      <c r="J270" s="1147"/>
      <c r="K270" s="1147"/>
      <c r="L270" s="1147"/>
      <c r="M270" s="1147"/>
      <c r="O270" s="219" t="s">
        <v>2866</v>
      </c>
      <c r="P270" s="848"/>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3981</v>
      </c>
      <c r="Q271" s="354"/>
    </row>
    <row r="272" spans="1:256" ht="23.25" customHeight="1">
      <c r="A272" s="194"/>
      <c r="C272" s="294" t="s">
        <v>2591</v>
      </c>
      <c r="D272" s="1165" t="s">
        <v>1648</v>
      </c>
      <c r="E272" s="1166"/>
      <c r="F272" s="1167"/>
      <c r="G272" s="1578" t="s">
        <v>3788</v>
      </c>
      <c r="H272" s="1446"/>
      <c r="I272" s="1446"/>
      <c r="J272" s="1446"/>
      <c r="K272" s="1446"/>
      <c r="L272" s="1446"/>
      <c r="M272" s="1446"/>
      <c r="N272" s="1447"/>
      <c r="O272" s="298" t="s">
        <v>2591</v>
      </c>
      <c r="P272" s="1596" t="s">
        <v>3981</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3836</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2738</v>
      </c>
      <c r="D278" s="191"/>
      <c r="E278" s="191"/>
      <c r="F278" s="191"/>
      <c r="G278" s="191"/>
      <c r="H278" s="48"/>
      <c r="I278" s="180"/>
      <c r="J278" s="180"/>
      <c r="K278" s="180"/>
      <c r="L278" s="848"/>
      <c r="M278" s="848"/>
      <c r="N278" s="848"/>
      <c r="O278" s="848"/>
      <c r="P278" s="848"/>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3808</v>
      </c>
      <c r="C283" s="857"/>
      <c r="D283" s="856"/>
      <c r="E283" s="856"/>
      <c r="F283" s="856"/>
      <c r="G283" s="856"/>
      <c r="H283" s="856"/>
      <c r="O283" s="181" t="s">
        <v>2740</v>
      </c>
      <c r="P283" s="1114"/>
      <c r="Q283" s="1119"/>
    </row>
    <row r="284" spans="1:256" ht="3" customHeight="1"/>
    <row r="285" spans="1:256" ht="11.45" customHeight="1">
      <c r="B285" s="195" t="s">
        <v>3285</v>
      </c>
      <c r="P285" s="1574" t="s">
        <v>3981</v>
      </c>
      <c r="Q285" s="232"/>
    </row>
    <row r="286" spans="1:256" ht="11.45" customHeight="1">
      <c r="B286" s="195" t="s">
        <v>3286</v>
      </c>
      <c r="P286" s="1574" t="s">
        <v>3980</v>
      </c>
      <c r="Q286" s="232"/>
    </row>
    <row r="287" spans="1:256" ht="11.45" customHeight="1">
      <c r="B287" s="195" t="s">
        <v>850</v>
      </c>
      <c r="L287" s="1625" t="s">
        <v>4042</v>
      </c>
      <c r="M287" s="1626"/>
      <c r="N287" s="1626"/>
      <c r="O287" s="1627"/>
    </row>
    <row r="288" spans="1:256" ht="11.45" customHeight="1">
      <c r="B288" s="653" t="s">
        <v>3287</v>
      </c>
      <c r="L288" s="1168"/>
      <c r="M288" s="1169"/>
      <c r="N288" s="1169"/>
      <c r="O288" s="1170"/>
    </row>
    <row r="289" spans="1:31" ht="11.25" customHeight="1">
      <c r="B289" s="191" t="s">
        <v>2738</v>
      </c>
      <c r="D289" s="191"/>
      <c r="E289" s="191"/>
      <c r="F289" s="191"/>
      <c r="G289" s="191"/>
      <c r="H289" s="48"/>
      <c r="I289" s="180"/>
      <c r="J289" s="180"/>
      <c r="K289" s="180"/>
      <c r="L289" s="848"/>
      <c r="M289" s="848"/>
      <c r="N289" s="848"/>
      <c r="O289" s="848"/>
      <c r="P289" s="848"/>
      <c r="Q289" s="60"/>
    </row>
    <row r="290" spans="1:31" ht="42" customHeight="1">
      <c r="A290" s="1578" t="s">
        <v>4054</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2739</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3809</v>
      </c>
      <c r="C294" s="5"/>
      <c r="D294" s="115"/>
      <c r="E294" s="856"/>
      <c r="F294" s="856"/>
      <c r="G294" s="856"/>
      <c r="H294" s="856"/>
      <c r="I294" s="856"/>
      <c r="J294" s="856"/>
      <c r="K294" s="856"/>
      <c r="L294" s="856"/>
      <c r="M294" s="856"/>
      <c r="O294" s="181" t="s">
        <v>2740</v>
      </c>
      <c r="P294" s="1114"/>
      <c r="Q294" s="1119"/>
    </row>
    <row r="295" spans="1:31" ht="3" customHeight="1"/>
    <row r="296" spans="1:31" ht="22.15" customHeight="1">
      <c r="B296" s="192" t="s">
        <v>2863</v>
      </c>
      <c r="C296" s="1118" t="s">
        <v>3837</v>
      </c>
      <c r="D296" s="1118"/>
      <c r="E296" s="1118"/>
      <c r="F296" s="1118"/>
      <c r="G296" s="1118"/>
      <c r="H296" s="1118"/>
      <c r="I296" s="1118"/>
      <c r="J296" s="1118"/>
      <c r="K296" s="1118"/>
      <c r="L296" s="1118"/>
      <c r="M296" s="1118"/>
      <c r="N296" s="1118"/>
      <c r="O296" s="219" t="s">
        <v>2863</v>
      </c>
      <c r="P296" s="1574" t="s">
        <v>3981</v>
      </c>
      <c r="Q296" s="232"/>
    </row>
    <row r="297" spans="1:31" ht="11.45" customHeight="1">
      <c r="B297" s="192" t="s">
        <v>2866</v>
      </c>
      <c r="C297" s="1118" t="s">
        <v>3893</v>
      </c>
      <c r="D297" s="1118"/>
      <c r="E297" s="1118"/>
      <c r="F297" s="1118"/>
      <c r="G297" s="1118"/>
      <c r="H297" s="1118"/>
      <c r="I297" s="1118"/>
      <c r="J297" s="1118"/>
      <c r="K297" s="1118"/>
      <c r="L297" s="1118"/>
      <c r="M297" s="1118"/>
      <c r="N297" s="1118"/>
      <c r="O297" s="219" t="s">
        <v>2866</v>
      </c>
      <c r="P297" s="1574" t="s">
        <v>3981</v>
      </c>
      <c r="Q297" s="232"/>
    </row>
    <row r="298" spans="1:31" ht="11.45" customHeight="1">
      <c r="B298" s="192" t="s">
        <v>1145</v>
      </c>
      <c r="C298" s="197" t="s">
        <v>3838</v>
      </c>
      <c r="D298" s="197"/>
      <c r="E298" s="197"/>
      <c r="F298" s="197"/>
      <c r="G298" s="197"/>
      <c r="H298" s="197"/>
      <c r="I298" s="197"/>
      <c r="J298" s="197"/>
      <c r="K298" s="197"/>
      <c r="L298" s="197"/>
      <c r="M298" s="197"/>
      <c r="O298" s="219" t="s">
        <v>1145</v>
      </c>
      <c r="P298" s="1574" t="s">
        <v>3981</v>
      </c>
      <c r="Q298" s="232"/>
    </row>
    <row r="299" spans="1:31" ht="22.15" customHeight="1">
      <c r="B299" s="192" t="s">
        <v>3005</v>
      </c>
      <c r="C299" s="1118" t="s">
        <v>3872</v>
      </c>
      <c r="D299" s="1118"/>
      <c r="E299" s="1118"/>
      <c r="F299" s="1118"/>
      <c r="G299" s="1118"/>
      <c r="H299" s="1118"/>
      <c r="I299" s="1118"/>
      <c r="J299" s="1118"/>
      <c r="K299" s="1118"/>
      <c r="L299" s="1118"/>
      <c r="M299" s="1118"/>
      <c r="N299" s="1118"/>
      <c r="O299" s="219" t="s">
        <v>3005</v>
      </c>
      <c r="P299" s="1574" t="s">
        <v>3981</v>
      </c>
      <c r="Q299" s="232"/>
    </row>
    <row r="300" spans="1:31" ht="11.25" customHeight="1">
      <c r="B300" s="191" t="s">
        <v>2738</v>
      </c>
      <c r="D300" s="191"/>
      <c r="E300" s="191"/>
      <c r="F300" s="191"/>
      <c r="G300" s="191"/>
      <c r="H300" s="48"/>
      <c r="I300" s="180"/>
      <c r="J300" s="180"/>
      <c r="K300" s="180"/>
      <c r="L300" s="848"/>
      <c r="M300" s="848"/>
      <c r="N300" s="848"/>
      <c r="O300" s="848"/>
      <c r="P300" s="848"/>
      <c r="Q300" s="60"/>
    </row>
    <row r="301" spans="1:31" ht="11.45" customHeight="1">
      <c r="A301" s="1578"/>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2739</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3879</v>
      </c>
      <c r="C305" s="5"/>
      <c r="D305" s="5"/>
      <c r="E305" s="5"/>
      <c r="F305" s="5"/>
      <c r="G305" s="5"/>
      <c r="H305" s="856"/>
      <c r="I305" s="856"/>
      <c r="J305" s="856"/>
      <c r="K305" s="856"/>
      <c r="L305" s="856"/>
      <c r="M305" s="856"/>
      <c r="O305" s="181" t="s">
        <v>2740</v>
      </c>
      <c r="P305" s="1114"/>
      <c r="Q305" s="1119"/>
    </row>
    <row r="306" spans="1:32" ht="12" customHeight="1">
      <c r="B306" s="55" t="s">
        <v>2863</v>
      </c>
      <c r="C306" s="161" t="s">
        <v>3874</v>
      </c>
      <c r="D306" s="859"/>
      <c r="E306" s="859"/>
      <c r="F306" s="859"/>
      <c r="G306" s="859"/>
      <c r="H306" s="859"/>
      <c r="I306" s="50"/>
      <c r="J306" s="803" t="s">
        <v>2863</v>
      </c>
      <c r="K306" s="1604" t="s">
        <v>4058</v>
      </c>
      <c r="L306" s="1605"/>
      <c r="M306" s="1605"/>
      <c r="N306" s="1605"/>
      <c r="O306" s="1605"/>
      <c r="P306" s="1606"/>
      <c r="Q306" s="232"/>
    </row>
    <row r="307" spans="1:32" ht="22.5" customHeight="1">
      <c r="B307" s="192" t="s">
        <v>2866</v>
      </c>
      <c r="C307" s="1097" t="s">
        <v>3873</v>
      </c>
      <c r="D307" s="1097"/>
      <c r="E307" s="1097"/>
      <c r="F307" s="1097"/>
      <c r="G307" s="1097"/>
      <c r="H307" s="1097"/>
      <c r="I307" s="1097"/>
      <c r="J307" s="1097"/>
      <c r="K307" s="1097"/>
      <c r="L307" s="1097"/>
      <c r="M307" s="1097"/>
      <c r="N307" s="1097"/>
      <c r="O307" s="219" t="s">
        <v>2866</v>
      </c>
      <c r="P307" s="1596" t="s">
        <v>3981</v>
      </c>
      <c r="Q307" s="232"/>
    </row>
    <row r="308" spans="1:32" ht="11.45" customHeight="1">
      <c r="B308" s="55" t="s">
        <v>1145</v>
      </c>
      <c r="C308" s="62" t="s">
        <v>3875</v>
      </c>
      <c r="D308" s="62"/>
      <c r="E308" s="62"/>
      <c r="F308" s="62"/>
      <c r="G308" s="62"/>
      <c r="H308" s="62"/>
      <c r="I308" s="62"/>
      <c r="J308" s="62"/>
      <c r="K308" s="62"/>
      <c r="L308" s="38"/>
      <c r="M308" s="38"/>
      <c r="O308" s="803" t="s">
        <v>1145</v>
      </c>
      <c r="P308" s="1574" t="s">
        <v>3981</v>
      </c>
      <c r="Q308" s="232"/>
    </row>
    <row r="309" spans="1:32" ht="11.45" customHeight="1">
      <c r="B309" s="55" t="s">
        <v>3005</v>
      </c>
      <c r="C309" s="62" t="s">
        <v>3876</v>
      </c>
      <c r="D309" s="62"/>
      <c r="E309" s="62"/>
      <c r="F309" s="62"/>
      <c r="G309" s="62"/>
      <c r="H309" s="62"/>
      <c r="I309" s="62"/>
      <c r="J309" s="62"/>
      <c r="K309" s="62"/>
      <c r="L309" s="62"/>
      <c r="M309" s="62"/>
      <c r="O309" s="803" t="s">
        <v>3005</v>
      </c>
      <c r="P309" s="1574" t="s">
        <v>3981</v>
      </c>
      <c r="Q309" s="232"/>
    </row>
    <row r="310" spans="1:32" s="182" customFormat="1" ht="11.45" customHeight="1">
      <c r="B310" s="192" t="s">
        <v>2588</v>
      </c>
      <c r="C310" s="1118" t="s">
        <v>3881</v>
      </c>
      <c r="D310" s="1118"/>
      <c r="E310" s="1118"/>
      <c r="F310" s="1118"/>
      <c r="G310" s="1118"/>
      <c r="H310" s="1118"/>
      <c r="I310" s="1118"/>
      <c r="J310" s="1118"/>
      <c r="K310" s="1118"/>
      <c r="L310" s="1118"/>
      <c r="M310" s="1118"/>
      <c r="N310" s="1118"/>
      <c r="O310" s="219" t="s">
        <v>2588</v>
      </c>
      <c r="P310" s="1596" t="s">
        <v>3981</v>
      </c>
      <c r="Q310" s="354"/>
      <c r="AE310" s="806"/>
      <c r="AF310" s="806"/>
    </row>
    <row r="311" spans="1:32" s="182" customFormat="1" ht="11.45" customHeight="1">
      <c r="B311" s="192" t="s">
        <v>2589</v>
      </c>
      <c r="C311" s="1118" t="s">
        <v>3894</v>
      </c>
      <c r="D311" s="1118"/>
      <c r="E311" s="1118"/>
      <c r="F311" s="1118"/>
      <c r="G311" s="1118"/>
      <c r="H311" s="1118"/>
      <c r="I311" s="1118"/>
      <c r="J311" s="1118"/>
      <c r="K311" s="1118"/>
      <c r="L311" s="1118"/>
      <c r="M311" s="1118"/>
      <c r="N311" s="1118"/>
      <c r="O311" s="219" t="s">
        <v>2589</v>
      </c>
      <c r="P311" s="1596" t="s">
        <v>3981</v>
      </c>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4" t="s">
        <v>3981</v>
      </c>
      <c r="Q312" s="232"/>
    </row>
    <row r="313" spans="1:32" ht="11.25" customHeight="1">
      <c r="B313" s="191" t="s">
        <v>2738</v>
      </c>
      <c r="D313" s="191"/>
      <c r="E313" s="191"/>
      <c r="F313" s="191"/>
      <c r="G313" s="191"/>
      <c r="H313" s="48"/>
      <c r="I313" s="180"/>
      <c r="J313" s="180"/>
      <c r="K313" s="180"/>
      <c r="L313" s="848"/>
      <c r="M313" s="848"/>
      <c r="N313" s="848"/>
      <c r="O313" s="848"/>
      <c r="P313" s="848"/>
      <c r="Q313" s="60"/>
    </row>
    <row r="314" spans="1:32" ht="11.45" customHeight="1">
      <c r="A314" s="1578"/>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2739</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3934</v>
      </c>
      <c r="C318" s="5"/>
      <c r="D318" s="5"/>
      <c r="E318" s="5"/>
      <c r="F318" s="5"/>
      <c r="G318" s="5"/>
      <c r="H318" s="856"/>
      <c r="I318" s="856"/>
      <c r="J318" s="856"/>
      <c r="O318" s="181" t="s">
        <v>2740</v>
      </c>
      <c r="P318" s="1114"/>
      <c r="Q318" s="1119"/>
    </row>
    <row r="319" spans="1:32" ht="13.9" customHeight="1">
      <c r="A319" s="857"/>
      <c r="B319" s="149" t="s">
        <v>3815</v>
      </c>
      <c r="C319" s="5"/>
      <c r="D319" s="5"/>
      <c r="E319" s="5"/>
      <c r="F319" s="5"/>
      <c r="G319" s="5"/>
      <c r="H319" s="856"/>
      <c r="I319" s="856"/>
      <c r="J319" s="856"/>
    </row>
    <row r="320" spans="1:32" ht="11.45" customHeight="1">
      <c r="B320" s="55" t="s">
        <v>2863</v>
      </c>
      <c r="C320" s="653" t="s">
        <v>3818</v>
      </c>
      <c r="D320" s="65"/>
      <c r="E320" s="859"/>
      <c r="F320" s="859"/>
      <c r="G320" s="859"/>
      <c r="H320" s="859"/>
      <c r="I320" s="50"/>
      <c r="O320" s="803" t="s">
        <v>2863</v>
      </c>
    </row>
    <row r="321" spans="2:32" s="182" customFormat="1" ht="21.75" customHeight="1">
      <c r="B321" s="192"/>
      <c r="C321" s="201" t="s">
        <v>2590</v>
      </c>
      <c r="D321" s="1125" t="s">
        <v>3816</v>
      </c>
      <c r="E321" s="1125"/>
      <c r="F321" s="1125"/>
      <c r="G321" s="1125"/>
      <c r="H321" s="1125"/>
      <c r="I321" s="1125"/>
      <c r="J321" s="1125"/>
      <c r="K321" s="1125"/>
      <c r="L321" s="1125"/>
      <c r="M321" s="1125"/>
      <c r="N321" s="1125"/>
      <c r="O321" s="201" t="s">
        <v>2590</v>
      </c>
      <c r="P321" s="1596"/>
      <c r="Q321" s="354"/>
      <c r="AE321" s="806"/>
      <c r="AF321" s="806"/>
    </row>
    <row r="322" spans="2:32" s="182" customFormat="1" ht="21.75" customHeight="1">
      <c r="C322" s="201" t="s">
        <v>2591</v>
      </c>
      <c r="D322" s="1113" t="s">
        <v>3817</v>
      </c>
      <c r="E322" s="1113"/>
      <c r="F322" s="1113"/>
      <c r="G322" s="1113"/>
      <c r="H322" s="1113"/>
      <c r="I322" s="1113"/>
      <c r="J322" s="1113"/>
      <c r="K322" s="1113"/>
      <c r="L322" s="1113"/>
      <c r="M322" s="1113"/>
      <c r="N322" s="1113"/>
      <c r="O322" s="201" t="s">
        <v>2591</v>
      </c>
      <c r="P322" s="1596"/>
      <c r="Q322" s="354"/>
      <c r="AE322" s="806"/>
      <c r="AF322" s="806"/>
    </row>
    <row r="323" spans="2:32" s="182" customFormat="1" ht="21.75" customHeight="1">
      <c r="B323" s="192"/>
      <c r="C323" s="201" t="s">
        <v>2592</v>
      </c>
      <c r="D323" s="1113" t="s">
        <v>3820</v>
      </c>
      <c r="E323" s="1113"/>
      <c r="F323" s="1113"/>
      <c r="G323" s="1113"/>
      <c r="H323" s="1113"/>
      <c r="I323" s="1113"/>
      <c r="J323" s="1113"/>
      <c r="K323" s="1113"/>
      <c r="L323" s="1113"/>
      <c r="M323" s="1113"/>
      <c r="N323" s="1113"/>
      <c r="O323" s="201" t="s">
        <v>2592</v>
      </c>
      <c r="P323" s="1596"/>
      <c r="Q323" s="354"/>
      <c r="AE323" s="806"/>
      <c r="AF323" s="806"/>
    </row>
    <row r="324" spans="2:32" s="182" customFormat="1" ht="22.15" customHeight="1">
      <c r="B324" s="192"/>
      <c r="C324" s="201" t="s">
        <v>3332</v>
      </c>
      <c r="D324" s="1113" t="s">
        <v>3821</v>
      </c>
      <c r="E324" s="1113"/>
      <c r="F324" s="1113"/>
      <c r="G324" s="1113"/>
      <c r="H324" s="1113"/>
      <c r="I324" s="1113"/>
      <c r="J324" s="1113"/>
      <c r="K324" s="1113"/>
      <c r="L324" s="1113"/>
      <c r="M324" s="1113"/>
      <c r="N324" s="1113"/>
      <c r="O324" s="201" t="s">
        <v>3332</v>
      </c>
      <c r="P324" s="1596"/>
      <c r="Q324" s="354"/>
      <c r="AE324" s="806"/>
      <c r="AF324" s="806"/>
    </row>
    <row r="325" spans="2:32" s="182" customFormat="1" ht="21.75" customHeight="1">
      <c r="B325" s="192"/>
      <c r="C325" s="201" t="s">
        <v>2153</v>
      </c>
      <c r="D325" s="1113" t="s">
        <v>3822</v>
      </c>
      <c r="E325" s="1113"/>
      <c r="F325" s="1113"/>
      <c r="G325" s="1113"/>
      <c r="H325" s="1113"/>
      <c r="I325" s="1113"/>
      <c r="J325" s="1113"/>
      <c r="K325" s="1113"/>
      <c r="L325" s="1113"/>
      <c r="M325" s="1113"/>
      <c r="N325" s="1113"/>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3823</v>
      </c>
      <c r="E328" s="699"/>
      <c r="F328" s="699"/>
      <c r="G328" s="699"/>
      <c r="H328" s="699"/>
      <c r="I328" s="699"/>
      <c r="J328" s="699"/>
      <c r="K328" s="699"/>
      <c r="L328" s="699"/>
      <c r="M328" s="699"/>
      <c r="N328" s="729"/>
      <c r="P328" s="79" t="s">
        <v>2590</v>
      </c>
      <c r="Q328" s="232"/>
    </row>
    <row r="329" spans="2:32" ht="11.25" customHeight="1">
      <c r="B329" s="55"/>
      <c r="C329" s="79" t="s">
        <v>2591</v>
      </c>
      <c r="D329" s="184" t="s">
        <v>3824</v>
      </c>
      <c r="E329" s="184"/>
      <c r="F329" s="184"/>
      <c r="G329" s="184"/>
      <c r="H329" s="184"/>
      <c r="I329" s="44"/>
      <c r="J329" s="729"/>
      <c r="K329" s="729"/>
      <c r="L329" s="729"/>
      <c r="M329" s="729"/>
      <c r="N329" s="729"/>
      <c r="P329" s="79" t="s">
        <v>2591</v>
      </c>
      <c r="Q329" s="232"/>
    </row>
    <row r="330" spans="2:32" ht="11.25" customHeight="1">
      <c r="B330" s="55"/>
      <c r="C330" s="79" t="s">
        <v>2592</v>
      </c>
      <c r="D330" s="62" t="s">
        <v>3825</v>
      </c>
      <c r="E330" s="62"/>
      <c r="F330" s="62"/>
      <c r="G330" s="62"/>
      <c r="H330" s="62"/>
      <c r="I330" s="62"/>
      <c r="J330" s="62"/>
      <c r="K330" s="62"/>
      <c r="L330" s="38"/>
      <c r="M330" s="38"/>
      <c r="N330" s="729"/>
      <c r="P330" s="79" t="s">
        <v>2592</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48"/>
      <c r="M336" s="848"/>
      <c r="N336" s="848"/>
      <c r="O336" s="848"/>
      <c r="P336" s="848"/>
      <c r="Q336" s="60"/>
    </row>
    <row r="337" spans="1:31" ht="11.45" customHeight="1">
      <c r="A337" s="1578"/>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2739</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3895</v>
      </c>
      <c r="C341" s="5"/>
      <c r="D341" s="5"/>
      <c r="E341" s="5"/>
      <c r="F341" s="5"/>
      <c r="G341" s="5"/>
      <c r="H341" s="856"/>
      <c r="I341" s="856"/>
      <c r="J341" s="856"/>
      <c r="O341" s="181" t="s">
        <v>2740</v>
      </c>
      <c r="P341" s="1114"/>
      <c r="Q341" s="1119"/>
    </row>
    <row r="342" spans="1:31" ht="11.45" customHeight="1">
      <c r="B342" s="55" t="s">
        <v>2863</v>
      </c>
      <c r="C342" s="161" t="s">
        <v>1543</v>
      </c>
      <c r="E342" s="1584"/>
      <c r="F342" s="1585"/>
      <c r="G342" s="1585"/>
      <c r="H342" s="1585"/>
      <c r="I342" s="1586"/>
      <c r="J342" s="1122" t="s">
        <v>3833</v>
      </c>
      <c r="K342" s="1123"/>
      <c r="L342" s="1124"/>
      <c r="M342" s="1584"/>
      <c r="N342" s="1585"/>
      <c r="O342" s="1585"/>
      <c r="P342" s="1585"/>
      <c r="Q342" s="1586"/>
    </row>
    <row r="343" spans="1:31" ht="11.45" customHeight="1">
      <c r="B343" s="55" t="s">
        <v>2866</v>
      </c>
      <c r="C343" s="62" t="s">
        <v>2593</v>
      </c>
      <c r="D343" s="62"/>
      <c r="E343" s="62"/>
      <c r="F343" s="62"/>
      <c r="G343" s="62"/>
      <c r="H343" s="62"/>
      <c r="I343" s="62"/>
      <c r="J343" s="62"/>
      <c r="K343" s="62"/>
      <c r="L343" s="38"/>
      <c r="M343" s="38"/>
      <c r="O343" s="803" t="s">
        <v>2866</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3005</v>
      </c>
      <c r="C345" s="62" t="s">
        <v>3878</v>
      </c>
      <c r="D345" s="62"/>
      <c r="E345" s="62"/>
      <c r="F345" s="62"/>
      <c r="G345" s="62"/>
      <c r="H345" s="62"/>
      <c r="I345" s="62"/>
      <c r="J345" s="62"/>
      <c r="K345" s="62"/>
      <c r="L345" s="62"/>
      <c r="M345" s="62"/>
      <c r="O345" s="803" t="s">
        <v>3005</v>
      </c>
      <c r="P345" s="1574"/>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4"/>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6"/>
      <c r="Q347" s="232"/>
    </row>
    <row r="348" spans="1:31" ht="11.45" customHeight="1">
      <c r="B348" s="55" t="s">
        <v>2826</v>
      </c>
      <c r="C348" s="38" t="s">
        <v>792</v>
      </c>
      <c r="D348" s="203"/>
      <c r="E348" s="203"/>
      <c r="F348" s="203"/>
      <c r="G348" s="203"/>
      <c r="H348" s="203"/>
      <c r="I348" s="203"/>
      <c r="J348" s="203"/>
      <c r="K348" s="203"/>
      <c r="L348" s="203"/>
      <c r="M348" s="203"/>
      <c r="O348" s="803" t="s">
        <v>2826</v>
      </c>
      <c r="P348" s="1574"/>
      <c r="Q348" s="232"/>
    </row>
    <row r="349" spans="1:31" ht="11.25" customHeight="1">
      <c r="B349" s="191" t="s">
        <v>2738</v>
      </c>
      <c r="D349" s="191"/>
      <c r="E349" s="191"/>
      <c r="F349" s="191"/>
      <c r="G349" s="191"/>
      <c r="H349" s="48"/>
      <c r="I349" s="180"/>
      <c r="J349" s="180"/>
      <c r="K349" s="180"/>
      <c r="L349" s="848"/>
      <c r="M349" s="848"/>
      <c r="N349" s="848"/>
      <c r="O349" s="848"/>
      <c r="P349" s="848"/>
      <c r="Q349" s="60"/>
    </row>
    <row r="350" spans="1:31" ht="11.45" customHeight="1">
      <c r="A350" s="1578"/>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2739</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3831</v>
      </c>
      <c r="C354" s="5"/>
      <c r="D354" s="115"/>
      <c r="E354" s="856"/>
      <c r="F354" s="856"/>
      <c r="G354" s="856"/>
      <c r="H354" s="856"/>
      <c r="I354" s="856"/>
      <c r="J354" s="856"/>
      <c r="K354" s="856"/>
      <c r="L354" s="856"/>
      <c r="M354" s="856"/>
      <c r="O354" s="181" t="s">
        <v>2740</v>
      </c>
      <c r="P354" s="1114"/>
      <c r="Q354" s="1119"/>
    </row>
    <row r="355" spans="1:32" s="2" customFormat="1" ht="23.45" customHeight="1">
      <c r="B355" s="192" t="s">
        <v>2863</v>
      </c>
      <c r="C355" s="1118" t="s">
        <v>183</v>
      </c>
      <c r="D355" s="1118"/>
      <c r="E355" s="1118"/>
      <c r="F355" s="1118"/>
      <c r="G355" s="1118"/>
      <c r="H355" s="1118"/>
      <c r="I355" s="1118"/>
      <c r="J355" s="1118"/>
      <c r="K355" s="1118"/>
      <c r="L355" s="1118"/>
      <c r="M355" s="219" t="s">
        <v>2863</v>
      </c>
      <c r="N355" s="1628" t="s">
        <v>2626</v>
      </c>
      <c r="O355" s="1629"/>
      <c r="P355" s="1116" t="s">
        <v>2626</v>
      </c>
      <c r="Q355" s="1117"/>
      <c r="AE355" s="6"/>
      <c r="AF355" s="6"/>
    </row>
    <row r="356" spans="1:32" s="2" customFormat="1" ht="12" customHeight="1">
      <c r="B356" s="55" t="s">
        <v>2866</v>
      </c>
      <c r="C356" s="158" t="s">
        <v>1</v>
      </c>
      <c r="D356" s="203"/>
      <c r="E356" s="203"/>
      <c r="G356" s="803" t="s">
        <v>2866</v>
      </c>
      <c r="H356" s="1630"/>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c r="Q357" s="232"/>
      <c r="AE357" s="6"/>
      <c r="AF357" s="6"/>
    </row>
    <row r="358" spans="1:32" ht="11.25" customHeight="1">
      <c r="B358" s="191" t="s">
        <v>2738</v>
      </c>
      <c r="D358" s="191"/>
      <c r="E358" s="191"/>
      <c r="F358" s="191"/>
      <c r="G358" s="191"/>
      <c r="H358" s="48"/>
      <c r="I358" s="180"/>
      <c r="J358" s="180"/>
      <c r="K358" s="180"/>
      <c r="L358" s="848"/>
      <c r="M358" s="848"/>
      <c r="N358" s="848"/>
      <c r="O358" s="848"/>
      <c r="P358" s="848"/>
      <c r="Q358" s="60"/>
    </row>
    <row r="359" spans="1:32" ht="11.45" customHeight="1">
      <c r="A359" s="1578"/>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3810</v>
      </c>
      <c r="C364" s="5"/>
      <c r="D364" s="5"/>
      <c r="E364" s="856"/>
      <c r="G364" s="190" t="s">
        <v>976</v>
      </c>
      <c r="H364" s="856"/>
      <c r="I364" s="856"/>
      <c r="J364" s="856"/>
      <c r="K364" s="856"/>
      <c r="L364" s="856"/>
      <c r="M364" s="856"/>
      <c r="O364" s="181" t="s">
        <v>2740</v>
      </c>
      <c r="P364" s="1114"/>
      <c r="Q364" s="1115"/>
    </row>
    <row r="365" spans="1:32" ht="12" customHeight="1">
      <c r="A365" s="194"/>
      <c r="B365" s="55" t="s">
        <v>2863</v>
      </c>
      <c r="C365" s="62" t="s">
        <v>3839</v>
      </c>
      <c r="D365" s="727"/>
      <c r="E365" s="727"/>
      <c r="H365" s="190"/>
      <c r="O365" s="803" t="s">
        <v>2863</v>
      </c>
      <c r="P365" s="1574"/>
      <c r="Q365" s="232"/>
    </row>
    <row r="366" spans="1:32" ht="12" customHeight="1">
      <c r="A366" s="194"/>
      <c r="B366" s="55" t="s">
        <v>2866</v>
      </c>
      <c r="C366" s="62" t="s">
        <v>3840</v>
      </c>
      <c r="D366" s="727"/>
      <c r="E366" s="727"/>
      <c r="O366" s="803" t="s">
        <v>2866</v>
      </c>
      <c r="P366" s="1574"/>
      <c r="Q366" s="232"/>
    </row>
    <row r="367" spans="1:32" ht="12" customHeight="1">
      <c r="A367" s="194"/>
      <c r="B367" s="55" t="s">
        <v>1145</v>
      </c>
      <c r="C367" s="62" t="s">
        <v>3896</v>
      </c>
      <c r="D367" s="727"/>
      <c r="E367" s="727"/>
      <c r="O367" s="803" t="s">
        <v>1145</v>
      </c>
      <c r="P367" s="1574" t="s">
        <v>3981</v>
      </c>
      <c r="Q367" s="232"/>
    </row>
    <row r="368" spans="1:32" ht="12" customHeight="1">
      <c r="A368" s="194"/>
      <c r="B368" s="55" t="s">
        <v>3005</v>
      </c>
      <c r="C368" s="62" t="s">
        <v>3832</v>
      </c>
      <c r="E368" s="190"/>
      <c r="O368" s="803" t="s">
        <v>3005</v>
      </c>
      <c r="P368" s="1574"/>
      <c r="Q368" s="232"/>
    </row>
    <row r="369" spans="1:31" ht="12" customHeight="1">
      <c r="B369" s="55" t="s">
        <v>2588</v>
      </c>
      <c r="C369" s="62" t="s">
        <v>2968</v>
      </c>
      <c r="E369" s="190"/>
      <c r="G369" s="803" t="s">
        <v>2588</v>
      </c>
      <c r="H369" s="1597"/>
      <c r="I369" s="1598"/>
      <c r="J369" s="1598"/>
      <c r="K369" s="1598"/>
      <c r="L369" s="1598"/>
      <c r="M369" s="1598"/>
      <c r="N369" s="1598"/>
      <c r="O369" s="1599"/>
      <c r="P369" s="1574"/>
      <c r="Q369" s="232"/>
    </row>
    <row r="370" spans="1:31" ht="11.25" customHeight="1">
      <c r="B370" s="191" t="s">
        <v>2738</v>
      </c>
      <c r="D370" s="191"/>
      <c r="E370" s="191"/>
      <c r="F370" s="191"/>
      <c r="G370" s="191"/>
      <c r="H370" s="48"/>
      <c r="I370" s="180"/>
      <c r="J370" s="180"/>
      <c r="K370" s="180"/>
      <c r="L370" s="848"/>
      <c r="M370" s="848"/>
      <c r="N370" s="848"/>
      <c r="O370" s="848"/>
      <c r="P370" s="848"/>
      <c r="Q370" s="60"/>
    </row>
    <row r="371" spans="1:31" ht="11.45" customHeight="1">
      <c r="A371" s="1578"/>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2739</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3811</v>
      </c>
      <c r="C375" s="1120"/>
      <c r="D375" s="1120"/>
      <c r="E375" s="1120"/>
      <c r="F375" s="1120"/>
      <c r="G375" s="1120"/>
      <c r="H375" s="856"/>
      <c r="I375" s="856"/>
      <c r="J375" s="856"/>
      <c r="K375" s="856"/>
      <c r="L375" s="856"/>
      <c r="M375" s="856"/>
      <c r="O375" s="181" t="s">
        <v>2740</v>
      </c>
      <c r="P375" s="1114"/>
      <c r="Q375" s="1115"/>
    </row>
    <row r="376" spans="1:31" ht="21.75" customHeight="1">
      <c r="A376" s="189"/>
      <c r="B376" s="192" t="s">
        <v>2863</v>
      </c>
      <c r="C376" s="1118" t="s">
        <v>837</v>
      </c>
      <c r="D376" s="1118"/>
      <c r="E376" s="1118"/>
      <c r="F376" s="1118"/>
      <c r="G376" s="1118"/>
      <c r="H376" s="1118"/>
      <c r="I376" s="1118"/>
      <c r="J376" s="1118"/>
      <c r="K376" s="1118"/>
      <c r="L376" s="1118"/>
      <c r="M376" s="1118"/>
      <c r="N376" s="1118"/>
      <c r="O376" s="219" t="s">
        <v>2863</v>
      </c>
      <c r="P376" s="1574" t="s">
        <v>3987</v>
      </c>
      <c r="Q376" s="232"/>
    </row>
    <row r="377" spans="1:31" ht="12" customHeight="1">
      <c r="A377" s="189"/>
      <c r="B377" s="55" t="s">
        <v>2866</v>
      </c>
      <c r="C377" s="197" t="s">
        <v>793</v>
      </c>
      <c r="D377" s="856"/>
      <c r="E377" s="856"/>
      <c r="F377" s="856"/>
      <c r="G377" s="856"/>
      <c r="H377" s="856"/>
      <c r="I377" s="856"/>
      <c r="J377" s="856"/>
      <c r="K377" s="856"/>
      <c r="L377" s="856"/>
      <c r="M377" s="856"/>
      <c r="O377" s="803" t="s">
        <v>2866</v>
      </c>
      <c r="P377" s="1574" t="s">
        <v>3981</v>
      </c>
      <c r="Q377" s="232"/>
    </row>
    <row r="378" spans="1:31" ht="11.25" customHeight="1">
      <c r="B378" s="127" t="s">
        <v>2738</v>
      </c>
      <c r="D378" s="127"/>
      <c r="E378" s="127"/>
      <c r="F378" s="127"/>
      <c r="G378" s="127"/>
      <c r="H378" s="48"/>
      <c r="I378" s="180"/>
      <c r="J378" s="180"/>
      <c r="K378" s="187" t="s">
        <v>2739</v>
      </c>
      <c r="L378" s="848"/>
      <c r="M378" s="848"/>
      <c r="N378" s="848"/>
      <c r="O378" s="235"/>
      <c r="P378" s="848"/>
      <c r="Q378" s="60"/>
    </row>
    <row r="379" spans="1:31" ht="11.45" customHeight="1">
      <c r="A379" s="1578"/>
      <c r="B379" s="1579"/>
      <c r="C379" s="1579"/>
      <c r="D379" s="1579"/>
      <c r="E379" s="1579"/>
      <c r="F379" s="1579"/>
      <c r="G379" s="1579"/>
      <c r="H379" s="1579"/>
      <c r="I379" s="1579"/>
      <c r="J379" s="1580"/>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3812</v>
      </c>
      <c r="C381" s="5"/>
      <c r="D381" s="5"/>
      <c r="E381" s="5"/>
      <c r="F381" s="5"/>
      <c r="G381" s="5"/>
      <c r="H381" s="856"/>
      <c r="I381" s="856"/>
      <c r="J381" s="856"/>
      <c r="K381" s="856"/>
      <c r="L381" s="856"/>
      <c r="M381" s="856"/>
      <c r="O381" s="181" t="s">
        <v>2740</v>
      </c>
      <c r="P381" s="1114"/>
      <c r="Q381" s="1115"/>
    </row>
    <row r="382" spans="1:31" ht="12" customHeight="1">
      <c r="A382" s="50"/>
      <c r="B382" s="55" t="s">
        <v>2863</v>
      </c>
      <c r="C382" s="47" t="s">
        <v>1148</v>
      </c>
      <c r="D382" s="50"/>
      <c r="E382" s="50"/>
      <c r="F382" s="50"/>
      <c r="G382" s="50"/>
      <c r="H382" s="50"/>
      <c r="I382" s="50"/>
      <c r="J382" s="50"/>
      <c r="K382" s="50"/>
      <c r="L382" s="50"/>
      <c r="M382" s="50"/>
      <c r="N382" s="50"/>
      <c r="O382" s="803" t="s">
        <v>2863</v>
      </c>
      <c r="P382" s="1574"/>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2591</v>
      </c>
      <c r="P385" s="1574"/>
      <c r="Q385" s="232"/>
    </row>
    <row r="386" spans="1:32" ht="12" customHeight="1">
      <c r="A386" s="50"/>
      <c r="B386" s="55" t="s">
        <v>1145</v>
      </c>
      <c r="C386" s="1097" t="s">
        <v>3101</v>
      </c>
      <c r="D386" s="1097"/>
      <c r="E386" s="1097"/>
      <c r="F386" s="1097"/>
      <c r="G386" s="1097"/>
      <c r="H386" s="1097"/>
      <c r="I386" s="1097"/>
      <c r="J386" s="1097"/>
      <c r="K386" s="1097"/>
      <c r="L386" s="1097"/>
      <c r="M386" s="1097"/>
      <c r="N386" s="1097"/>
      <c r="O386" s="803" t="s">
        <v>1145</v>
      </c>
      <c r="P386" s="1574"/>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3"/>
      <c r="H388" s="662" t="s">
        <v>291</v>
      </c>
      <c r="J388" s="184" t="s">
        <v>3107</v>
      </c>
      <c r="K388" s="38"/>
      <c r="N388" s="1633"/>
      <c r="O388" s="662" t="s">
        <v>291</v>
      </c>
    </row>
    <row r="389" spans="1:32" ht="12" customHeight="1">
      <c r="A389" s="50"/>
      <c r="B389" s="55"/>
      <c r="C389" s="184" t="s">
        <v>3105</v>
      </c>
      <c r="D389" s="44"/>
      <c r="E389" s="50"/>
      <c r="F389" s="38"/>
      <c r="G389" s="1633"/>
      <c r="H389" s="662"/>
      <c r="J389" s="184" t="s">
        <v>3108</v>
      </c>
      <c r="K389" s="38"/>
      <c r="N389" s="1633"/>
      <c r="O389" s="662"/>
    </row>
    <row r="390" spans="1:32" ht="12" customHeight="1">
      <c r="A390" s="50"/>
      <c r="B390" s="55"/>
      <c r="C390" s="184" t="s">
        <v>3106</v>
      </c>
      <c r="D390" s="44"/>
      <c r="E390" s="50"/>
      <c r="F390" s="38"/>
      <c r="G390" s="1633"/>
      <c r="H390" s="662" t="s">
        <v>291</v>
      </c>
      <c r="K390" s="38"/>
      <c r="L390" s="38"/>
      <c r="M390" s="38"/>
      <c r="N390" s="50"/>
      <c r="O390" s="803"/>
    </row>
    <row r="391" spans="1:32" ht="12" customHeight="1">
      <c r="A391" s="50"/>
      <c r="B391" s="55" t="s">
        <v>2588</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3167</v>
      </c>
      <c r="N393" s="1634"/>
      <c r="O393" s="1635"/>
      <c r="P393" s="1635"/>
      <c r="Q393" s="1636"/>
    </row>
    <row r="394" spans="1:32" ht="12" customHeight="1">
      <c r="B394" s="191" t="s">
        <v>2738</v>
      </c>
      <c r="D394" s="191"/>
      <c r="E394" s="191"/>
      <c r="F394" s="191"/>
      <c r="G394" s="191"/>
      <c r="H394" s="48"/>
      <c r="I394" s="180"/>
      <c r="J394" s="180"/>
      <c r="K394" s="180"/>
      <c r="P394" s="848"/>
      <c r="Q394" s="60"/>
    </row>
    <row r="395" spans="1:32" ht="12" customHeight="1">
      <c r="A395" s="1578"/>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2739</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3813</v>
      </c>
      <c r="C399" s="5"/>
      <c r="D399" s="115"/>
      <c r="E399" s="856"/>
      <c r="F399" s="856"/>
      <c r="G399" s="856"/>
      <c r="H399" s="856"/>
      <c r="O399" s="181" t="s">
        <v>2740</v>
      </c>
      <c r="P399" s="1114"/>
      <c r="Q399" s="1119"/>
    </row>
    <row r="400" spans="1:32" s="182" customFormat="1" ht="21.75" customHeight="1">
      <c r="B400" s="192" t="s">
        <v>2863</v>
      </c>
      <c r="C400" s="1121" t="s">
        <v>3882</v>
      </c>
      <c r="D400" s="1121"/>
      <c r="E400" s="1121"/>
      <c r="F400" s="1121"/>
      <c r="G400" s="1121"/>
      <c r="H400" s="1121"/>
      <c r="I400" s="1121"/>
      <c r="J400" s="1121"/>
      <c r="K400" s="1121"/>
      <c r="L400" s="1121"/>
      <c r="M400" s="1121"/>
      <c r="N400" s="1121"/>
      <c r="O400" s="219" t="s">
        <v>2863</v>
      </c>
      <c r="P400" s="1596" t="s">
        <v>3987</v>
      </c>
      <c r="Q400" s="354"/>
      <c r="AE400" s="806"/>
      <c r="AF400" s="806"/>
    </row>
    <row r="401" spans="1:32" s="182" customFormat="1" ht="12" customHeight="1">
      <c r="B401" s="192" t="s">
        <v>2866</v>
      </c>
      <c r="C401" s="1121" t="s">
        <v>3883</v>
      </c>
      <c r="D401" s="1121"/>
      <c r="E401" s="1121"/>
      <c r="F401" s="1121"/>
      <c r="G401" s="1121"/>
      <c r="H401" s="1121"/>
      <c r="I401" s="1121"/>
      <c r="J401" s="1121"/>
      <c r="K401" s="1121"/>
      <c r="L401" s="1121"/>
      <c r="M401" s="1121"/>
      <c r="N401" s="1121"/>
      <c r="O401" s="219" t="s">
        <v>2866</v>
      </c>
      <c r="P401" s="1596" t="s">
        <v>3987</v>
      </c>
      <c r="Q401" s="354"/>
      <c r="AE401" s="806"/>
      <c r="AF401" s="806"/>
    </row>
    <row r="402" spans="1:32" s="182" customFormat="1" ht="21.75" customHeight="1">
      <c r="B402" s="192" t="s">
        <v>1145</v>
      </c>
      <c r="C402" s="1121" t="s">
        <v>3884</v>
      </c>
      <c r="D402" s="1121"/>
      <c r="E402" s="1121"/>
      <c r="F402" s="1121"/>
      <c r="G402" s="1121"/>
      <c r="H402" s="1121"/>
      <c r="I402" s="1121"/>
      <c r="J402" s="1121"/>
      <c r="K402" s="1121"/>
      <c r="L402" s="1121"/>
      <c r="M402" s="1121"/>
      <c r="N402" s="1121"/>
      <c r="O402" s="219" t="s">
        <v>1145</v>
      </c>
      <c r="P402" s="1596" t="s">
        <v>3987</v>
      </c>
      <c r="Q402" s="354"/>
      <c r="AE402" s="806"/>
      <c r="AF402" s="806"/>
    </row>
    <row r="403" spans="1:32" s="182" customFormat="1" ht="33.75" customHeight="1">
      <c r="B403" s="192" t="s">
        <v>3005</v>
      </c>
      <c r="C403" s="1121" t="s">
        <v>3885</v>
      </c>
      <c r="D403" s="1121"/>
      <c r="E403" s="1121"/>
      <c r="F403" s="1121"/>
      <c r="G403" s="1121"/>
      <c r="H403" s="1121"/>
      <c r="I403" s="1121"/>
      <c r="J403" s="1121"/>
      <c r="K403" s="1121"/>
      <c r="L403" s="1121"/>
      <c r="M403" s="1121"/>
      <c r="N403" s="1121"/>
      <c r="O403" s="219" t="s">
        <v>3005</v>
      </c>
      <c r="P403" s="1596" t="s">
        <v>3987</v>
      </c>
      <c r="Q403" s="354"/>
      <c r="AE403" s="806"/>
      <c r="AF403" s="806"/>
    </row>
    <row r="404" spans="1:32" s="182" customFormat="1" ht="23.45" customHeight="1">
      <c r="B404" s="192" t="s">
        <v>2588</v>
      </c>
      <c r="C404" s="1121" t="s">
        <v>3886</v>
      </c>
      <c r="D404" s="1121"/>
      <c r="E404" s="1121"/>
      <c r="F404" s="1121"/>
      <c r="G404" s="1121"/>
      <c r="H404" s="1121"/>
      <c r="I404" s="1121"/>
      <c r="J404" s="1121"/>
      <c r="K404" s="1121"/>
      <c r="L404" s="1121"/>
      <c r="M404" s="1121"/>
      <c r="N404" s="1121"/>
      <c r="O404" s="219" t="s">
        <v>2588</v>
      </c>
      <c r="P404" s="1596" t="s">
        <v>3987</v>
      </c>
      <c r="Q404" s="354"/>
      <c r="AE404" s="806"/>
      <c r="AF404" s="806"/>
    </row>
    <row r="405" spans="1:32" s="182" customFormat="1" ht="21.75" customHeight="1">
      <c r="B405" s="192" t="s">
        <v>2589</v>
      </c>
      <c r="C405" s="1121" t="s">
        <v>3887</v>
      </c>
      <c r="D405" s="1121"/>
      <c r="E405" s="1121"/>
      <c r="F405" s="1121"/>
      <c r="G405" s="1121"/>
      <c r="H405" s="1121"/>
      <c r="I405" s="1121"/>
      <c r="J405" s="1121"/>
      <c r="K405" s="1121"/>
      <c r="L405" s="1121"/>
      <c r="M405" s="1121"/>
      <c r="N405" s="1121"/>
      <c r="O405" s="219" t="s">
        <v>2589</v>
      </c>
      <c r="P405" s="1596" t="s">
        <v>3987</v>
      </c>
      <c r="Q405" s="354"/>
      <c r="AE405" s="806"/>
      <c r="AF405" s="806"/>
    </row>
    <row r="406" spans="1:32" ht="11.25" customHeight="1">
      <c r="B406" s="191" t="s">
        <v>2738</v>
      </c>
      <c r="D406" s="191"/>
      <c r="E406" s="191"/>
      <c r="F406" s="191"/>
      <c r="G406" s="191"/>
      <c r="H406" s="48"/>
      <c r="I406" s="180"/>
      <c r="J406" s="180"/>
      <c r="K406" s="180"/>
      <c r="L406" s="848"/>
      <c r="M406" s="848"/>
      <c r="N406" s="848"/>
      <c r="O406" s="848"/>
      <c r="P406" s="848"/>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2739</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3814</v>
      </c>
      <c r="C411" s="5"/>
      <c r="D411" s="115"/>
      <c r="E411" s="856"/>
      <c r="F411" s="856"/>
      <c r="G411" s="856"/>
      <c r="H411" s="856"/>
      <c r="I411" s="856"/>
      <c r="J411" s="856"/>
      <c r="K411" s="856"/>
      <c r="L411" s="856"/>
      <c r="M411" s="856"/>
      <c r="O411" s="181" t="s">
        <v>2740</v>
      </c>
      <c r="P411" s="1114"/>
      <c r="Q411" s="1119"/>
    </row>
    <row r="412" spans="1:32" ht="11.25" customHeight="1">
      <c r="A412" s="857"/>
      <c r="B412" s="191" t="s">
        <v>2738</v>
      </c>
      <c r="D412" s="191"/>
      <c r="E412" s="191"/>
      <c r="F412" s="191"/>
      <c r="G412" s="191"/>
      <c r="H412" s="48"/>
      <c r="I412" s="180"/>
      <c r="J412" s="180"/>
      <c r="K412" s="180"/>
      <c r="L412" s="848"/>
      <c r="M412" s="848"/>
      <c r="N412" s="848"/>
      <c r="O412" s="848"/>
      <c r="P412" s="848"/>
      <c r="Q412" s="60"/>
    </row>
    <row r="413" spans="1:32" ht="11.45" customHeight="1">
      <c r="A413" s="1578"/>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2739</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3570</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3514</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2012-006 Hidden Glen Village, Hinesville, Liberty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52</v>
      </c>
      <c r="P6" s="77">
        <f>P291</f>
        <v>14</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1" t="s">
        <v>3621</v>
      </c>
      <c r="G10" s="38">
        <f>F16</f>
        <v>0</v>
      </c>
      <c r="H10" s="244" t="s">
        <v>301</v>
      </c>
      <c r="M10" s="7">
        <v>7</v>
      </c>
      <c r="N10" s="78" t="s">
        <v>2863</v>
      </c>
      <c r="O10" s="1638"/>
      <c r="P10" s="66"/>
    </row>
    <row r="11" spans="1:19" s="50" customFormat="1" ht="11.25" customHeight="1">
      <c r="A11" s="255" t="s">
        <v>2866</v>
      </c>
      <c r="B11" s="236" t="s">
        <v>1122</v>
      </c>
      <c r="D11" s="56"/>
      <c r="E11" s="56"/>
      <c r="F11" s="821" t="s">
        <v>3621</v>
      </c>
      <c r="G11" s="38">
        <f>K16</f>
        <v>0</v>
      </c>
      <c r="H11" s="244" t="s">
        <v>302</v>
      </c>
      <c r="J11" s="57"/>
      <c r="M11" s="7">
        <v>0</v>
      </c>
      <c r="N11" s="78" t="s">
        <v>2866</v>
      </c>
      <c r="O11" s="1638"/>
      <c r="P11" s="66"/>
      <c r="Q11" s="148"/>
    </row>
    <row r="12" spans="1:19" s="51" customFormat="1" ht="11.25" customHeight="1">
      <c r="A12" s="255" t="s">
        <v>1145</v>
      </c>
      <c r="B12" s="236" t="s">
        <v>3003</v>
      </c>
      <c r="D12" s="56"/>
      <c r="E12" s="56"/>
      <c r="F12" s="821" t="s">
        <v>3621</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205" t="s">
        <v>3382</v>
      </c>
      <c r="B16" s="1205"/>
      <c r="C16" s="1205"/>
      <c r="D16" s="1205"/>
      <c r="E16" s="79" t="s">
        <v>739</v>
      </c>
      <c r="F16" s="93">
        <f>SUM(F17:F28)</f>
        <v>0</v>
      </c>
      <c r="G16" s="1206" t="s">
        <v>3383</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4</v>
      </c>
      <c r="P30" s="204">
        <f>IF($L$32 &gt;= $P$32,$M$32,IF($L$31&gt;=$P$31,$M$31,0))</f>
        <v>4</v>
      </c>
      <c r="Q30" s="148" t="s">
        <v>612</v>
      </c>
      <c r="R30" s="558" t="str">
        <f>IF(OR($O30=$M30,$O30=0,$O30=""),"","* * Check Score! * *")</f>
        <v/>
      </c>
    </row>
    <row r="31" spans="1:19" s="688" customFormat="1" ht="11.25" customHeight="1">
      <c r="A31" s="687" t="s">
        <v>2863</v>
      </c>
      <c r="B31" s="155" t="s">
        <v>3703</v>
      </c>
      <c r="E31" s="689"/>
      <c r="H31" s="660" t="s">
        <v>3858</v>
      </c>
      <c r="I31" s="1639"/>
      <c r="K31" s="660" t="s">
        <v>3860</v>
      </c>
      <c r="L31" s="691">
        <f>IF(OR('Part VI-Revenues &amp; Expenses'!$M$60="", 'Part VI-Revenues &amp; Expenses'!$M$60=0),0,I31/'Part VI-Revenues &amp; Expenses'!$M$60)</f>
        <v>0</v>
      </c>
      <c r="M31" s="1">
        <v>3</v>
      </c>
      <c r="N31" s="690"/>
      <c r="O31" s="1189" t="s">
        <v>3929</v>
      </c>
      <c r="P31" s="735">
        <v>0.15</v>
      </c>
    </row>
    <row r="32" spans="1:19" s="688" customFormat="1" ht="11.25" customHeight="1">
      <c r="A32" s="687" t="s">
        <v>2866</v>
      </c>
      <c r="B32" s="155" t="s">
        <v>3704</v>
      </c>
      <c r="E32" s="689"/>
      <c r="H32" s="660" t="s">
        <v>3705</v>
      </c>
      <c r="I32" s="1639">
        <v>18</v>
      </c>
      <c r="K32" s="660" t="s">
        <v>3860</v>
      </c>
      <c r="L32" s="691">
        <f>IF(OR('Part VI-Revenues &amp; Expenses'!$M$60="", 'Part VI-Revenues &amp; Expenses'!$M$60=0),0,I32/'Part VI-Revenues &amp; Expenses'!$M$60)</f>
        <v>0.3</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2739</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0">
        <v>12</v>
      </c>
      <c r="P40" s="85"/>
      <c r="R40" s="558"/>
    </row>
    <row r="41" spans="1:18" s="51" customFormat="1" ht="12.6" customHeight="1">
      <c r="A41" s="189" t="s">
        <v>2866</v>
      </c>
      <c r="B41" s="236" t="s">
        <v>2749</v>
      </c>
      <c r="D41" s="49"/>
      <c r="E41" s="244" t="s">
        <v>588</v>
      </c>
      <c r="F41" s="585"/>
      <c r="G41" s="585"/>
      <c r="H41" s="585"/>
      <c r="M41" s="180" t="s">
        <v>1777</v>
      </c>
      <c r="N41" s="803" t="s">
        <v>2866</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4046</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2739</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3</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40">
        <v>3</v>
      </c>
      <c r="P50" s="85"/>
      <c r="R50" s="558"/>
    </row>
    <row r="51" spans="1:18" s="51" customFormat="1" ht="12.6" customHeight="1">
      <c r="A51" s="189" t="s">
        <v>2866</v>
      </c>
      <c r="B51" s="236" t="s">
        <v>3719</v>
      </c>
      <c r="E51" s="49"/>
      <c r="K51" s="56"/>
      <c r="L51" s="558" t="str">
        <f>IF(OR($O51=$M51,$O51=0,$O51=""),"","* * Check Score! * *")</f>
        <v/>
      </c>
      <c r="M51" s="3">
        <v>2</v>
      </c>
      <c r="N51" s="803" t="s">
        <v>2866</v>
      </c>
      <c r="O51" s="1640"/>
      <c r="P51" s="85"/>
      <c r="R51" s="558"/>
    </row>
    <row r="52" spans="1:18" s="51" customFormat="1" ht="12.6" customHeight="1">
      <c r="A52" s="189" t="s">
        <v>1145</v>
      </c>
      <c r="B52" s="236" t="s">
        <v>3761</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2739</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2739</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640"/>
      <c r="P67" s="85"/>
      <c r="Q67" s="148" t="s">
        <v>612</v>
      </c>
    </row>
    <row r="68" spans="1:18" s="51" customFormat="1" ht="12.6" customHeight="1">
      <c r="A68" s="209"/>
      <c r="B68" s="586" t="s">
        <v>3706</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2739</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3845</v>
      </c>
      <c r="J74" s="1644" t="s">
        <v>4064</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4" t="s">
        <v>3981</v>
      </c>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191" t="s">
        <v>3709</v>
      </c>
      <c r="D78" s="1191"/>
      <c r="E78" s="1191"/>
      <c r="F78" s="1191"/>
      <c r="G78" s="1191"/>
      <c r="H78" s="1191"/>
      <c r="I78" s="1191"/>
      <c r="J78" s="1191"/>
      <c r="K78" s="1191"/>
      <c r="L78" s="1191"/>
      <c r="M78" s="572" t="str">
        <f>IF(AND($I$90="Stable Communities &lt; 10%",O78=""), "X","")</f>
        <v/>
      </c>
      <c r="N78" s="574" t="s">
        <v>3713</v>
      </c>
      <c r="O78" s="1647" t="s">
        <v>3980</v>
      </c>
      <c r="P78" s="355"/>
    </row>
    <row r="79" spans="1:18" ht="23.25" customHeight="1">
      <c r="B79" s="575" t="s">
        <v>3421</v>
      </c>
      <c r="C79" s="1118" t="s">
        <v>3711</v>
      </c>
      <c r="D79" s="1118"/>
      <c r="E79" s="1118"/>
      <c r="F79" s="1118"/>
      <c r="G79" s="1118"/>
      <c r="H79" s="1118"/>
      <c r="I79" s="1118"/>
      <c r="J79" s="1118"/>
      <c r="K79" s="1118"/>
      <c r="L79" s="1118"/>
      <c r="M79" s="572" t="str">
        <f>IF(AND($I$90="Stable Communities &lt; 10%",O79=""), "X","")</f>
        <v/>
      </c>
      <c r="N79" s="574" t="s">
        <v>3714</v>
      </c>
      <c r="O79" s="1648" t="s">
        <v>3980</v>
      </c>
      <c r="P79" s="356"/>
    </row>
    <row r="80" spans="1:18" ht="11.45" customHeight="1">
      <c r="A80" s="550" t="str">
        <f>IF($I$90="Stable Communities &lt; 20%", "X","")</f>
        <v>X</v>
      </c>
      <c r="B80" s="551" t="s">
        <v>2869</v>
      </c>
      <c r="C80" s="568" t="s">
        <v>3708</v>
      </c>
      <c r="E80" s="160"/>
      <c r="M80" s="573"/>
      <c r="N80" s="31"/>
      <c r="O80" s="162" t="s">
        <v>3523</v>
      </c>
      <c r="P80" s="162" t="s">
        <v>3523</v>
      </c>
    </row>
    <row r="81" spans="1:18" ht="23.25" customHeight="1">
      <c r="B81" s="575" t="s">
        <v>3420</v>
      </c>
      <c r="C81" s="1191" t="s">
        <v>3710</v>
      </c>
      <c r="D81" s="1191"/>
      <c r="E81" s="1191"/>
      <c r="F81" s="1191"/>
      <c r="G81" s="1191"/>
      <c r="H81" s="1191"/>
      <c r="I81" s="1191"/>
      <c r="J81" s="1191"/>
      <c r="K81" s="1191"/>
      <c r="L81" s="1191"/>
      <c r="M81" s="572" t="str">
        <f>IF(AND($I$90="Stable Communities &lt; 10%",O81=""), "X","")</f>
        <v/>
      </c>
      <c r="N81" s="692" t="s">
        <v>3715</v>
      </c>
      <c r="O81" s="1647" t="s">
        <v>2104</v>
      </c>
      <c r="P81" s="355"/>
    </row>
    <row r="82" spans="1:18">
      <c r="B82" s="575" t="s">
        <v>3421</v>
      </c>
      <c r="C82" s="1118" t="s">
        <v>3712</v>
      </c>
      <c r="D82" s="1118"/>
      <c r="E82" s="1118"/>
      <c r="F82" s="1118"/>
      <c r="G82" s="1118"/>
      <c r="H82" s="1118"/>
      <c r="I82" s="1118"/>
      <c r="J82" s="1118"/>
      <c r="K82" s="1118"/>
      <c r="L82" s="1118"/>
      <c r="M82" s="572" t="str">
        <f>IF(AND($I$90="Stable Communities &lt; 10%",O82=""), "X","")</f>
        <v/>
      </c>
      <c r="N82" s="692" t="s">
        <v>3716</v>
      </c>
      <c r="O82" s="1648" t="s">
        <v>2104</v>
      </c>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574" t="s">
        <v>3981</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2739</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3986</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7" t="s">
        <v>3980</v>
      </c>
      <c r="P94" s="355"/>
    </row>
    <row r="95" spans="1:18" ht="11.45" customHeight="1">
      <c r="B95" s="231" t="s">
        <v>3421</v>
      </c>
      <c r="C95" s="665" t="s">
        <v>3368</v>
      </c>
      <c r="E95" s="160"/>
      <c r="G95" s="132" t="s">
        <v>3369</v>
      </c>
      <c r="M95" s="694" t="str">
        <f>IF(AND($I$90="Stable Communities &lt; 10%",O95=""), "X","")</f>
        <v/>
      </c>
      <c r="N95" s="231" t="s">
        <v>3421</v>
      </c>
      <c r="O95" s="1652" t="s">
        <v>3980</v>
      </c>
      <c r="P95" s="541"/>
    </row>
    <row r="96" spans="1:18" ht="11.45" customHeight="1">
      <c r="B96" s="231" t="s">
        <v>3422</v>
      </c>
      <c r="C96" s="665" t="s">
        <v>3754</v>
      </c>
      <c r="E96" s="160"/>
      <c r="M96" s="694" t="str">
        <f>IF(AND($I$90="Stable Communities &lt; 10%",O96=""), "X","")</f>
        <v/>
      </c>
      <c r="N96" s="231" t="s">
        <v>3422</v>
      </c>
      <c r="O96" s="1648" t="s">
        <v>3980</v>
      </c>
      <c r="P96" s="356"/>
    </row>
    <row r="97" spans="1:18" ht="3" customHeight="1">
      <c r="B97" s="160"/>
      <c r="C97" s="160"/>
      <c r="D97" s="160"/>
      <c r="E97" s="160"/>
      <c r="R97" s="51"/>
    </row>
    <row r="98" spans="1:18" ht="11.45" customHeight="1">
      <c r="A98" s="550" t="str">
        <f>IF($I$90="Stable Communities &lt; 20%", "X","")</f>
        <v>X</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7" t="s">
        <v>3981</v>
      </c>
      <c r="P99" s="355"/>
    </row>
    <row r="100" spans="1:18" ht="11.45" customHeight="1">
      <c r="B100" s="231" t="s">
        <v>3421</v>
      </c>
      <c r="C100" s="665" t="s">
        <v>3368</v>
      </c>
      <c r="E100" s="160"/>
      <c r="G100" s="132" t="s">
        <v>3369</v>
      </c>
      <c r="M100" s="572" t="str">
        <f>IF(AND($I$90="Stable Communities &lt; 20%",O100=""), "X","")</f>
        <v/>
      </c>
      <c r="N100" s="231" t="s">
        <v>3421</v>
      </c>
      <c r="O100" s="1652" t="s">
        <v>3981</v>
      </c>
      <c r="P100" s="541"/>
    </row>
    <row r="101" spans="1:18" ht="11.45" customHeight="1">
      <c r="B101" s="231" t="s">
        <v>3422</v>
      </c>
      <c r="C101" s="665" t="s">
        <v>3754</v>
      </c>
      <c r="E101" s="160"/>
      <c r="M101" s="572" t="str">
        <f>IF(AND($I$90="Stable Communities &lt; 20%",O101=""), "X","")</f>
        <v/>
      </c>
      <c r="N101" s="231" t="s">
        <v>3422</v>
      </c>
      <c r="O101" s="1648" t="s">
        <v>3981</v>
      </c>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61" t="str">
        <f>IF(AND($I$90="HOPE VI Initiative",O105=""), "X","")</f>
        <v/>
      </c>
      <c r="N105" s="231" t="s">
        <v>3420</v>
      </c>
      <c r="O105" s="1647" t="s">
        <v>2104</v>
      </c>
      <c r="P105" s="355"/>
    </row>
    <row r="106" spans="1:18" ht="10.9" customHeight="1">
      <c r="B106" s="552" t="s">
        <v>3421</v>
      </c>
      <c r="C106" s="553" t="s">
        <v>843</v>
      </c>
      <c r="M106" s="861" t="str">
        <f>IF(AND($I$90="HOPE VI Initiative",O106=""), "X","")</f>
        <v/>
      </c>
      <c r="N106" s="231" t="s">
        <v>3421</v>
      </c>
      <c r="O106" s="1652" t="s">
        <v>2104</v>
      </c>
      <c r="P106" s="541"/>
    </row>
    <row r="107" spans="1:18" ht="10.9" customHeight="1">
      <c r="B107" s="552" t="s">
        <v>3422</v>
      </c>
      <c r="C107" s="553" t="s">
        <v>844</v>
      </c>
      <c r="M107" s="861" t="str">
        <f>IF(AND($I$90="HOPE VI Initiative",O107=""), "X","")</f>
        <v/>
      </c>
      <c r="N107" s="231" t="s">
        <v>3422</v>
      </c>
      <c r="O107" s="1652" t="s">
        <v>2104</v>
      </c>
      <c r="P107" s="541"/>
    </row>
    <row r="108" spans="1:18" ht="10.9" customHeight="1">
      <c r="B108" s="552" t="s">
        <v>3423</v>
      </c>
      <c r="C108" s="69" t="s">
        <v>845</v>
      </c>
      <c r="M108" s="861" t="str">
        <f>IF(AND($I$90="HOPE VI Initiative",O108=""), "X","")</f>
        <v/>
      </c>
      <c r="N108" s="231" t="s">
        <v>3423</v>
      </c>
      <c r="O108" s="1648" t="s">
        <v>2104</v>
      </c>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574">
        <v>2</v>
      </c>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653" t="s">
        <v>2626</v>
      </c>
      <c r="I112" s="162" t="s">
        <v>1458</v>
      </c>
      <c r="J112" s="1654"/>
      <c r="K112" s="1655"/>
      <c r="L112" s="1656"/>
      <c r="M112" s="696">
        <v>1</v>
      </c>
      <c r="N112" s="551" t="s">
        <v>3550</v>
      </c>
      <c r="O112" s="1574" t="s">
        <v>2586</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t="s">
        <v>2586</v>
      </c>
      <c r="P114" s="232"/>
    </row>
    <row r="115" spans="1:18" ht="11.45" customHeight="1">
      <c r="B115" s="552" t="s">
        <v>3420</v>
      </c>
      <c r="C115" s="48" t="s">
        <v>3753</v>
      </c>
      <c r="D115" s="132"/>
      <c r="G115" s="132" t="s">
        <v>848</v>
      </c>
      <c r="H115" s="1658"/>
      <c r="M115" s="571" t="str">
        <f>IF(AND($I$90="Local Redevelopment Plan",O115=""), "X","")</f>
        <v/>
      </c>
      <c r="N115" s="552" t="s">
        <v>3420</v>
      </c>
      <c r="O115" s="1647" t="s">
        <v>2104</v>
      </c>
      <c r="P115" s="355"/>
    </row>
    <row r="116" spans="1:18" ht="10.9" customHeight="1">
      <c r="B116" s="552" t="s">
        <v>3421</v>
      </c>
      <c r="C116" s="553" t="s">
        <v>3446</v>
      </c>
      <c r="D116" s="132"/>
      <c r="M116" s="571"/>
      <c r="N116" s="552" t="s">
        <v>3421</v>
      </c>
      <c r="O116" s="1659" t="s">
        <v>2104</v>
      </c>
      <c r="P116" s="602"/>
    </row>
    <row r="117" spans="1:18" ht="10.9" customHeight="1">
      <c r="B117" s="552" t="s">
        <v>3422</v>
      </c>
      <c r="C117" s="553" t="s">
        <v>3447</v>
      </c>
      <c r="M117" s="571" t="str">
        <f t="shared" ref="M117:M121" si="0">IF(AND($I$90="Local Redevelopment Plan",O117=""), "X","")</f>
        <v/>
      </c>
      <c r="N117" s="552" t="s">
        <v>3422</v>
      </c>
      <c r="O117" s="1652" t="s">
        <v>2104</v>
      </c>
      <c r="P117" s="541"/>
    </row>
    <row r="118" spans="1:18" ht="10.9" customHeight="1">
      <c r="B118" s="552" t="s">
        <v>3423</v>
      </c>
      <c r="C118" s="553" t="s">
        <v>3448</v>
      </c>
      <c r="M118" s="571" t="str">
        <f t="shared" si="0"/>
        <v/>
      </c>
      <c r="N118" s="552" t="s">
        <v>3423</v>
      </c>
      <c r="O118" s="1652" t="s">
        <v>2104</v>
      </c>
      <c r="P118" s="541"/>
    </row>
    <row r="119" spans="1:18" ht="10.9" customHeight="1">
      <c r="B119" s="552" t="s">
        <v>3424</v>
      </c>
      <c r="C119" s="69" t="s">
        <v>3449</v>
      </c>
      <c r="M119" s="571" t="str">
        <f t="shared" si="0"/>
        <v/>
      </c>
      <c r="N119" s="552" t="s">
        <v>3424</v>
      </c>
      <c r="O119" s="1652" t="s">
        <v>2104</v>
      </c>
      <c r="P119" s="541"/>
    </row>
    <row r="120" spans="1:18" ht="10.9" customHeight="1">
      <c r="B120" s="552" t="s">
        <v>3444</v>
      </c>
      <c r="C120" s="553" t="s">
        <v>3450</v>
      </c>
      <c r="D120" s="132"/>
      <c r="M120" s="571" t="str">
        <f t="shared" si="0"/>
        <v/>
      </c>
      <c r="N120" s="552" t="s">
        <v>3444</v>
      </c>
      <c r="O120" s="1652" t="s">
        <v>3981</v>
      </c>
      <c r="P120" s="541"/>
    </row>
    <row r="121" spans="1:18" ht="10.9" customHeight="1">
      <c r="B121" s="552" t="s">
        <v>3445</v>
      </c>
      <c r="C121" s="553" t="s">
        <v>3451</v>
      </c>
      <c r="M121" s="571" t="str">
        <f t="shared" si="0"/>
        <v/>
      </c>
      <c r="N121" s="552" t="s">
        <v>3445</v>
      </c>
      <c r="O121" s="1648" t="s">
        <v>2104</v>
      </c>
      <c r="P121" s="356"/>
    </row>
    <row r="122" spans="1:18" ht="11.45" customHeight="1">
      <c r="A122" s="550" t="str">
        <f>IF($I$90="Stable Communities &lt; 20%", "X","")</f>
        <v>X</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2739</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2</v>
      </c>
      <c r="P132" s="93">
        <f>MIN($M132,(P133+P139))</f>
        <v>0</v>
      </c>
      <c r="Q132" s="148" t="s">
        <v>612</v>
      </c>
    </row>
    <row r="133" spans="1:17" ht="12" customHeight="1">
      <c r="B133" s="848"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0"/>
      <c r="P133" s="658"/>
    </row>
    <row r="134" spans="1:17" s="132" customFormat="1" ht="22.9" customHeight="1">
      <c r="B134" s="581" t="s">
        <v>2867</v>
      </c>
      <c r="C134" s="1214" t="s">
        <v>1459</v>
      </c>
      <c r="D134" s="1166"/>
      <c r="E134" s="1166"/>
      <c r="F134" s="1166"/>
      <c r="G134" s="1166"/>
      <c r="H134" s="1166"/>
      <c r="I134" s="1166"/>
      <c r="J134" s="1166"/>
      <c r="K134" s="1166"/>
      <c r="L134" s="1166"/>
      <c r="M134" s="657"/>
      <c r="N134" s="581" t="s">
        <v>2867</v>
      </c>
      <c r="O134" s="1574" t="s">
        <v>3980</v>
      </c>
      <c r="P134" s="232"/>
    </row>
    <row r="135" spans="1:17" s="132" customFormat="1" ht="11.45" customHeight="1">
      <c r="B135" s="250"/>
      <c r="C135" s="161" t="s">
        <v>1460</v>
      </c>
      <c r="H135" s="704" t="s">
        <v>3621</v>
      </c>
      <c r="I135" s="1653"/>
      <c r="J135" s="704" t="s">
        <v>3220</v>
      </c>
      <c r="K135" s="1661"/>
      <c r="L135" s="1662"/>
      <c r="M135" s="1663"/>
    </row>
    <row r="136" spans="1:17" s="132" customFormat="1" ht="11.45" customHeight="1">
      <c r="B136" s="250" t="s">
        <v>2869</v>
      </c>
      <c r="C136" s="161" t="s">
        <v>1461</v>
      </c>
      <c r="M136" s="8"/>
      <c r="N136" s="250" t="s">
        <v>2869</v>
      </c>
      <c r="O136" s="1647"/>
      <c r="P136" s="355"/>
    </row>
    <row r="137" spans="1:17" s="132" customFormat="1" ht="11.45" customHeight="1">
      <c r="B137" s="250" t="s">
        <v>3550</v>
      </c>
      <c r="C137" s="161" t="s">
        <v>1462</v>
      </c>
      <c r="M137" s="8"/>
      <c r="N137" s="250" t="s">
        <v>3550</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48" t="s">
        <v>2866</v>
      </c>
      <c r="C139" s="254" t="s">
        <v>3144</v>
      </c>
      <c r="D139" s="160"/>
      <c r="E139" s="666" t="s">
        <v>3650</v>
      </c>
      <c r="M139" s="3">
        <v>3</v>
      </c>
      <c r="N139" s="803" t="s">
        <v>2866</v>
      </c>
      <c r="O139" s="659">
        <f>IF($M140=5,3,IF($M140=4,2,0))</f>
        <v>2</v>
      </c>
      <c r="P139" s="85"/>
    </row>
    <row r="140" spans="1:17" ht="12" customHeight="1">
      <c r="B140" s="122"/>
      <c r="D140" s="40"/>
      <c r="E140" s="40"/>
      <c r="F140" s="40"/>
      <c r="G140" s="48"/>
      <c r="H140" s="48"/>
      <c r="I140" s="48"/>
      <c r="J140" s="48"/>
      <c r="L140" s="574" t="s">
        <v>688</v>
      </c>
      <c r="M140" s="1574">
        <v>4</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2739</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174"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174"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13" t="s">
        <v>3757</v>
      </c>
      <c r="C151" s="1178"/>
      <c r="D151" s="1178"/>
      <c r="E151" s="1178"/>
      <c r="F151" s="1178"/>
      <c r="G151" s="1178"/>
      <c r="H151" s="1178"/>
      <c r="I151" s="1178"/>
      <c r="J151" s="1178"/>
      <c r="K151" s="1178"/>
      <c r="L151" s="1178"/>
      <c r="M151" s="1178"/>
      <c r="N151" s="1178"/>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2505</v>
      </c>
      <c r="M154" s="718"/>
      <c r="N154" s="575"/>
      <c r="O154" s="575" t="s">
        <v>3445</v>
      </c>
      <c r="P154" s="719"/>
    </row>
    <row r="155" spans="1:17" s="583" customFormat="1" ht="12.75" customHeight="1">
      <c r="A155" s="575" t="s">
        <v>3452</v>
      </c>
      <c r="B155" s="295" t="s">
        <v>2506</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2739</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3146</v>
      </c>
      <c r="D162" s="73"/>
      <c r="E162" s="73"/>
      <c r="F162" s="52"/>
      <c r="G162" s="31"/>
      <c r="K162" s="803" t="s">
        <v>3963</v>
      </c>
      <c r="L162" s="1574" t="s">
        <v>3981</v>
      </c>
      <c r="M162" s="8">
        <v>1</v>
      </c>
      <c r="N162" s="803" t="s">
        <v>2863</v>
      </c>
      <c r="O162" s="1640">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2739</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3880</v>
      </c>
      <c r="C169" s="116"/>
      <c r="D169" s="70"/>
      <c r="E169" s="62"/>
      <c r="J169" s="73"/>
      <c r="K169" s="733" t="s">
        <v>3933</v>
      </c>
      <c r="L169" s="800" t="str">
        <f>'Part I-Project Information'!E81</f>
        <v>Yes</v>
      </c>
      <c r="M169" s="3">
        <v>3</v>
      </c>
      <c r="N169" s="7"/>
      <c r="O169" s="7"/>
      <c r="P169" s="85"/>
      <c r="Q169" s="148" t="s">
        <v>612</v>
      </c>
    </row>
    <row r="170" spans="1:18" s="51" customFormat="1" ht="12" customHeight="1">
      <c r="A170" s="189"/>
      <c r="B170" s="65" t="s">
        <v>3288</v>
      </c>
      <c r="D170" s="40"/>
      <c r="N170" s="803"/>
      <c r="O170" s="1574" t="s">
        <v>3981</v>
      </c>
      <c r="P170" s="232"/>
      <c r="R170" s="558"/>
    </row>
    <row r="171" spans="1:18" s="51" customFormat="1" ht="12" customHeight="1">
      <c r="A171" s="189"/>
      <c r="B171" s="65" t="s">
        <v>3947</v>
      </c>
      <c r="D171" s="40"/>
      <c r="N171" s="803"/>
      <c r="O171" s="1574" t="s">
        <v>3981</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2739</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3949</v>
      </c>
      <c r="G177" s="159"/>
      <c r="H177" s="665"/>
      <c r="I177" s="159"/>
      <c r="J177" s="801">
        <f>'Part VI-Revenues &amp; Expenses'!$M$74</f>
        <v>60</v>
      </c>
      <c r="K177" s="159"/>
      <c r="L177" s="802" t="str">
        <f>IF(AND(J177=0,O177&gt;0),"&lt;&lt;&lt; Check NC units!","")</f>
        <v/>
      </c>
      <c r="M177" s="3">
        <v>3</v>
      </c>
      <c r="N177" s="601" t="str">
        <f>IF(OR($O177=$M177,$O177=0,$O177=""),"","***")</f>
        <v/>
      </c>
      <c r="O177" s="1640"/>
      <c r="P177" s="85"/>
      <c r="Q177" s="148" t="s">
        <v>612</v>
      </c>
      <c r="R177" s="31"/>
    </row>
    <row r="178" spans="1:18" s="75" customFormat="1" ht="25.15" customHeight="1">
      <c r="A178" s="209"/>
      <c r="B178" s="1097" t="s">
        <v>3948</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78"/>
      <c r="B180" s="1579"/>
      <c r="C180" s="1579"/>
      <c r="D180" s="1579"/>
      <c r="E180" s="1579"/>
      <c r="F180" s="1579"/>
      <c r="G180" s="1579"/>
      <c r="H180" s="1579"/>
      <c r="I180" s="1580"/>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2714</v>
      </c>
      <c r="D183" s="134"/>
      <c r="E183" s="1664" t="s">
        <v>2639</v>
      </c>
      <c r="F183" s="1665"/>
      <c r="G183" s="1666"/>
      <c r="H183" s="1667"/>
      <c r="I183" s="61" t="s">
        <v>2713</v>
      </c>
      <c r="O183" s="162" t="s">
        <v>3523</v>
      </c>
      <c r="P183" s="162" t="s">
        <v>3523</v>
      </c>
    </row>
    <row r="184" spans="1:18" s="132" customFormat="1" ht="11.45" customHeight="1">
      <c r="A184" s="189" t="s">
        <v>2863</v>
      </c>
      <c r="B184" s="161" t="s">
        <v>2512</v>
      </c>
      <c r="D184" s="161"/>
      <c r="E184" s="161"/>
      <c r="F184" s="161"/>
      <c r="G184" s="1668" t="s">
        <v>3536</v>
      </c>
      <c r="H184" s="1669"/>
      <c r="I184" s="1670"/>
      <c r="J184" s="1668" t="s">
        <v>1715</v>
      </c>
      <c r="K184" s="1669"/>
      <c r="L184" s="1670"/>
      <c r="N184" s="803" t="s">
        <v>2863</v>
      </c>
      <c r="O184" s="1574"/>
      <c r="P184" s="232"/>
    </row>
    <row r="185" spans="1:18" s="132" customFormat="1" ht="11.45" customHeight="1">
      <c r="A185" s="189" t="s">
        <v>2866</v>
      </c>
      <c r="B185" s="161" t="s">
        <v>475</v>
      </c>
      <c r="D185" s="161"/>
      <c r="E185" s="161"/>
      <c r="F185" s="161"/>
      <c r="G185" s="161"/>
      <c r="L185" s="161"/>
      <c r="M185" s="161"/>
      <c r="N185" s="803" t="s">
        <v>2866</v>
      </c>
      <c r="O185" s="1574"/>
      <c r="P185" s="232"/>
    </row>
    <row r="186" spans="1:18" s="132" customFormat="1" ht="11.45" customHeight="1">
      <c r="A186" s="189" t="s">
        <v>1145</v>
      </c>
      <c r="B186" s="161" t="s">
        <v>2467</v>
      </c>
      <c r="D186" s="161"/>
      <c r="E186" s="161"/>
      <c r="F186" s="161"/>
      <c r="G186" s="161"/>
      <c r="H186" s="161"/>
      <c r="L186" s="161"/>
      <c r="M186" s="161"/>
      <c r="N186" s="803" t="s">
        <v>1145</v>
      </c>
      <c r="O186" s="1574" t="s">
        <v>3981</v>
      </c>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4" t="s">
        <v>3981</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4047</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2739</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7" t="s">
        <v>2104</v>
      </c>
      <c r="P195" s="355"/>
    </row>
    <row r="196" spans="1:18" s="132" customFormat="1" ht="11.25" customHeight="1">
      <c r="B196" s="715" t="s">
        <v>2869</v>
      </c>
      <c r="C196" s="132" t="s">
        <v>809</v>
      </c>
      <c r="N196" s="250" t="s">
        <v>2869</v>
      </c>
      <c r="O196" s="1652" t="s">
        <v>2104</v>
      </c>
      <c r="P196" s="541"/>
    </row>
    <row r="197" spans="1:18" s="132" customFormat="1" ht="11.25" customHeight="1">
      <c r="B197" s="715" t="s">
        <v>3550</v>
      </c>
      <c r="C197" s="132" t="s">
        <v>810</v>
      </c>
      <c r="N197" s="250" t="s">
        <v>3550</v>
      </c>
      <c r="O197" s="1652" t="s">
        <v>2104</v>
      </c>
      <c r="P197" s="541"/>
    </row>
    <row r="198" spans="1:18" s="132" customFormat="1" ht="11.25" customHeight="1">
      <c r="B198" s="715" t="s">
        <v>1762</v>
      </c>
      <c r="C198" s="132" t="s">
        <v>811</v>
      </c>
      <c r="N198" s="250" t="s">
        <v>1762</v>
      </c>
      <c r="O198" s="1652" t="s">
        <v>2104</v>
      </c>
      <c r="P198" s="541"/>
    </row>
    <row r="199" spans="1:18" s="132" customFormat="1" ht="11.25" customHeight="1">
      <c r="B199" s="715" t="s">
        <v>1763</v>
      </c>
      <c r="C199" s="132" t="s">
        <v>819</v>
      </c>
      <c r="N199" s="250" t="s">
        <v>1763</v>
      </c>
      <c r="O199" s="1648" t="s">
        <v>2104</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3723</v>
      </c>
      <c r="I202" s="1215" t="s">
        <v>2871</v>
      </c>
      <c r="J202" s="1215"/>
      <c r="L202" s="858" t="s">
        <v>2871</v>
      </c>
      <c r="M202" s="216"/>
      <c r="N202" s="250" t="s">
        <v>2867</v>
      </c>
    </row>
    <row r="203" spans="1:18" s="51" customFormat="1" ht="11.25" customHeight="1">
      <c r="A203" s="251"/>
      <c r="B203" s="150"/>
      <c r="C203" s="552" t="s">
        <v>3420</v>
      </c>
      <c r="D203" s="44" t="s">
        <v>2073</v>
      </c>
      <c r="H203" s="65"/>
      <c r="I203" s="1671"/>
      <c r="J203" s="1672"/>
      <c r="K203" s="253"/>
      <c r="L203" s="705"/>
      <c r="M203" s="89"/>
      <c r="N203" s="552" t="s">
        <v>3420</v>
      </c>
      <c r="O203" s="1647"/>
      <c r="P203" s="355"/>
      <c r="R203" s="558"/>
    </row>
    <row r="204" spans="1:18" ht="11.25" customHeight="1">
      <c r="A204" s="252"/>
      <c r="B204" s="108"/>
      <c r="C204" s="575" t="s">
        <v>3421</v>
      </c>
      <c r="D204" s="44" t="s">
        <v>2074</v>
      </c>
      <c r="H204" s="65"/>
      <c r="I204" s="1671"/>
      <c r="J204" s="1672"/>
      <c r="L204" s="705"/>
      <c r="M204" s="89"/>
      <c r="N204" s="575" t="s">
        <v>3421</v>
      </c>
      <c r="O204" s="1652"/>
      <c r="P204" s="541"/>
      <c r="R204" s="558"/>
    </row>
    <row r="205" spans="1:18" ht="11.25" customHeight="1">
      <c r="B205" s="715"/>
      <c r="C205" s="552" t="s">
        <v>3422</v>
      </c>
      <c r="D205" s="44" t="s">
        <v>3720</v>
      </c>
      <c r="H205" s="65"/>
      <c r="I205" s="1671"/>
      <c r="J205" s="1672"/>
      <c r="L205" s="705"/>
      <c r="M205" s="89"/>
      <c r="N205" s="552" t="s">
        <v>3422</v>
      </c>
      <c r="O205" s="1652"/>
      <c r="P205" s="541"/>
      <c r="R205" s="558"/>
    </row>
    <row r="206" spans="1:18" ht="11.25" customHeight="1">
      <c r="A206" s="252"/>
      <c r="B206" s="715"/>
      <c r="C206" s="552" t="s">
        <v>3423</v>
      </c>
      <c r="D206" s="44" t="s">
        <v>3721</v>
      </c>
      <c r="I206" s="1671"/>
      <c r="J206" s="1672"/>
      <c r="L206" s="705"/>
      <c r="M206" s="89"/>
      <c r="N206" s="552" t="s">
        <v>3423</v>
      </c>
      <c r="O206" s="1652"/>
      <c r="P206" s="541"/>
      <c r="R206" s="558"/>
    </row>
    <row r="207" spans="1:18" s="51" customFormat="1" ht="11.25" customHeight="1">
      <c r="A207" s="251"/>
      <c r="B207" s="715"/>
      <c r="C207" s="575" t="s">
        <v>3424</v>
      </c>
      <c r="D207" s="44" t="s">
        <v>2075</v>
      </c>
      <c r="H207" s="65"/>
      <c r="I207" s="1671"/>
      <c r="J207" s="1672"/>
      <c r="K207" s="253"/>
      <c r="L207" s="705"/>
      <c r="M207" s="89"/>
      <c r="N207" s="575" t="s">
        <v>3424</v>
      </c>
      <c r="O207" s="1652"/>
      <c r="P207" s="541"/>
      <c r="R207" s="558"/>
    </row>
    <row r="208" spans="1:18" ht="11.25" customHeight="1">
      <c r="A208" s="252"/>
      <c r="B208" s="715"/>
      <c r="C208" s="552" t="s">
        <v>3444</v>
      </c>
      <c r="D208" s="44" t="s">
        <v>2076</v>
      </c>
      <c r="H208" s="65"/>
      <c r="I208" s="1671"/>
      <c r="J208" s="1672"/>
      <c r="L208" s="705"/>
      <c r="M208" s="89"/>
      <c r="N208" s="552" t="s">
        <v>3444</v>
      </c>
      <c r="O208" s="1652"/>
      <c r="P208" s="541"/>
      <c r="R208" s="558"/>
    </row>
    <row r="209" spans="1:18" ht="11.25" customHeight="1">
      <c r="A209" s="252"/>
      <c r="B209" s="715"/>
      <c r="C209" s="552" t="s">
        <v>3445</v>
      </c>
      <c r="D209" s="44" t="s">
        <v>2077</v>
      </c>
      <c r="H209" s="65"/>
      <c r="I209" s="1671"/>
      <c r="J209" s="1672"/>
      <c r="L209" s="705"/>
      <c r="M209" s="89"/>
      <c r="N209" s="552" t="s">
        <v>3445</v>
      </c>
      <c r="O209" s="1652"/>
      <c r="P209" s="541"/>
      <c r="R209" s="558"/>
    </row>
    <row r="210" spans="1:18" ht="11.25" customHeight="1" thickBot="1">
      <c r="A210" s="252"/>
      <c r="B210" s="715"/>
      <c r="C210" s="552" t="s">
        <v>3452</v>
      </c>
      <c r="D210" s="701" t="s">
        <v>3722</v>
      </c>
      <c r="E210" s="702"/>
      <c r="F210" s="702"/>
      <c r="G210" s="702"/>
      <c r="H210" s="703"/>
      <c r="I210" s="1673"/>
      <c r="J210" s="1674"/>
      <c r="L210" s="709"/>
      <c r="M210" s="89"/>
      <c r="N210" s="552" t="s">
        <v>3452</v>
      </c>
      <c r="O210" s="1648"/>
      <c r="P210" s="356"/>
      <c r="R210" s="558"/>
    </row>
    <row r="211" spans="1:18" ht="12" customHeight="1" thickBot="1">
      <c r="A211" s="252"/>
      <c r="B211" s="715"/>
      <c r="D211" s="699" t="s">
        <v>3725</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2869</v>
      </c>
      <c r="C213" s="722" t="s">
        <v>3724</v>
      </c>
      <c r="D213" s="699" t="s">
        <v>3726</v>
      </c>
      <c r="I213" s="1207">
        <f>'Part IV-Uses of Funds'!$G$123</f>
        <v>9416596</v>
      </c>
      <c r="J213" s="1208"/>
      <c r="M213" s="216"/>
      <c r="N213" s="31"/>
      <c r="O213" s="31"/>
      <c r="P213" s="31"/>
    </row>
    <row r="214" spans="1:18" ht="12" customHeight="1">
      <c r="B214" s="250"/>
      <c r="C214" s="698"/>
      <c r="D214" s="720" t="s">
        <v>3727</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3322</v>
      </c>
      <c r="D220" s="583"/>
      <c r="E220" s="1680"/>
      <c r="F220" s="1681"/>
      <c r="G220" s="1681"/>
      <c r="H220" s="1681"/>
      <c r="I220" s="1681"/>
      <c r="J220" s="1681"/>
      <c r="K220" s="1681"/>
      <c r="L220" s="1681"/>
      <c r="M220" s="1681"/>
      <c r="N220" s="1681"/>
      <c r="O220" s="1681"/>
      <c r="P220" s="1313"/>
    </row>
    <row r="221" spans="1:18" ht="12.6" customHeight="1">
      <c r="B221" s="44" t="s">
        <v>3864</v>
      </c>
      <c r="E221" s="704"/>
      <c r="I221" s="1682"/>
      <c r="J221" s="1683"/>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2739</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647" t="s">
        <v>3981</v>
      </c>
      <c r="P229" s="355"/>
      <c r="R229" s="558"/>
    </row>
    <row r="230" spans="1:18" s="51" customFormat="1" ht="24.6" customHeight="1">
      <c r="A230" s="50"/>
      <c r="B230" s="1211" t="s">
        <v>3643</v>
      </c>
      <c r="C230" s="1212"/>
      <c r="D230" s="1212"/>
      <c r="E230" s="1212"/>
      <c r="F230" s="1212"/>
      <c r="G230" s="1212"/>
      <c r="H230" s="1212"/>
      <c r="I230" s="1212"/>
      <c r="J230" s="1212"/>
      <c r="K230" s="1212"/>
      <c r="L230" s="1212"/>
      <c r="M230" s="54"/>
      <c r="N230" s="74"/>
      <c r="O230" s="1648" t="s">
        <v>3981</v>
      </c>
      <c r="P230" s="356"/>
    </row>
    <row r="231" spans="1:18" s="51" customFormat="1" ht="12" customHeight="1">
      <c r="A231" s="189" t="s">
        <v>2866</v>
      </c>
      <c r="B231" s="236" t="s">
        <v>3728</v>
      </c>
      <c r="D231" s="40"/>
      <c r="E231" s="40"/>
      <c r="F231" s="40"/>
      <c r="H231" s="65" t="s">
        <v>3288</v>
      </c>
      <c r="N231" s="803" t="s">
        <v>2866</v>
      </c>
      <c r="O231" s="1574" t="s">
        <v>3981</v>
      </c>
      <c r="P231" s="232"/>
      <c r="R231" s="558"/>
    </row>
    <row r="232" spans="1:18" s="51" customFormat="1" ht="12" customHeight="1">
      <c r="A232" s="50"/>
      <c r="B232" s="65" t="s">
        <v>3731</v>
      </c>
      <c r="D232" s="47"/>
      <c r="E232" s="44"/>
      <c r="F232" s="1"/>
      <c r="G232" s="1"/>
      <c r="H232" s="1"/>
      <c r="I232" s="1"/>
      <c r="J232" s="38"/>
      <c r="K232" s="38"/>
      <c r="L232" s="38"/>
      <c r="M232" s="821"/>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7" t="s">
        <v>3981</v>
      </c>
      <c r="P233" s="355"/>
    </row>
    <row r="234" spans="1:18" s="132" customFormat="1" ht="11.25" customHeight="1">
      <c r="B234" s="551" t="s">
        <v>2869</v>
      </c>
      <c r="C234" s="697" t="s">
        <v>3730</v>
      </c>
      <c r="N234" s="250" t="s">
        <v>2869</v>
      </c>
      <c r="O234" s="1652" t="s">
        <v>3981</v>
      </c>
      <c r="P234" s="541"/>
    </row>
    <row r="235" spans="1:18" s="132" customFormat="1" ht="11.25" customHeight="1">
      <c r="B235" s="551" t="s">
        <v>3550</v>
      </c>
      <c r="C235" s="697" t="s">
        <v>3732</v>
      </c>
      <c r="N235" s="250" t="s">
        <v>3550</v>
      </c>
      <c r="O235" s="1652" t="s">
        <v>3981</v>
      </c>
      <c r="P235" s="541"/>
    </row>
    <row r="236" spans="1:18" s="132" customFormat="1" ht="11.25" customHeight="1">
      <c r="B236" s="551" t="s">
        <v>1762</v>
      </c>
      <c r="C236" s="697" t="s">
        <v>3733</v>
      </c>
      <c r="N236" s="250" t="s">
        <v>1762</v>
      </c>
      <c r="O236" s="1648" t="s">
        <v>3981</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2739</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684">
        <v>3</v>
      </c>
      <c r="P243" s="743"/>
      <c r="Q243" s="148"/>
      <c r="R243" s="558" t="str">
        <f>IF(OR($O243=$M243,$O243=0,$O243=""),"","* * Check Score! * *")</f>
        <v/>
      </c>
    </row>
    <row r="244" spans="1:18" s="51" customFormat="1" ht="36" customHeight="1">
      <c r="A244" s="189"/>
      <c r="B244" s="1180" t="s">
        <v>3736</v>
      </c>
      <c r="C244" s="1180"/>
      <c r="D244" s="1180"/>
      <c r="E244" s="1180"/>
      <c r="F244" s="1180"/>
      <c r="G244" s="1180"/>
      <c r="H244" s="1180"/>
      <c r="I244" s="1180"/>
      <c r="J244" s="1180"/>
      <c r="K244" s="1180"/>
      <c r="L244" s="1180"/>
      <c r="M244" s="558"/>
      <c r="N244" s="558"/>
      <c r="O244" s="1685"/>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21" t="s">
        <v>172</v>
      </c>
      <c r="D247" s="1121"/>
      <c r="E247" s="1121"/>
      <c r="F247" s="1121"/>
      <c r="G247" s="1121"/>
      <c r="H247" s="1121"/>
      <c r="I247" s="1121"/>
      <c r="J247" s="1121"/>
      <c r="K247" s="1121"/>
      <c r="L247" s="1121"/>
      <c r="M247" s="656">
        <v>2</v>
      </c>
      <c r="O247" s="1684"/>
      <c r="P247" s="743"/>
    </row>
    <row r="248" spans="1:18" s="655" customFormat="1" ht="24" customHeight="1">
      <c r="A248" s="711" t="s">
        <v>1921</v>
      </c>
      <c r="B248" s="723" t="s">
        <v>2869</v>
      </c>
      <c r="C248" s="1121" t="s">
        <v>3762</v>
      </c>
      <c r="D248" s="1121"/>
      <c r="E248" s="1121"/>
      <c r="F248" s="1121"/>
      <c r="G248" s="1121"/>
      <c r="H248" s="1121"/>
      <c r="I248" s="1121"/>
      <c r="J248" s="1121"/>
      <c r="K248" s="1121"/>
      <c r="L248" s="1121"/>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2739</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574" t="s">
        <v>3981</v>
      </c>
      <c r="P255" s="232"/>
    </row>
    <row r="256" spans="1:18" ht="12.6" customHeight="1">
      <c r="A256" s="189" t="s">
        <v>2863</v>
      </c>
      <c r="B256" s="254" t="s">
        <v>2020</v>
      </c>
      <c r="D256" s="40"/>
      <c r="E256" s="40"/>
      <c r="F256" s="40"/>
      <c r="G256" s="40"/>
      <c r="H256" s="40"/>
      <c r="I256" s="40"/>
      <c r="J256" s="40"/>
      <c r="K256" s="40"/>
      <c r="L256" s="40"/>
      <c r="M256" s="157"/>
      <c r="N256" s="803" t="s">
        <v>2863</v>
      </c>
      <c r="O256" s="1686">
        <v>10</v>
      </c>
      <c r="P256" s="580"/>
    </row>
    <row r="257" spans="1:18" ht="12.6" customHeight="1">
      <c r="A257" s="189" t="s">
        <v>2866</v>
      </c>
      <c r="B257" s="254" t="s">
        <v>325</v>
      </c>
      <c r="D257" s="40"/>
      <c r="E257" s="40"/>
      <c r="F257" s="40"/>
      <c r="G257" s="48"/>
      <c r="H257" s="48"/>
      <c r="I257" s="48"/>
      <c r="J257" s="48"/>
      <c r="K257" s="48"/>
      <c r="M257" s="134"/>
      <c r="N257" s="803" t="s">
        <v>2866</v>
      </c>
      <c r="O257" s="1574" t="s">
        <v>3988</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2739</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3737</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3738</v>
      </c>
      <c r="D264" s="73" t="s">
        <v>3967</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62"/>
      <c r="K266" s="862"/>
      <c r="L266" s="862"/>
      <c r="M266" s="714"/>
      <c r="O266" s="1640"/>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3951</v>
      </c>
      <c r="D268" s="1121"/>
      <c r="E268" s="1121"/>
      <c r="F268" s="1121"/>
      <c r="G268" s="1121"/>
      <c r="H268" s="1121"/>
      <c r="I268" s="1121"/>
      <c r="J268" s="1121"/>
      <c r="K268" s="1121"/>
      <c r="L268" s="1121"/>
      <c r="M268" s="714"/>
      <c r="N268" s="656"/>
      <c r="O268" s="1687"/>
      <c r="P268" s="712"/>
    </row>
    <row r="269" spans="1:18" s="655" customFormat="1" ht="12" customHeight="1">
      <c r="A269" s="713" t="s">
        <v>1921</v>
      </c>
      <c r="B269" s="723" t="s">
        <v>3550</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25" t="s">
        <v>3952</v>
      </c>
      <c r="D270" s="1125"/>
      <c r="E270" s="1125"/>
      <c r="F270" s="1125"/>
      <c r="G270" s="1125"/>
      <c r="H270" s="1125"/>
      <c r="I270" s="1125"/>
      <c r="J270" s="1125"/>
      <c r="K270" s="1125"/>
      <c r="L270" s="1125"/>
      <c r="M270" s="656"/>
      <c r="N270" s="575" t="s">
        <v>3420</v>
      </c>
      <c r="O270" s="1688"/>
      <c r="P270" s="740"/>
    </row>
    <row r="271" spans="1:18" s="655" customFormat="1" ht="22.5" customHeight="1">
      <c r="A271" s="654"/>
      <c r="B271" s="575" t="s">
        <v>3421</v>
      </c>
      <c r="C271" s="1121" t="s">
        <v>3763</v>
      </c>
      <c r="D271" s="1121"/>
      <c r="E271" s="1121"/>
      <c r="F271" s="1121"/>
      <c r="G271" s="1121"/>
      <c r="H271" s="1121"/>
      <c r="I271" s="1121"/>
      <c r="J271" s="1121"/>
      <c r="K271" s="1121"/>
      <c r="L271" s="1121"/>
      <c r="M271" s="656"/>
      <c r="N271" s="575" t="s">
        <v>3421</v>
      </c>
      <c r="O271" s="1689"/>
      <c r="P271" s="741"/>
    </row>
    <row r="272" spans="1:18" s="655" customFormat="1" ht="22.5" customHeight="1">
      <c r="A272" s="654"/>
      <c r="B272" s="575" t="s">
        <v>3422</v>
      </c>
      <c r="C272" s="1121" t="s">
        <v>3740</v>
      </c>
      <c r="D272" s="1121"/>
      <c r="E272" s="1121"/>
      <c r="F272" s="1121"/>
      <c r="G272" s="1121"/>
      <c r="H272" s="1121"/>
      <c r="I272" s="1121"/>
      <c r="J272" s="1121"/>
      <c r="K272" s="1121"/>
      <c r="L272" s="1121"/>
      <c r="M272" s="656"/>
      <c r="N272" s="575" t="s">
        <v>3422</v>
      </c>
      <c r="O272" s="1690"/>
      <c r="P272" s="742"/>
    </row>
    <row r="273" spans="1:18" ht="13.5" customHeight="1">
      <c r="A273" s="189" t="s">
        <v>2866</v>
      </c>
      <c r="B273" s="236" t="s">
        <v>3741</v>
      </c>
      <c r="D273" s="40"/>
      <c r="E273" s="73" t="s">
        <v>3966</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21" t="s">
        <v>3744</v>
      </c>
      <c r="D275" s="1121"/>
      <c r="E275" s="1121"/>
      <c r="F275" s="1121"/>
      <c r="G275" s="1121"/>
      <c r="H275" s="1121"/>
      <c r="I275" s="1121"/>
      <c r="J275" s="1121"/>
      <c r="K275" s="1121"/>
      <c r="L275" s="1121"/>
      <c r="M275" s="656">
        <v>4</v>
      </c>
      <c r="N275" s="575" t="s">
        <v>3420</v>
      </c>
      <c r="O275" s="1688"/>
      <c r="P275" s="740"/>
    </row>
    <row r="276" spans="1:18" s="655" customFormat="1" ht="22.5" customHeight="1">
      <c r="A276" s="219" t="s">
        <v>3764</v>
      </c>
      <c r="B276" s="575" t="s">
        <v>3421</v>
      </c>
      <c r="C276" s="1121" t="s">
        <v>3745</v>
      </c>
      <c r="D276" s="1121"/>
      <c r="E276" s="1121"/>
      <c r="F276" s="1121"/>
      <c r="G276" s="1121"/>
      <c r="H276" s="1121"/>
      <c r="I276" s="1121"/>
      <c r="J276" s="1121"/>
      <c r="K276" s="1121"/>
      <c r="L276" s="1121"/>
      <c r="M276" s="656">
        <v>2</v>
      </c>
      <c r="N276" s="575" t="s">
        <v>3421</v>
      </c>
      <c r="O276" s="1690"/>
      <c r="P276" s="742"/>
    </row>
    <row r="277" spans="1:18" s="132" customFormat="1" ht="12" customHeight="1">
      <c r="B277" s="551" t="s">
        <v>2869</v>
      </c>
      <c r="C277" s="724" t="s">
        <v>3743</v>
      </c>
      <c r="L277" s="558" t="str">
        <f>IF(OR($O277=$M277,$O277=0,$O277=""),"","* * Check Score! * *")</f>
        <v/>
      </c>
      <c r="M277" s="8">
        <v>1</v>
      </c>
      <c r="N277" s="250" t="s">
        <v>2869</v>
      </c>
      <c r="O277" s="1640"/>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21" t="s">
        <v>3748</v>
      </c>
      <c r="D279" s="1121"/>
      <c r="E279" s="1121"/>
      <c r="F279" s="1121"/>
      <c r="G279" s="1121"/>
      <c r="H279" s="1121"/>
      <c r="I279" s="1121"/>
      <c r="J279" s="1121"/>
      <c r="K279" s="1121"/>
      <c r="L279" s="1121"/>
      <c r="M279" s="656">
        <v>2</v>
      </c>
      <c r="N279" s="575" t="s">
        <v>3420</v>
      </c>
      <c r="O279" s="1684"/>
      <c r="P279" s="743"/>
    </row>
    <row r="280" spans="1:18" s="655" customFormat="1" ht="12" customHeight="1">
      <c r="A280" s="219" t="s">
        <v>3764</v>
      </c>
      <c r="B280" s="575" t="s">
        <v>3421</v>
      </c>
      <c r="C280" s="1121" t="s">
        <v>3747</v>
      </c>
      <c r="D280" s="1121"/>
      <c r="E280" s="1121"/>
      <c r="F280" s="1121"/>
      <c r="G280" s="1121"/>
      <c r="H280" s="1121"/>
      <c r="I280" s="1121"/>
      <c r="J280" s="1121"/>
      <c r="K280" s="1121"/>
      <c r="L280" s="1121"/>
      <c r="M280" s="656">
        <v>1</v>
      </c>
      <c r="N280" s="575" t="s">
        <v>3421</v>
      </c>
      <c r="O280" s="1685"/>
      <c r="P280" s="744"/>
    </row>
    <row r="281" spans="1:18" s="132" customFormat="1" ht="12" customHeight="1">
      <c r="B281" s="551" t="s">
        <v>1762</v>
      </c>
      <c r="C281" s="724" t="s">
        <v>3749</v>
      </c>
      <c r="F281" s="697" t="s">
        <v>3865</v>
      </c>
      <c r="L281" s="558"/>
      <c r="M281" s="8">
        <v>2</v>
      </c>
      <c r="N281" s="250" t="s">
        <v>1762</v>
      </c>
      <c r="O281" s="1640"/>
      <c r="P281" s="85"/>
    </row>
    <row r="282" spans="1:18" s="132" customFormat="1" ht="12" customHeight="1">
      <c r="B282" s="551" t="s">
        <v>1763</v>
      </c>
      <c r="C282" s="724" t="s">
        <v>3750</v>
      </c>
      <c r="F282" s="697" t="s">
        <v>3752</v>
      </c>
      <c r="J282" s="1175">
        <f>'Part IV-Uses of Funds'!$B$39/'Part IV-Uses of Funds'!$G$123</f>
        <v>0.67507674747860058</v>
      </c>
      <c r="K282" s="1176"/>
      <c r="L282" s="558"/>
      <c r="M282" s="8">
        <v>2</v>
      </c>
      <c r="N282" s="250" t="s">
        <v>1763</v>
      </c>
      <c r="O282" s="1640"/>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4"/>
      <c r="P284" s="232"/>
      <c r="R284" s="558"/>
    </row>
    <row r="285" spans="1:18" s="51" customFormat="1" ht="12" customHeight="1">
      <c r="A285" s="189"/>
      <c r="B285" s="575" t="s">
        <v>3421</v>
      </c>
      <c r="C285" s="65" t="s">
        <v>3947</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2739</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14</v>
      </c>
    </row>
    <row r="292" spans="1:19" s="50" customFormat="1" ht="13.5" customHeight="1">
      <c r="A292" s="64"/>
      <c r="B292" s="81"/>
      <c r="C292" s="64"/>
      <c r="D292" s="43"/>
      <c r="E292" s="43"/>
      <c r="F292" s="83"/>
      <c r="G292" s="83"/>
      <c r="H292" s="236" t="s">
        <v>3901</v>
      </c>
      <c r="I292" s="82"/>
      <c r="J292" s="82"/>
      <c r="K292" s="82"/>
      <c r="L292" s="51"/>
      <c r="M292" s="43"/>
      <c r="N292" s="3"/>
      <c r="O292" s="793">
        <f>O291-O263</f>
        <v>52</v>
      </c>
      <c r="P292" s="793">
        <f>P291-P263</f>
        <v>14</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2391</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3183</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2394</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Hidden Glen Village</v>
      </c>
    </row>
    <row r="3" spans="1:6" ht="16.5">
      <c r="A3" s="576" t="str">
        <f>CONCATENATE('Part I-Project Information'!F24,", ", 'Part I-Project Information'!J25," County")</f>
        <v>Hinesville, Liberty County</v>
      </c>
    </row>
    <row r="4" spans="1:6" ht="12" customHeight="1"/>
    <row r="5" spans="1:6" ht="113.25" customHeight="1">
      <c r="A5" s="1216" t="s">
        <v>4048</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Hidden Glen Village</v>
      </c>
    </row>
    <row r="3" spans="1:6" ht="16.5">
      <c r="A3" s="576" t="str">
        <f>CONCATENATE('Part I-Project Information'!F24,", ", 'Part I-Project Information'!J25," County")</f>
        <v>Hinesville, Liberty County</v>
      </c>
    </row>
    <row r="4" spans="1:6" ht="12" customHeight="1"/>
    <row r="5" spans="1:6" ht="60" customHeight="1">
      <c r="A5" s="1216" t="s">
        <v>4049</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3251</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3" t="s">
        <v>953</v>
      </c>
      <c r="C22" s="1223"/>
      <c r="D22" s="1223"/>
      <c r="E22" s="1223"/>
      <c r="F22" s="1223"/>
      <c r="G22" s="1223"/>
      <c r="H22" s="1223"/>
      <c r="I22" s="1223"/>
      <c r="J22" s="1223"/>
      <c r="K22" s="1223"/>
      <c r="L22" s="1223"/>
      <c r="M22" s="1223"/>
    </row>
    <row r="23" spans="1:13" ht="165.6" customHeight="1">
      <c r="A23" s="140" t="s">
        <v>2153</v>
      </c>
      <c r="B23" s="1223" t="s">
        <v>2920</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2860</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Q20" sqref="Q2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10596960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12716370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11656650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3855</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3214</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3850</v>
      </c>
      <c r="J76" s="241" t="s">
        <v>2618</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Hidden Glen Village</v>
      </c>
    </row>
    <row r="3" spans="1:6" ht="16.5">
      <c r="A3" s="1281" t="str">
        <f>CONCATENATE('Part I-Project Information'!F24,", ", 'Part I-Project Information'!J25," County")</f>
        <v>Hinesville, Liberty County</v>
      </c>
    </row>
    <row r="4" spans="1:6" ht="12" customHeight="1"/>
    <row r="5" spans="1:6" ht="111" customHeight="1">
      <c r="A5" s="1282" t="s">
        <v>4065</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- 2012-006 Hidden Glen Village, Hinesville, Liberty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908" t="s">
        <v>3868</v>
      </c>
      <c r="P3" s="908"/>
    </row>
    <row r="4" spans="1:16" s="449" customFormat="1" ht="12" customHeight="1" thickBot="1">
      <c r="A4" s="844"/>
      <c r="B4" s="452"/>
      <c r="C4" s="452"/>
      <c r="D4" s="453"/>
      <c r="E4" s="400" t="s">
        <v>615</v>
      </c>
      <c r="H4" s="836"/>
      <c r="I4" s="836"/>
      <c r="J4" s="836"/>
      <c r="O4" s="1284" t="s">
        <v>4077</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3349</v>
      </c>
      <c r="D6" s="416"/>
      <c r="E6" s="454"/>
      <c r="F6" s="455" t="s">
        <v>2567</v>
      </c>
      <c r="J6" s="898">
        <f>'Part IV-Uses of Funds'!J165</f>
        <v>797750</v>
      </c>
      <c r="K6" s="899"/>
      <c r="O6" s="896" t="s">
        <v>3867</v>
      </c>
      <c r="P6" s="896"/>
    </row>
    <row r="7" spans="1:16" s="2" customFormat="1" ht="13.15" customHeight="1">
      <c r="A7" s="5"/>
      <c r="C7" s="5"/>
      <c r="D7" s="31"/>
      <c r="E7" s="549"/>
      <c r="F7" s="449" t="s">
        <v>1850</v>
      </c>
      <c r="J7" s="900">
        <f>'Part III A-Sources of Funds'!J5</f>
        <v>0</v>
      </c>
      <c r="K7" s="901"/>
      <c r="M7" s="449"/>
      <c r="N7" s="449"/>
      <c r="O7" s="1286" t="s">
        <v>3968</v>
      </c>
      <c r="P7" s="1287"/>
    </row>
    <row r="8" spans="1:16" s="449" customFormat="1" ht="7.15" customHeight="1">
      <c r="A8" s="452"/>
      <c r="C8" s="452"/>
      <c r="D8" s="416"/>
      <c r="E8" s="454"/>
      <c r="F8" s="454"/>
      <c r="I8" s="456"/>
      <c r="N8" s="457"/>
    </row>
    <row r="9" spans="1:16" s="449" customFormat="1" ht="13.15" customHeight="1">
      <c r="A9" s="456" t="s">
        <v>1136</v>
      </c>
      <c r="C9" s="452" t="s">
        <v>2926</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3977</v>
      </c>
      <c r="G13" s="1293"/>
      <c r="H13" s="1293"/>
      <c r="I13" s="1293"/>
      <c r="J13" s="1293"/>
      <c r="K13" s="1293"/>
      <c r="L13" s="1294"/>
      <c r="M13" s="827" t="s">
        <v>2860</v>
      </c>
      <c r="N13" s="1292" t="s">
        <v>3978</v>
      </c>
      <c r="O13" s="1293"/>
      <c r="P13" s="1294"/>
    </row>
    <row r="14" spans="1:16" s="449" customFormat="1" ht="13.15" customHeight="1">
      <c r="C14" s="455" t="s">
        <v>2861</v>
      </c>
      <c r="F14" s="1292" t="s">
        <v>3989</v>
      </c>
      <c r="G14" s="1293"/>
      <c r="H14" s="1293"/>
      <c r="I14" s="1293"/>
      <c r="J14" s="1293"/>
      <c r="K14" s="1293"/>
      <c r="L14" s="1294"/>
      <c r="M14" s="827" t="s">
        <v>2573</v>
      </c>
      <c r="O14" s="1295">
        <v>6017078715</v>
      </c>
      <c r="P14" s="1296"/>
    </row>
    <row r="15" spans="1:16" s="449" customFormat="1" ht="13.15" customHeight="1">
      <c r="C15" s="455" t="s">
        <v>876</v>
      </c>
      <c r="F15" s="1297" t="s">
        <v>217</v>
      </c>
      <c r="G15" s="1298"/>
      <c r="H15" s="1299"/>
      <c r="M15" s="827" t="s">
        <v>2658</v>
      </c>
      <c r="O15" s="1300">
        <v>6017075661</v>
      </c>
      <c r="P15" s="1301"/>
    </row>
    <row r="16" spans="1:16" s="449" customFormat="1" ht="13.15" customHeight="1">
      <c r="C16" s="455" t="s">
        <v>2655</v>
      </c>
      <c r="F16" s="1302" t="s">
        <v>1351</v>
      </c>
      <c r="I16" s="836" t="s">
        <v>3139</v>
      </c>
      <c r="J16" s="1303">
        <v>313100672</v>
      </c>
      <c r="K16" s="1304"/>
      <c r="M16" s="827" t="s">
        <v>2859</v>
      </c>
      <c r="O16" s="1300">
        <v>6016726285</v>
      </c>
      <c r="P16" s="1301"/>
    </row>
    <row r="17" spans="1:16" s="449" customFormat="1" ht="13.15" customHeight="1">
      <c r="B17" s="833"/>
      <c r="C17" s="455" t="s">
        <v>2572</v>
      </c>
      <c r="F17" s="1300">
        <v>6017078715</v>
      </c>
      <c r="G17" s="1305"/>
      <c r="H17" s="1301"/>
      <c r="I17" s="828" t="s">
        <v>2571</v>
      </c>
      <c r="J17" s="1306"/>
      <c r="K17" s="836" t="s">
        <v>2864</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3990</v>
      </c>
      <c r="G22" s="1308"/>
      <c r="H22" s="1308"/>
      <c r="I22" s="1308"/>
      <c r="J22" s="1308"/>
      <c r="K22" s="1308"/>
      <c r="L22" s="1309"/>
      <c r="M22" s="827" t="s">
        <v>3088</v>
      </c>
      <c r="O22" s="1292" t="s">
        <v>3980</v>
      </c>
      <c r="P22" s="1294"/>
    </row>
    <row r="23" spans="1:16" s="449" customFormat="1" ht="13.15" customHeight="1">
      <c r="A23" s="462"/>
      <c r="B23" s="452"/>
      <c r="C23" s="449" t="s">
        <v>875</v>
      </c>
      <c r="D23" s="463"/>
      <c r="F23" s="1292" t="s">
        <v>4043</v>
      </c>
      <c r="G23" s="1293"/>
      <c r="H23" s="1293"/>
      <c r="I23" s="1293"/>
      <c r="J23" s="1293"/>
      <c r="K23" s="1293"/>
      <c r="L23" s="1294"/>
      <c r="M23" s="827" t="s">
        <v>2939</v>
      </c>
      <c r="O23" s="1292" t="s">
        <v>3980</v>
      </c>
      <c r="P23" s="1294"/>
    </row>
    <row r="24" spans="1:16" s="449" customFormat="1" ht="13.15" customHeight="1">
      <c r="A24" s="844"/>
      <c r="B24" s="452"/>
      <c r="C24" s="449" t="s">
        <v>876</v>
      </c>
      <c r="F24" s="1292" t="s">
        <v>2823</v>
      </c>
      <c r="G24" s="1293"/>
      <c r="H24" s="1294"/>
      <c r="I24" s="836" t="s">
        <v>418</v>
      </c>
      <c r="J24" s="1303">
        <v>313132412</v>
      </c>
      <c r="K24" s="1304"/>
      <c r="L24" s="540" t="str">
        <f>IF(AND(NOT(F22=""),NOT(F24="Select from list"),J24=""),"Enter Zip!","")</f>
        <v/>
      </c>
      <c r="M24" s="827" t="s">
        <v>3198</v>
      </c>
      <c r="O24" s="1292">
        <v>4.66</v>
      </c>
      <c r="P24" s="1294"/>
    </row>
    <row r="25" spans="1:16" s="449" customFormat="1" ht="13.15" customHeight="1">
      <c r="A25" s="844"/>
      <c r="B25" s="452"/>
      <c r="C25" s="887" t="s">
        <v>2938</v>
      </c>
      <c r="D25" s="887"/>
      <c r="F25" s="1310" t="s">
        <v>3981</v>
      </c>
      <c r="I25" s="494" t="s">
        <v>877</v>
      </c>
      <c r="J25" s="1311" t="str">
        <f>IF($F$24="","",VLOOKUP($F$24,$N$181:$O$784,2,FALSE))</f>
        <v>Liberty</v>
      </c>
      <c r="K25" s="1312"/>
      <c r="M25" s="465" t="s">
        <v>3213</v>
      </c>
      <c r="O25" s="1292">
        <v>103</v>
      </c>
      <c r="P25" s="1313"/>
    </row>
    <row r="26" spans="1:16" s="449" customFormat="1" ht="13.15" customHeight="1">
      <c r="A26" s="844"/>
      <c r="B26" s="452"/>
      <c r="C26" s="449" t="s">
        <v>2162</v>
      </c>
      <c r="F26" s="1314" t="s">
        <v>3980</v>
      </c>
      <c r="H26" s="457" t="s">
        <v>3657</v>
      </c>
      <c r="I26" s="682" t="str">
        <f>VLOOKUP($J$25,$C$181:$F$340,4)</f>
        <v>MSA</v>
      </c>
      <c r="J26" s="1315" t="s">
        <v>4044</v>
      </c>
      <c r="K26" s="1316"/>
      <c r="L26" s="1317"/>
      <c r="M26" s="827" t="s">
        <v>625</v>
      </c>
      <c r="N26" s="1318" t="s">
        <v>3980</v>
      </c>
      <c r="O26" s="457" t="s">
        <v>626</v>
      </c>
      <c r="P26" s="1318" t="s">
        <v>3980</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1</v>
      </c>
      <c r="G29" s="1320"/>
      <c r="H29" s="1319">
        <v>1</v>
      </c>
      <c r="I29" s="1320"/>
      <c r="J29" s="1319">
        <v>128</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3991</v>
      </c>
      <c r="G32" s="1322"/>
      <c r="H32" s="1322"/>
      <c r="I32" s="1322"/>
      <c r="J32" s="1322"/>
      <c r="K32" s="1323"/>
      <c r="L32" s="466"/>
      <c r="M32" s="466"/>
      <c r="N32" s="466"/>
    </row>
    <row r="33" spans="1:19" s="449" customFormat="1" ht="13.15" customHeight="1">
      <c r="A33" s="844"/>
      <c r="B33" s="844"/>
      <c r="C33" s="449" t="s">
        <v>897</v>
      </c>
      <c r="F33" s="1324" t="s">
        <v>3993</v>
      </c>
      <c r="G33" s="1325"/>
      <c r="H33" s="1325"/>
      <c r="I33" s="1325"/>
      <c r="J33" s="1326"/>
      <c r="K33" s="467" t="s">
        <v>2860</v>
      </c>
      <c r="L33" s="1321" t="s">
        <v>3992</v>
      </c>
      <c r="M33" s="1322"/>
      <c r="N33" s="1323"/>
    </row>
    <row r="34" spans="1:19" s="449" customFormat="1" ht="13.15" customHeight="1">
      <c r="A34" s="844"/>
      <c r="B34" s="844"/>
      <c r="C34" s="449" t="s">
        <v>2861</v>
      </c>
      <c r="F34" s="1321" t="s">
        <v>3994</v>
      </c>
      <c r="G34" s="1322"/>
      <c r="H34" s="1322"/>
      <c r="I34" s="1322"/>
      <c r="J34" s="1323"/>
      <c r="K34" s="468" t="s">
        <v>876</v>
      </c>
      <c r="L34" s="1292" t="s">
        <v>2823</v>
      </c>
      <c r="M34" s="1293"/>
      <c r="N34" s="1294"/>
    </row>
    <row r="35" spans="1:19" s="449" customFormat="1" ht="13.15" customHeight="1">
      <c r="A35" s="844"/>
      <c r="B35" s="844"/>
      <c r="C35" s="827" t="s">
        <v>3139</v>
      </c>
      <c r="F35" s="1327">
        <v>313133633</v>
      </c>
      <c r="G35" s="1328"/>
      <c r="H35" s="828" t="s">
        <v>2862</v>
      </c>
      <c r="I35" s="1329">
        <v>9128763564</v>
      </c>
      <c r="J35" s="1330"/>
      <c r="K35" s="1331"/>
      <c r="L35" s="828" t="s">
        <v>2658</v>
      </c>
      <c r="M35" s="1329">
        <v>9123692658</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2863</v>
      </c>
      <c r="C39" s="452" t="s">
        <v>3215</v>
      </c>
      <c r="F39" s="1306" t="s">
        <v>3980</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2866</v>
      </c>
      <c r="C41" s="452" t="s">
        <v>996</v>
      </c>
      <c r="J41" s="593" t="s">
        <v>1845</v>
      </c>
      <c r="K41" s="594"/>
      <c r="L41" s="906" t="s">
        <v>1840</v>
      </c>
      <c r="M41" s="906"/>
      <c r="N41" s="906"/>
      <c r="O41" s="906"/>
      <c r="P41" s="907"/>
      <c r="Q41" s="836"/>
    </row>
    <row r="42" spans="1:19" ht="13.15" customHeight="1">
      <c r="B42" s="844"/>
      <c r="C42" s="449" t="s">
        <v>3214</v>
      </c>
      <c r="D42" s="449"/>
      <c r="E42" s="449"/>
      <c r="F42" s="473">
        <f>'Part VI-Revenues &amp; Expenses'!$M$74</f>
        <v>60</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3191</v>
      </c>
      <c r="D48" s="833"/>
      <c r="I48" s="903" t="s">
        <v>1993</v>
      </c>
      <c r="J48" s="462" t="s">
        <v>3005</v>
      </c>
      <c r="K48" s="475" t="s">
        <v>3221</v>
      </c>
      <c r="M48" s="833"/>
      <c r="N48" s="833"/>
      <c r="O48" s="833"/>
      <c r="P48" s="836"/>
      <c r="Q48" s="836"/>
      <c r="R48" s="836"/>
      <c r="S48" s="833"/>
    </row>
    <row r="49" spans="1:16" s="449" customFormat="1" ht="13.15" customHeight="1">
      <c r="A49" s="844"/>
      <c r="B49" s="829"/>
      <c r="C49" s="459" t="s">
        <v>3192</v>
      </c>
      <c r="D49" s="833"/>
      <c r="E49" s="833"/>
      <c r="H49" s="476">
        <f>SUM(H50:H51)</f>
        <v>60</v>
      </c>
      <c r="I49" s="904"/>
      <c r="J49" s="844"/>
      <c r="K49" s="459" t="s">
        <v>3222</v>
      </c>
      <c r="M49" s="833"/>
      <c r="N49" s="833"/>
      <c r="O49" s="833"/>
      <c r="P49" s="476">
        <f>'Part VI-Revenues &amp; Expenses'!$M$96</f>
        <v>70500</v>
      </c>
    </row>
    <row r="50" spans="1:16" s="449" customFormat="1" ht="13.15" customHeight="1">
      <c r="A50" s="844"/>
      <c r="B50" s="472"/>
      <c r="D50" s="477" t="s">
        <v>459</v>
      </c>
      <c r="E50" s="477"/>
      <c r="H50" s="476">
        <f>'Part VI-Revenues &amp; Expenses'!$M$57</f>
        <v>9</v>
      </c>
      <c r="I50" s="476">
        <f>'Part VI-Revenues &amp; Expenses'!$M$65</f>
        <v>3</v>
      </c>
      <c r="K50" s="459" t="s">
        <v>306</v>
      </c>
      <c r="M50" s="833"/>
      <c r="N50" s="833"/>
      <c r="O50" s="833"/>
      <c r="P50" s="476">
        <f>'Part VI-Revenues &amp; Expenses'!$M$97</f>
        <v>0</v>
      </c>
    </row>
    <row r="51" spans="1:16" s="449" customFormat="1" ht="13.15" customHeight="1">
      <c r="A51" s="844"/>
      <c r="D51" s="477" t="s">
        <v>2686</v>
      </c>
      <c r="E51" s="477"/>
      <c r="H51" s="476">
        <f>'Part VI-Revenues &amp; Expenses'!$M$56</f>
        <v>51</v>
      </c>
      <c r="I51" s="476">
        <f>'Part VI-Revenues &amp; Expenses'!$M$64</f>
        <v>15</v>
      </c>
      <c r="K51" s="459" t="s">
        <v>3223</v>
      </c>
      <c r="M51" s="833"/>
      <c r="N51" s="833"/>
      <c r="O51" s="833"/>
      <c r="P51" s="476">
        <f>+P49+P50</f>
        <v>70500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3390</v>
      </c>
      <c r="D53" s="833"/>
      <c r="E53" s="833"/>
      <c r="H53" s="476">
        <f>+H49+H52</f>
        <v>60</v>
      </c>
      <c r="J53" s="844"/>
      <c r="K53" s="459" t="s">
        <v>1995</v>
      </c>
      <c r="M53" s="833"/>
      <c r="N53" s="833"/>
      <c r="O53" s="833"/>
      <c r="P53" s="476">
        <f>+P51+P52</f>
        <v>70500</v>
      </c>
    </row>
    <row r="54" spans="1:16" s="449" customFormat="1" ht="13.15" customHeight="1">
      <c r="A54" s="844"/>
      <c r="C54" s="459" t="s">
        <v>3391</v>
      </c>
      <c r="D54" s="833"/>
      <c r="E54" s="833"/>
      <c r="H54" s="476">
        <f>'Part VI-Revenues &amp; Expenses'!$M$61</f>
        <v>0</v>
      </c>
      <c r="J54" s="844"/>
    </row>
    <row r="55" spans="1:16" s="449" customFormat="1" ht="13.15" customHeight="1">
      <c r="A55" s="844"/>
      <c r="C55" s="459" t="s">
        <v>2649</v>
      </c>
      <c r="D55" s="833"/>
      <c r="E55" s="833"/>
      <c r="H55" s="476">
        <f>+H53+H54</f>
        <v>60</v>
      </c>
      <c r="J55" s="833"/>
    </row>
    <row r="56" spans="1:16" s="449" customFormat="1" ht="3" customHeight="1">
      <c r="A56" s="844"/>
      <c r="I56" s="836"/>
      <c r="L56" s="836"/>
      <c r="M56" s="836"/>
      <c r="N56" s="833"/>
      <c r="P56" s="460"/>
    </row>
    <row r="57" spans="1:16" s="449" customFormat="1" ht="13.15" customHeight="1">
      <c r="A57" s="844"/>
      <c r="B57" s="844" t="s">
        <v>2588</v>
      </c>
      <c r="C57" s="461" t="s">
        <v>3216</v>
      </c>
      <c r="D57" s="477" t="s">
        <v>2877</v>
      </c>
      <c r="G57" s="833"/>
      <c r="H57" s="1333">
        <v>2</v>
      </c>
      <c r="K57" s="459" t="s">
        <v>1641</v>
      </c>
      <c r="O57" s="833"/>
      <c r="P57" s="1333">
        <v>1710</v>
      </c>
    </row>
    <row r="58" spans="1:16" s="449" customFormat="1" ht="13.15" customHeight="1">
      <c r="A58" s="844"/>
      <c r="B58" s="844"/>
      <c r="D58" s="829" t="s">
        <v>2878</v>
      </c>
      <c r="H58" s="1333">
        <v>1</v>
      </c>
      <c r="I58" s="833"/>
      <c r="K58" s="459" t="s">
        <v>305</v>
      </c>
      <c r="O58" s="833"/>
      <c r="P58" s="476">
        <f>+P53+P57</f>
        <v>72210</v>
      </c>
    </row>
    <row r="59" spans="1:16" s="449" customFormat="1" ht="13.15" customHeight="1">
      <c r="A59" s="844"/>
      <c r="B59" s="844"/>
      <c r="D59" s="829" t="s">
        <v>2879</v>
      </c>
      <c r="H59" s="476">
        <f>+H57+H58</f>
        <v>3</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111</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2863</v>
      </c>
      <c r="C65" s="394" t="s">
        <v>3964</v>
      </c>
      <c r="D65" s="830"/>
      <c r="E65" s="830"/>
      <c r="F65" s="833"/>
      <c r="G65" s="836"/>
      <c r="H65" s="1334" t="s">
        <v>3982</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2866</v>
      </c>
      <c r="C67" s="461" t="s">
        <v>1985</v>
      </c>
      <c r="D67" s="833"/>
      <c r="E67" s="477"/>
      <c r="G67" s="479" t="s">
        <v>1282</v>
      </c>
      <c r="H67" s="1333">
        <v>3</v>
      </c>
      <c r="K67" s="887" t="s">
        <v>755</v>
      </c>
      <c r="L67" s="887"/>
      <c r="P67" s="480">
        <f>IF('Part VI-Revenues &amp; Expenses'!$M$62=0,0,$H67/'Part VI-Revenues &amp; Expenses'!$M$62)</f>
        <v>0.05</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2712</v>
      </c>
      <c r="D69" s="477"/>
      <c r="E69" s="477"/>
      <c r="G69" s="479" t="s">
        <v>1282</v>
      </c>
      <c r="H69" s="1333">
        <v>2</v>
      </c>
      <c r="K69" s="887" t="s">
        <v>755</v>
      </c>
      <c r="L69" s="887"/>
      <c r="P69" s="480">
        <f>IF('Part VI-Revenues &amp; Expenses'!$M$62=0,0,$H69/'Part VI-Revenues &amp; Expenses'!$M$62)</f>
        <v>3.3333333333333333E-2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3005</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3351</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2863</v>
      </c>
      <c r="C75" s="394" t="s">
        <v>3350</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2866</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2927</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3981</v>
      </c>
      <c r="F81" s="477" t="s">
        <v>3640</v>
      </c>
      <c r="H81" s="1306"/>
      <c r="I81" s="827" t="s">
        <v>3639</v>
      </c>
      <c r="K81" s="1306"/>
      <c r="L81" s="449" t="s">
        <v>339</v>
      </c>
    </row>
    <row r="82" spans="1:16" s="449" customFormat="1" ht="13.15" customHeight="1">
      <c r="A82" s="844"/>
      <c r="B82" s="844"/>
      <c r="D82" s="470"/>
      <c r="E82" s="1306"/>
      <c r="F82" s="827" t="s">
        <v>611</v>
      </c>
      <c r="H82" s="1306"/>
      <c r="I82" s="829" t="s">
        <v>3026</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2655</v>
      </c>
      <c r="I88" s="1306"/>
      <c r="J88" s="483" t="s">
        <v>3139</v>
      </c>
      <c r="K88" s="1303"/>
      <c r="L88" s="1342"/>
      <c r="M88" s="416"/>
      <c r="N88" s="416"/>
      <c r="O88" s="416"/>
      <c r="P88" s="416"/>
    </row>
    <row r="89" spans="1:16" s="449" customFormat="1" ht="13.15" customHeight="1">
      <c r="C89" s="449" t="s">
        <v>3090</v>
      </c>
      <c r="E89" s="1292"/>
      <c r="F89" s="1341"/>
      <c r="G89" s="1342"/>
      <c r="H89" s="836" t="s">
        <v>2860</v>
      </c>
      <c r="I89" s="1292"/>
      <c r="J89" s="1341"/>
      <c r="K89" s="1342"/>
      <c r="L89" s="846" t="s">
        <v>2864</v>
      </c>
      <c r="M89" s="1292"/>
      <c r="N89" s="1341"/>
      <c r="O89" s="1341"/>
      <c r="P89" s="1342"/>
    </row>
    <row r="90" spans="1:16" s="449" customFormat="1" ht="13.15" customHeight="1">
      <c r="C90" s="455" t="s">
        <v>3089</v>
      </c>
      <c r="E90" s="1300"/>
      <c r="F90" s="1305"/>
      <c r="G90" s="1301"/>
      <c r="H90" s="836" t="s">
        <v>2658</v>
      </c>
      <c r="I90" s="1329"/>
      <c r="J90" s="1342"/>
      <c r="K90" s="483" t="s">
        <v>2659</v>
      </c>
      <c r="L90" s="1329"/>
      <c r="M90" s="1342"/>
      <c r="N90" s="483" t="s">
        <v>2859</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2863</v>
      </c>
      <c r="C96" s="830" t="s">
        <v>1986</v>
      </c>
      <c r="D96" s="829"/>
      <c r="E96" s="829"/>
      <c r="F96" s="836"/>
      <c r="G96" s="836"/>
      <c r="H96" s="1343">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2866</v>
      </c>
      <c r="C98" s="830" t="s">
        <v>493</v>
      </c>
      <c r="D98" s="829"/>
      <c r="E98" s="829"/>
      <c r="F98" s="836"/>
      <c r="G98" s="836"/>
      <c r="H98" s="1344">
        <v>797750</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3027</v>
      </c>
      <c r="D101" s="829"/>
      <c r="F101" s="829" t="s">
        <v>1652</v>
      </c>
      <c r="G101" s="836"/>
      <c r="H101" s="836"/>
      <c r="I101" s="836"/>
      <c r="J101" s="829" t="s">
        <v>3027</v>
      </c>
      <c r="K101" s="829"/>
      <c r="M101" s="829" t="s">
        <v>1652</v>
      </c>
      <c r="N101" s="836"/>
      <c r="O101" s="836"/>
      <c r="P101" s="836"/>
    </row>
    <row r="102" spans="1:16" s="449" customFormat="1" ht="13.15" customHeight="1">
      <c r="A102" s="844"/>
      <c r="B102" s="844"/>
      <c r="C102" s="1345" t="s">
        <v>3977</v>
      </c>
      <c r="D102" s="1346"/>
      <c r="E102" s="1346"/>
      <c r="F102" s="1346" t="s">
        <v>3990</v>
      </c>
      <c r="G102" s="1346"/>
      <c r="H102" s="1346"/>
      <c r="I102" s="1347"/>
      <c r="J102" s="1345">
        <v>8</v>
      </c>
      <c r="K102" s="1346"/>
      <c r="L102" s="1346"/>
      <c r="M102" s="1346"/>
      <c r="N102" s="1346"/>
      <c r="O102" s="1346"/>
      <c r="P102" s="1347"/>
    </row>
    <row r="103" spans="1:16" s="449" customFormat="1" ht="13.15" customHeight="1">
      <c r="A103" s="844"/>
      <c r="B103" s="844"/>
      <c r="C103" s="1348" t="s">
        <v>4009</v>
      </c>
      <c r="D103" s="1349"/>
      <c r="E103" s="1349"/>
      <c r="F103" s="1349" t="s">
        <v>3990</v>
      </c>
      <c r="G103" s="1349"/>
      <c r="H103" s="1349"/>
      <c r="I103" s="1350"/>
      <c r="J103" s="1348">
        <v>9</v>
      </c>
      <c r="K103" s="1349"/>
      <c r="L103" s="1349"/>
      <c r="M103" s="1349"/>
      <c r="N103" s="1349"/>
      <c r="O103" s="1349"/>
      <c r="P103" s="1350"/>
    </row>
    <row r="104" spans="1:16" s="449" customFormat="1" ht="13.15" customHeight="1">
      <c r="A104" s="844"/>
      <c r="B104" s="844"/>
      <c r="C104" s="1348" t="s">
        <v>4066</v>
      </c>
      <c r="D104" s="1349"/>
      <c r="E104" s="1349"/>
      <c r="F104" s="1349" t="s">
        <v>3990</v>
      </c>
      <c r="G104" s="1349"/>
      <c r="H104" s="1349"/>
      <c r="I104" s="1350"/>
      <c r="J104" s="1348">
        <v>10</v>
      </c>
      <c r="K104" s="1349"/>
      <c r="L104" s="1349"/>
      <c r="M104" s="1349"/>
      <c r="N104" s="1349"/>
      <c r="O104" s="1349"/>
      <c r="P104" s="1350"/>
    </row>
    <row r="105" spans="1:16" s="449" customFormat="1" ht="13.15" customHeight="1">
      <c r="A105" s="844"/>
      <c r="B105" s="844"/>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3005</v>
      </c>
      <c r="C110" s="914" t="s">
        <v>2719</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3027</v>
      </c>
      <c r="D112" s="829"/>
      <c r="F112" s="829" t="s">
        <v>1652</v>
      </c>
      <c r="G112" s="836"/>
      <c r="H112" s="836"/>
      <c r="I112" s="836"/>
      <c r="J112" s="829" t="s">
        <v>3027</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3403</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2863</v>
      </c>
      <c r="C123" s="456" t="s">
        <v>2560</v>
      </c>
      <c r="H123" s="1306"/>
      <c r="M123" s="836"/>
      <c r="N123" s="833"/>
      <c r="O123" s="833"/>
      <c r="P123" s="460"/>
    </row>
    <row r="124" spans="1:16" s="449" customFormat="1" ht="13.15" customHeight="1">
      <c r="A124" s="844"/>
      <c r="B124" s="844"/>
      <c r="C124" s="829" t="s">
        <v>3405</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3406</v>
      </c>
      <c r="D126" s="829"/>
      <c r="E126" s="829"/>
      <c r="F126" s="836"/>
      <c r="H126" s="1354"/>
      <c r="K126" s="416" t="s">
        <v>3158</v>
      </c>
      <c r="O126" s="1292" t="s">
        <v>671</v>
      </c>
      <c r="P126" s="1294"/>
    </row>
    <row r="127" spans="1:16" s="449" customFormat="1" ht="13.15" customHeight="1">
      <c r="A127" s="844"/>
      <c r="B127" s="844"/>
      <c r="C127" s="829" t="s">
        <v>3404</v>
      </c>
      <c r="F127" s="836"/>
      <c r="H127" s="1343"/>
      <c r="K127" s="416" t="s">
        <v>3159</v>
      </c>
      <c r="O127" s="1292" t="s">
        <v>671</v>
      </c>
      <c r="P127" s="1294"/>
    </row>
    <row r="128" spans="1:16" s="449" customFormat="1" ht="13.15" customHeight="1">
      <c r="A128" s="844"/>
      <c r="B128" s="844"/>
      <c r="C128" s="829" t="s">
        <v>3061</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2866</v>
      </c>
      <c r="C130" s="830" t="s">
        <v>3498</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2863</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3980</v>
      </c>
      <c r="N139" s="833"/>
      <c r="O139" s="833"/>
      <c r="P139" s="460"/>
    </row>
    <row r="140" spans="1:16" s="449" customFormat="1" ht="12.6" customHeight="1">
      <c r="A140" s="844"/>
      <c r="B140" s="844"/>
      <c r="C140" s="449" t="s">
        <v>872</v>
      </c>
      <c r="K140" s="1333">
        <v>0</v>
      </c>
      <c r="L140" s="455" t="s">
        <v>2651</v>
      </c>
      <c r="P140" s="487">
        <f>IF('Part VI-Revenues &amp; Expenses'!$M$60=0,0,$K140/'Part VI-Revenues &amp; Expenses'!$M$60)</f>
        <v>0</v>
      </c>
    </row>
    <row r="141" spans="1:16" s="449" customFormat="1" ht="12.6" customHeight="1">
      <c r="A141" s="844"/>
      <c r="B141" s="844"/>
      <c r="C141" s="449" t="s">
        <v>3062</v>
      </c>
      <c r="K141" s="1333"/>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55"/>
      <c r="L143" s="827" t="s">
        <v>2656</v>
      </c>
      <c r="M143" s="1307"/>
      <c r="N143" s="1308"/>
      <c r="O143" s="1308"/>
      <c r="P143" s="1309"/>
    </row>
    <row r="144" spans="1:16" s="449" customFormat="1" ht="12.6" customHeight="1">
      <c r="A144" s="844"/>
      <c r="B144" s="844"/>
      <c r="C144" s="455" t="s">
        <v>876</v>
      </c>
      <c r="E144" s="1292"/>
      <c r="F144" s="1293"/>
      <c r="G144" s="1293"/>
      <c r="H144" s="1294"/>
      <c r="I144" s="483" t="s">
        <v>3139</v>
      </c>
      <c r="J144" s="1303"/>
      <c r="K144" s="1304"/>
      <c r="L144" s="488" t="s">
        <v>2659</v>
      </c>
      <c r="M144" s="1300"/>
      <c r="N144" s="1305"/>
      <c r="O144" s="1301"/>
    </row>
    <row r="145" spans="1:16" s="449" customFormat="1" ht="12.6" customHeight="1">
      <c r="A145" s="844"/>
      <c r="B145" s="844"/>
      <c r="C145" s="455" t="s">
        <v>2657</v>
      </c>
      <c r="E145" s="1300"/>
      <c r="F145" s="1305"/>
      <c r="G145" s="1301"/>
      <c r="H145" s="489" t="s">
        <v>2658</v>
      </c>
      <c r="I145" s="1300"/>
      <c r="J145" s="1305"/>
      <c r="K145" s="1301"/>
      <c r="L145" s="490" t="s">
        <v>2859</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2866</v>
      </c>
      <c r="C147" s="830" t="s">
        <v>2219</v>
      </c>
      <c r="D147" s="830"/>
      <c r="E147" s="830"/>
      <c r="F147" s="830"/>
      <c r="G147" s="830"/>
      <c r="I147" s="1343"/>
      <c r="J147" s="912" t="s">
        <v>1158</v>
      </c>
      <c r="K147" s="913"/>
      <c r="L147" s="1343"/>
      <c r="M147" s="909" t="s">
        <v>3248</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3980</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3005</v>
      </c>
      <c r="C151" s="892" t="s">
        <v>2858</v>
      </c>
      <c r="D151" s="892"/>
      <c r="E151" s="892"/>
      <c r="F151" s="892"/>
      <c r="G151" s="830"/>
      <c r="H151" s="1343" t="s">
        <v>3980</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3114</v>
      </c>
      <c r="D157" s="461"/>
      <c r="E157" s="833"/>
      <c r="F157" s="833"/>
      <c r="H157" s="1343" t="s">
        <v>3980</v>
      </c>
      <c r="L157" s="833" t="s">
        <v>3908</v>
      </c>
      <c r="P157" s="1343" t="s">
        <v>3980</v>
      </c>
    </row>
    <row r="158" spans="1:16" s="449" customFormat="1" ht="12.6" customHeight="1">
      <c r="A158" s="844"/>
      <c r="B158" s="844"/>
      <c r="C158" s="833" t="s">
        <v>3116</v>
      </c>
      <c r="H158" s="1343" t="s">
        <v>3980</v>
      </c>
      <c r="L158" s="833" t="s">
        <v>2222</v>
      </c>
      <c r="P158" s="1343" t="s">
        <v>3980</v>
      </c>
    </row>
    <row r="159" spans="1:16" s="449" customFormat="1" ht="12.6" customHeight="1">
      <c r="A159" s="844"/>
      <c r="C159" s="833" t="s">
        <v>1849</v>
      </c>
      <c r="D159" s="495"/>
      <c r="H159" s="1343" t="s">
        <v>3980</v>
      </c>
      <c r="L159" s="833" t="s">
        <v>2387</v>
      </c>
      <c r="P159" s="1343" t="s">
        <v>3980</v>
      </c>
    </row>
    <row r="160" spans="1:16" s="449" customFormat="1" ht="12.6" customHeight="1">
      <c r="A160" s="844"/>
      <c r="B160" s="844"/>
      <c r="C160" s="833" t="s">
        <v>2221</v>
      </c>
      <c r="D160" s="461"/>
      <c r="E160" s="833"/>
      <c r="F160" s="833"/>
      <c r="H160" s="1343" t="s">
        <v>3981</v>
      </c>
      <c r="K160" s="461"/>
      <c r="L160" s="449" t="s">
        <v>3909</v>
      </c>
      <c r="M160" s="833"/>
      <c r="P160" s="1343" t="s">
        <v>3980</v>
      </c>
    </row>
    <row r="161" spans="1:21" s="449" customFormat="1" ht="12.6" customHeight="1">
      <c r="A161" s="844"/>
      <c r="B161" s="452"/>
      <c r="C161" s="833" t="s">
        <v>2139</v>
      </c>
      <c r="D161" s="461"/>
      <c r="H161" s="1343" t="s">
        <v>3980</v>
      </c>
      <c r="L161" s="833" t="s">
        <v>3955</v>
      </c>
      <c r="M161" s="833"/>
      <c r="P161" s="1343" t="s">
        <v>3980</v>
      </c>
    </row>
    <row r="162" spans="1:21" s="449" customFormat="1" ht="12.6" customHeight="1">
      <c r="A162" s="844"/>
      <c r="B162" s="844"/>
      <c r="C162" s="833" t="s">
        <v>2668</v>
      </c>
      <c r="D162" s="461"/>
      <c r="E162" s="833"/>
      <c r="F162" s="833"/>
      <c r="H162" s="1343" t="s">
        <v>3980</v>
      </c>
      <c r="I162" s="494" t="s">
        <v>3702</v>
      </c>
      <c r="O162" s="1357"/>
      <c r="P162" s="1358"/>
    </row>
    <row r="163" spans="1:21" s="449" customFormat="1" ht="12.6" customHeight="1">
      <c r="A163" s="844"/>
      <c r="B163" s="844"/>
      <c r="C163" s="833" t="s">
        <v>3957</v>
      </c>
      <c r="E163" s="1334"/>
      <c r="F163" s="1359"/>
      <c r="G163" s="1335"/>
      <c r="H163" s="1343" t="s">
        <v>3980</v>
      </c>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3214</v>
      </c>
      <c r="D168" s="829"/>
      <c r="E168" s="829"/>
      <c r="F168" s="836"/>
      <c r="G168" s="836"/>
      <c r="H168" s="1339">
        <v>41639</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3164</v>
      </c>
      <c r="L170" s="481" t="s">
        <v>85</v>
      </c>
    </row>
    <row r="171" spans="1:21" ht="51" customHeight="1">
      <c r="A171" s="1360" t="s">
        <v>4056</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3658</v>
      </c>
      <c r="G182" s="763" t="s">
        <v>1681</v>
      </c>
      <c r="H182" s="764" t="s">
        <v>500</v>
      </c>
      <c r="I182" s="680"/>
      <c r="J182" s="613" t="s">
        <v>2125</v>
      </c>
      <c r="K182" s="614"/>
      <c r="L182" s="609"/>
      <c r="M182" s="610"/>
      <c r="N182" s="615" t="s">
        <v>2124</v>
      </c>
      <c r="O182" s="615" t="s">
        <v>3492</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3658</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3659</v>
      </c>
      <c r="G184" s="763" t="s">
        <v>1683</v>
      </c>
      <c r="H184" s="764" t="s">
        <v>501</v>
      </c>
      <c r="I184" s="681"/>
      <c r="J184" s="613" t="s">
        <v>2969</v>
      </c>
      <c r="K184" s="614"/>
      <c r="L184" s="609"/>
      <c r="M184" s="610"/>
      <c r="N184" s="615" t="s">
        <v>637</v>
      </c>
      <c r="O184" s="615" t="s">
        <v>3545</v>
      </c>
      <c r="P184" s="497" t="s">
        <v>2227</v>
      </c>
      <c r="Q184" s="596"/>
      <c r="S184" s="596"/>
      <c r="T184" s="615" t="s">
        <v>2216</v>
      </c>
      <c r="U184" s="615" t="s">
        <v>3544</v>
      </c>
      <c r="V184" s="596"/>
      <c r="W184" s="596"/>
      <c r="X184" s="596"/>
      <c r="Y184" s="596"/>
      <c r="Z184" s="596"/>
      <c r="AA184" s="596"/>
    </row>
    <row r="185" spans="2:27" ht="12" customHeight="1">
      <c r="B185" s="761" t="s">
        <v>1331</v>
      </c>
      <c r="C185" s="761" t="s">
        <v>2638</v>
      </c>
      <c r="D185" s="761" t="s">
        <v>1902</v>
      </c>
      <c r="E185" s="765" t="s">
        <v>193</v>
      </c>
      <c r="F185" s="765" t="s">
        <v>3658</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3659</v>
      </c>
      <c r="G194" s="763" t="s">
        <v>3619</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2558</v>
      </c>
      <c r="H201" s="764" t="s">
        <v>500</v>
      </c>
      <c r="I201" s="680"/>
      <c r="J201" s="613" t="s">
        <v>3573</v>
      </c>
      <c r="K201" s="614"/>
      <c r="L201" s="609"/>
      <c r="M201" s="610"/>
      <c r="N201" s="615" t="s">
        <v>3574</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2527</v>
      </c>
      <c r="H203" s="764" t="s">
        <v>501</v>
      </c>
      <c r="I203" s="681"/>
      <c r="J203" s="613" t="s">
        <v>3577</v>
      </c>
      <c r="K203" s="614"/>
      <c r="L203" s="609"/>
      <c r="M203" s="610"/>
      <c r="N203" s="615" t="s">
        <v>3578</v>
      </c>
      <c r="O203" s="615" t="s">
        <v>3490</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2528</v>
      </c>
      <c r="H204" s="764" t="s">
        <v>500</v>
      </c>
      <c r="I204" s="680"/>
      <c r="J204" s="613" t="s">
        <v>3579</v>
      </c>
      <c r="K204" s="614"/>
      <c r="L204" s="609"/>
      <c r="M204" s="610"/>
      <c r="N204" s="615" t="s">
        <v>3580</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2529</v>
      </c>
      <c r="H206" s="764" t="s">
        <v>501</v>
      </c>
      <c r="I206" s="681"/>
      <c r="J206" s="613" t="s">
        <v>3582</v>
      </c>
      <c r="K206" s="614"/>
      <c r="L206" s="609"/>
      <c r="M206" s="610"/>
      <c r="N206" s="615" t="s">
        <v>3585</v>
      </c>
      <c r="O206" s="615" t="s">
        <v>2795</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2530</v>
      </c>
      <c r="H207" s="764" t="s">
        <v>500</v>
      </c>
      <c r="I207" s="680"/>
      <c r="J207" s="613" t="s">
        <v>3584</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2252</v>
      </c>
      <c r="Q210" s="1366"/>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2253</v>
      </c>
      <c r="Q212" s="1366"/>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2254</v>
      </c>
      <c r="Q213" s="1366"/>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2255</v>
      </c>
      <c r="Q214" s="1366"/>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2256</v>
      </c>
      <c r="Q215" s="1366"/>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2384</v>
      </c>
      <c r="P216" s="497" t="s">
        <v>2257</v>
      </c>
      <c r="Q216" s="1366"/>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2258</v>
      </c>
      <c r="Q217" s="1366"/>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2260</v>
      </c>
      <c r="Q219" s="1366"/>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2527</v>
      </c>
      <c r="H221" s="764" t="s">
        <v>501</v>
      </c>
      <c r="I221" s="681"/>
      <c r="J221" s="613" t="s">
        <v>2884</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68" t="s">
        <v>3033</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3659</v>
      </c>
      <c r="G227" s="763" t="s">
        <v>1683</v>
      </c>
      <c r="H227" s="764" t="s">
        <v>501</v>
      </c>
      <c r="I227" s="681"/>
      <c r="J227" s="613" t="s">
        <v>2628</v>
      </c>
      <c r="K227" s="616"/>
      <c r="L227" s="609"/>
      <c r="M227" s="610"/>
      <c r="N227" s="615" t="s">
        <v>2603</v>
      </c>
      <c r="O227" s="615" t="s">
        <v>3495</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3659</v>
      </c>
      <c r="G230" s="763" t="s">
        <v>3619</v>
      </c>
      <c r="H230" s="764" t="s">
        <v>501</v>
      </c>
      <c r="I230" s="680"/>
      <c r="J230" s="613" t="s">
        <v>3053</v>
      </c>
      <c r="K230" s="616"/>
      <c r="L230" s="609"/>
      <c r="M230" s="610"/>
      <c r="N230" s="615" t="s">
        <v>1312</v>
      </c>
      <c r="O230" s="615" t="s">
        <v>3627</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2271</v>
      </c>
      <c r="Q232" s="1366"/>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68" t="s">
        <v>3033</v>
      </c>
      <c r="Q233" s="1366"/>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2529</v>
      </c>
      <c r="H252" s="764" t="s">
        <v>501</v>
      </c>
      <c r="I252" s="681"/>
      <c r="J252" s="613" t="s">
        <v>3370</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3659</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3659</v>
      </c>
      <c r="G266" s="763" t="s">
        <v>3619</v>
      </c>
      <c r="H266" s="764" t="s">
        <v>501</v>
      </c>
      <c r="I266" s="680"/>
      <c r="J266" s="613" t="s">
        <v>3210</v>
      </c>
      <c r="K266" s="614"/>
      <c r="L266" s="609"/>
      <c r="M266" s="610"/>
      <c r="N266" s="615" t="s">
        <v>3212</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3659</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3659</v>
      </c>
      <c r="G272" s="763" t="s">
        <v>3619</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2529</v>
      </c>
      <c r="H276" s="764" t="s">
        <v>501</v>
      </c>
      <c r="I276" s="681"/>
      <c r="J276" s="613" t="s">
        <v>1529</v>
      </c>
      <c r="K276" s="614"/>
      <c r="L276" s="609"/>
      <c r="M276" s="610"/>
      <c r="N276" s="615" t="s">
        <v>283</v>
      </c>
      <c r="O276" s="615" t="s">
        <v>3545</v>
      </c>
      <c r="P276" s="497" t="s">
        <v>2313</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2315</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3658</v>
      </c>
      <c r="G280" s="763" t="s">
        <v>971</v>
      </c>
      <c r="H280" s="764" t="s">
        <v>500</v>
      </c>
      <c r="I280" s="680"/>
      <c r="J280" s="613" t="s">
        <v>1818</v>
      </c>
      <c r="K280" s="614"/>
      <c r="L280" s="609"/>
      <c r="M280" s="610"/>
      <c r="N280" s="615" t="s">
        <v>2953</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3658</v>
      </c>
      <c r="G281" s="763" t="s">
        <v>972</v>
      </c>
      <c r="H281" s="764" t="s">
        <v>500</v>
      </c>
      <c r="I281" s="680"/>
      <c r="J281" s="613" t="s">
        <v>2948</v>
      </c>
      <c r="K281" s="614"/>
      <c r="L281" s="609"/>
      <c r="M281" s="610"/>
      <c r="N281" s="615" t="s">
        <v>2955</v>
      </c>
      <c r="O281" s="615" t="s">
        <v>3625</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2928</v>
      </c>
      <c r="F282" s="765" t="s">
        <v>3659</v>
      </c>
      <c r="G282" s="763" t="s">
        <v>973</v>
      </c>
      <c r="H282" s="764" t="s">
        <v>501</v>
      </c>
      <c r="I282" s="681"/>
      <c r="J282" s="613" t="s">
        <v>2950</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2320</v>
      </c>
      <c r="Q284" s="1366"/>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2321</v>
      </c>
      <c r="Q285" s="1366"/>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2529</v>
      </c>
      <c r="H286" s="764" t="s">
        <v>501</v>
      </c>
      <c r="I286" s="681"/>
      <c r="J286" s="613" t="s">
        <v>2958</v>
      </c>
      <c r="K286" s="614"/>
      <c r="L286" s="609"/>
      <c r="M286" s="610"/>
      <c r="N286" s="615" t="s">
        <v>942</v>
      </c>
      <c r="O286" s="615" t="s">
        <v>2889</v>
      </c>
      <c r="P286" s="497" t="s">
        <v>2322</v>
      </c>
      <c r="Q286" s="1366"/>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2323</v>
      </c>
      <c r="Q287" s="1366"/>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2325</v>
      </c>
      <c r="Q289" s="1366"/>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2340</v>
      </c>
      <c r="Q307" s="1366"/>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2500</v>
      </c>
      <c r="P308" s="497" t="s">
        <v>2341</v>
      </c>
      <c r="Q308" s="1366"/>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2342</v>
      </c>
      <c r="Q309" s="1366"/>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68" t="s">
        <v>3033</v>
      </c>
      <c r="Q312" s="1366"/>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2344</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3659</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3658</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3658</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2352</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2353</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2354</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2527</v>
      </c>
      <c r="H327" s="764" t="s">
        <v>501</v>
      </c>
      <c r="I327" s="681"/>
      <c r="J327" s="613" t="s">
        <v>2846</v>
      </c>
      <c r="K327" s="614"/>
      <c r="L327" s="609"/>
      <c r="M327" s="610"/>
      <c r="N327" s="615" t="s">
        <v>410</v>
      </c>
      <c r="O327" s="615" t="s">
        <v>3377</v>
      </c>
      <c r="P327" s="497" t="s">
        <v>2357</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2358</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3379</v>
      </c>
      <c r="D340" s="761" t="s">
        <v>1749</v>
      </c>
      <c r="E340" s="765" t="s">
        <v>2637</v>
      </c>
      <c r="F340" s="765" t="s">
        <v>3659</v>
      </c>
      <c r="G340" s="763" t="s">
        <v>1683</v>
      </c>
      <c r="H340" s="764" t="s">
        <v>501</v>
      </c>
      <c r="J340" s="613" t="s">
        <v>1276</v>
      </c>
      <c r="K340" s="614"/>
      <c r="L340" s="609"/>
      <c r="M340" s="610"/>
      <c r="N340" s="615" t="s">
        <v>3409</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3544</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3490</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3187</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3033</v>
      </c>
      <c r="Q600" s="596"/>
      <c r="R600" s="497" t="s">
        <v>3593</v>
      </c>
      <c r="S600" s="497" t="s">
        <v>388</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3073</v>
      </c>
      <c r="P606" s="610" t="s">
        <v>1082</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3600</v>
      </c>
      <c r="S607" s="497" t="s">
        <v>932</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3492</v>
      </c>
      <c r="P613" s="610" t="s">
        <v>1089</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3033</v>
      </c>
      <c r="Q616" s="596"/>
      <c r="R616" s="497" t="s">
        <v>1397</v>
      </c>
      <c r="S616" s="497" t="s">
        <v>1616</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3033</v>
      </c>
      <c r="Q619" s="596"/>
      <c r="R619" s="497" t="s">
        <v>1561</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69"/>
      <c r="R621" s="497" t="s">
        <v>1563</v>
      </c>
      <c r="S621" s="497" t="s">
        <v>2121</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3033</v>
      </c>
      <c r="Q623" s="596"/>
      <c r="R623" s="497" t="s">
        <v>1565</v>
      </c>
      <c r="S623" s="497" t="s">
        <v>196</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8" t="s">
        <v>3033</v>
      </c>
      <c r="Q624" s="596"/>
      <c r="R624" s="497" t="s">
        <v>1566</v>
      </c>
      <c r="S624" s="497" t="s">
        <v>1901</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2502</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3033</v>
      </c>
      <c r="Q642" s="596"/>
      <c r="R642" s="497" t="s">
        <v>1580</v>
      </c>
      <c r="S642" s="497" t="s">
        <v>887</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2625</v>
      </c>
      <c r="O647" s="615" t="s">
        <v>1129</v>
      </c>
      <c r="P647" s="610" t="s">
        <v>1116</v>
      </c>
      <c r="Q647" s="596"/>
      <c r="R647" s="497" t="s">
        <v>1584</v>
      </c>
      <c r="S647" s="497" t="s">
        <v>2121</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3535</v>
      </c>
      <c r="O648" s="615" t="s">
        <v>2889</v>
      </c>
      <c r="P648" s="610" t="s">
        <v>1117</v>
      </c>
      <c r="Q648" s="596"/>
      <c r="R648" s="497" t="s">
        <v>1585</v>
      </c>
      <c r="S648" s="497" t="s">
        <v>887</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2361</v>
      </c>
      <c r="O650" s="615" t="s">
        <v>926</v>
      </c>
      <c r="P650" s="610" t="s">
        <v>701</v>
      </c>
      <c r="Q650" s="596"/>
      <c r="R650" s="497" t="s">
        <v>1587</v>
      </c>
      <c r="S650" s="497" t="s">
        <v>196</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3033</v>
      </c>
      <c r="Q652" s="596"/>
      <c r="R652" s="497" t="s">
        <v>1589</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3623</v>
      </c>
      <c r="P653" s="610" t="s">
        <v>702</v>
      </c>
      <c r="Q653" s="596"/>
      <c r="R653" s="497" t="s">
        <v>1590</v>
      </c>
      <c r="S653" s="497" t="s">
        <v>887</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3033</v>
      </c>
      <c r="Q655" s="596"/>
      <c r="R655" s="497" t="s">
        <v>1592</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3400</v>
      </c>
      <c r="O656" s="615" t="s">
        <v>115</v>
      </c>
      <c r="P656" s="610" t="s">
        <v>703</v>
      </c>
      <c r="Q656" s="596"/>
      <c r="R656" s="497" t="s">
        <v>1593</v>
      </c>
      <c r="S656" s="497" t="s">
        <v>196</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3155</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2012-006 Hidden Glen Village, Hinesville, Liberty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3996</v>
      </c>
      <c r="I5" s="1341"/>
      <c r="J5" s="1341"/>
      <c r="K5" s="1341"/>
      <c r="L5" s="1341"/>
      <c r="M5" s="1341"/>
      <c r="N5" s="1342"/>
      <c r="O5" s="827" t="s">
        <v>2870</v>
      </c>
      <c r="P5" s="827"/>
      <c r="Q5" s="1292" t="s">
        <v>3977</v>
      </c>
      <c r="R5" s="1341"/>
      <c r="S5" s="1342"/>
    </row>
    <row r="6" spans="1:19" s="449" customFormat="1" ht="12.6" customHeight="1">
      <c r="D6" s="498"/>
      <c r="E6" s="455" t="s">
        <v>1527</v>
      </c>
      <c r="F6" s="463"/>
      <c r="H6" s="1292" t="s">
        <v>3997</v>
      </c>
      <c r="I6" s="1341"/>
      <c r="J6" s="1341"/>
      <c r="K6" s="1341"/>
      <c r="L6" s="1341"/>
      <c r="M6" s="1341"/>
      <c r="N6" s="1342"/>
      <c r="O6" s="827" t="s">
        <v>2601</v>
      </c>
      <c r="Q6" s="1292" t="s">
        <v>3998</v>
      </c>
      <c r="R6" s="1341"/>
      <c r="S6" s="1342"/>
    </row>
    <row r="7" spans="1:19" s="449" customFormat="1" ht="12.6" customHeight="1">
      <c r="D7" s="498"/>
      <c r="E7" s="455" t="s">
        <v>876</v>
      </c>
      <c r="H7" s="1292" t="s">
        <v>217</v>
      </c>
      <c r="I7" s="1341"/>
      <c r="J7" s="1342"/>
      <c r="K7" s="1370" t="s">
        <v>1159</v>
      </c>
      <c r="L7" s="1292" t="s">
        <v>3999</v>
      </c>
      <c r="M7" s="1341"/>
      <c r="N7" s="1342"/>
      <c r="O7" s="827" t="s">
        <v>2659</v>
      </c>
      <c r="Q7" s="1300">
        <v>6017078715</v>
      </c>
      <c r="R7" s="1305"/>
      <c r="S7" s="1301"/>
    </row>
    <row r="8" spans="1:19" s="449" customFormat="1" ht="12.6" customHeight="1">
      <c r="D8" s="498"/>
      <c r="E8" s="455" t="s">
        <v>2655</v>
      </c>
      <c r="H8" s="1306" t="s">
        <v>1351</v>
      </c>
      <c r="I8" s="836" t="s">
        <v>1843</v>
      </c>
      <c r="J8" s="1303">
        <v>313100672</v>
      </c>
      <c r="K8" s="1304"/>
      <c r="L8" s="397" t="s">
        <v>1846</v>
      </c>
      <c r="N8" s="1343">
        <v>3</v>
      </c>
      <c r="O8" s="827" t="s">
        <v>2859</v>
      </c>
      <c r="Q8" s="1300">
        <v>6016726285</v>
      </c>
      <c r="R8" s="1305"/>
      <c r="S8" s="1301"/>
    </row>
    <row r="9" spans="1:19" s="449" customFormat="1" ht="12.6" customHeight="1">
      <c r="D9" s="498"/>
      <c r="E9" s="455" t="s">
        <v>2865</v>
      </c>
      <c r="H9" s="1300">
        <v>6017078715</v>
      </c>
      <c r="I9" s="1301"/>
      <c r="J9" s="1371"/>
      <c r="K9" s="836" t="s">
        <v>2658</v>
      </c>
      <c r="L9" s="1329">
        <v>6017075661</v>
      </c>
      <c r="M9" s="1342"/>
      <c r="N9" s="457" t="s">
        <v>2864</v>
      </c>
      <c r="O9" s="1307" t="s">
        <v>3979</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3006</v>
      </c>
      <c r="E16" s="449" t="s">
        <v>2728</v>
      </c>
      <c r="H16" s="1292" t="s">
        <v>4000</v>
      </c>
      <c r="I16" s="1341"/>
      <c r="J16" s="1341"/>
      <c r="K16" s="1341"/>
      <c r="L16" s="1341"/>
      <c r="M16" s="1341"/>
      <c r="N16" s="1342"/>
      <c r="O16" s="827" t="s">
        <v>2870</v>
      </c>
      <c r="P16" s="827"/>
      <c r="Q16" s="1292" t="s">
        <v>3977</v>
      </c>
      <c r="R16" s="1341"/>
      <c r="S16" s="1342"/>
    </row>
    <row r="17" spans="4:19" s="449" customFormat="1" ht="12.6" customHeight="1">
      <c r="D17" s="498"/>
      <c r="E17" s="455" t="s">
        <v>1527</v>
      </c>
      <c r="F17" s="463"/>
      <c r="H17" s="1292" t="s">
        <v>3997</v>
      </c>
      <c r="I17" s="1341"/>
      <c r="J17" s="1341"/>
      <c r="K17" s="1341"/>
      <c r="L17" s="1341"/>
      <c r="M17" s="1341"/>
      <c r="N17" s="1342"/>
      <c r="O17" s="827" t="s">
        <v>2601</v>
      </c>
      <c r="Q17" s="1292" t="s">
        <v>3978</v>
      </c>
      <c r="R17" s="1341"/>
      <c r="S17" s="1342"/>
    </row>
    <row r="18" spans="4:19" s="449" customFormat="1" ht="12.6" customHeight="1">
      <c r="D18" s="498"/>
      <c r="E18" s="455" t="s">
        <v>876</v>
      </c>
      <c r="H18" s="1292" t="s">
        <v>217</v>
      </c>
      <c r="I18" s="1341"/>
      <c r="J18" s="1342"/>
      <c r="O18" s="827" t="s">
        <v>2659</v>
      </c>
      <c r="Q18" s="1300">
        <v>6017078715</v>
      </c>
      <c r="R18" s="1305"/>
      <c r="S18" s="1301"/>
    </row>
    <row r="19" spans="4:19" s="449" customFormat="1" ht="12.6" customHeight="1">
      <c r="D19" s="452"/>
      <c r="E19" s="455" t="s">
        <v>2655</v>
      </c>
      <c r="H19" s="1306" t="s">
        <v>1351</v>
      </c>
      <c r="I19" s="836" t="s">
        <v>1843</v>
      </c>
      <c r="J19" s="1303">
        <v>313100672</v>
      </c>
      <c r="K19" s="1342"/>
      <c r="L19" s="397" t="s">
        <v>1846</v>
      </c>
      <c r="N19" s="1343">
        <v>3</v>
      </c>
      <c r="O19" s="827" t="s">
        <v>2859</v>
      </c>
      <c r="Q19" s="1300">
        <v>6016726285</v>
      </c>
      <c r="R19" s="1305"/>
      <c r="S19" s="1301"/>
    </row>
    <row r="20" spans="4:19" s="449" customFormat="1" ht="12.6" customHeight="1">
      <c r="D20" s="498"/>
      <c r="E20" s="455" t="s">
        <v>2865</v>
      </c>
      <c r="H20" s="1300">
        <v>6017078715</v>
      </c>
      <c r="I20" s="1301"/>
      <c r="J20" s="1371"/>
      <c r="K20" s="836" t="s">
        <v>2658</v>
      </c>
      <c r="L20" s="1329">
        <v>6017075661</v>
      </c>
      <c r="M20" s="1342"/>
      <c r="N20" s="457" t="s">
        <v>2864</v>
      </c>
      <c r="O20" s="1307" t="s">
        <v>3979</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3007</v>
      </c>
      <c r="E22" s="449" t="s">
        <v>2729</v>
      </c>
      <c r="F22" s="833"/>
      <c r="H22" s="1292"/>
      <c r="I22" s="1341"/>
      <c r="J22" s="1341"/>
      <c r="K22" s="1341"/>
      <c r="L22" s="1341"/>
      <c r="M22" s="1341"/>
      <c r="N22" s="1342"/>
      <c r="O22" s="827" t="s">
        <v>2870</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2659</v>
      </c>
      <c r="Q24" s="1300"/>
      <c r="R24" s="1305"/>
      <c r="S24" s="1301"/>
    </row>
    <row r="25" spans="4:19" s="449" customFormat="1" ht="12.6" customHeight="1">
      <c r="E25" s="455" t="s">
        <v>2655</v>
      </c>
      <c r="H25" s="1306"/>
      <c r="I25" s="483" t="s">
        <v>3139</v>
      </c>
      <c r="J25" s="1303"/>
      <c r="K25" s="1342"/>
      <c r="O25" s="827" t="s">
        <v>2859</v>
      </c>
      <c r="Q25" s="1300"/>
      <c r="R25" s="1305"/>
      <c r="S25" s="1301"/>
    </row>
    <row r="26" spans="4:19" s="449" customFormat="1" ht="12.6" customHeight="1">
      <c r="D26" s="498"/>
      <c r="E26" s="455" t="s">
        <v>2865</v>
      </c>
      <c r="H26" s="1300"/>
      <c r="I26" s="1301"/>
      <c r="J26" s="1371"/>
      <c r="K26" s="836" t="s">
        <v>2658</v>
      </c>
      <c r="L26" s="1329"/>
      <c r="M26" s="1342"/>
      <c r="N26" s="457" t="s">
        <v>2864</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2729</v>
      </c>
      <c r="F28" s="833"/>
      <c r="H28" s="1292"/>
      <c r="I28" s="1341"/>
      <c r="J28" s="1341"/>
      <c r="K28" s="1341"/>
      <c r="L28" s="1341"/>
      <c r="M28" s="1341"/>
      <c r="N28" s="1342"/>
      <c r="O28" s="827" t="s">
        <v>2870</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2659</v>
      </c>
      <c r="Q30" s="1300"/>
      <c r="R30" s="1305"/>
      <c r="S30" s="1301"/>
    </row>
    <row r="31" spans="4:19" s="449" customFormat="1" ht="12.6" customHeight="1">
      <c r="E31" s="455" t="s">
        <v>2655</v>
      </c>
      <c r="H31" s="1306"/>
      <c r="I31" s="483" t="s">
        <v>3139</v>
      </c>
      <c r="J31" s="1303"/>
      <c r="K31" s="1342"/>
      <c r="O31" s="827" t="s">
        <v>2859</v>
      </c>
      <c r="Q31" s="1300"/>
      <c r="R31" s="1305"/>
      <c r="S31" s="1301"/>
    </row>
    <row r="32" spans="4:19" s="449" customFormat="1" ht="12.6" customHeight="1">
      <c r="D32" s="498"/>
      <c r="E32" s="455" t="s">
        <v>2865</v>
      </c>
      <c r="H32" s="1300"/>
      <c r="I32" s="1301"/>
      <c r="J32" s="1371"/>
      <c r="K32" s="836"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3006</v>
      </c>
      <c r="E36" s="449" t="s">
        <v>1146</v>
      </c>
      <c r="H36" s="1292" t="s">
        <v>4001</v>
      </c>
      <c r="I36" s="1341"/>
      <c r="J36" s="1341"/>
      <c r="K36" s="1341"/>
      <c r="L36" s="1341"/>
      <c r="M36" s="1341"/>
      <c r="N36" s="1342"/>
      <c r="O36" s="827" t="s">
        <v>2870</v>
      </c>
      <c r="P36" s="827"/>
      <c r="Q36" s="1292" t="s">
        <v>4002</v>
      </c>
      <c r="R36" s="1341"/>
      <c r="S36" s="1342"/>
    </row>
    <row r="37" spans="3:19" s="449" customFormat="1" ht="12.6" customHeight="1">
      <c r="D37" s="498"/>
      <c r="E37" s="455" t="s">
        <v>1527</v>
      </c>
      <c r="F37" s="463"/>
      <c r="H37" s="1292" t="s">
        <v>4003</v>
      </c>
      <c r="I37" s="1341"/>
      <c r="J37" s="1341"/>
      <c r="K37" s="1341"/>
      <c r="L37" s="1341"/>
      <c r="M37" s="1341"/>
      <c r="N37" s="1342"/>
      <c r="O37" s="827" t="s">
        <v>2601</v>
      </c>
      <c r="Q37" s="1292" t="s">
        <v>4004</v>
      </c>
      <c r="R37" s="1341"/>
      <c r="S37" s="1342"/>
    </row>
    <row r="38" spans="3:19" s="449" customFormat="1" ht="12.6" customHeight="1">
      <c r="D38" s="498"/>
      <c r="E38" s="455" t="s">
        <v>876</v>
      </c>
      <c r="H38" s="1292" t="s">
        <v>4045</v>
      </c>
      <c r="I38" s="1341"/>
      <c r="J38" s="1342"/>
      <c r="O38" s="827" t="s">
        <v>2659</v>
      </c>
      <c r="Q38" s="1300">
        <v>8183806130</v>
      </c>
      <c r="R38" s="1305"/>
      <c r="S38" s="1301"/>
    </row>
    <row r="39" spans="3:19" s="449" customFormat="1" ht="12.6" customHeight="1">
      <c r="E39" s="455" t="s">
        <v>2655</v>
      </c>
      <c r="H39" s="1306" t="s">
        <v>1331</v>
      </c>
      <c r="I39" s="483" t="s">
        <v>3139</v>
      </c>
      <c r="J39" s="1303">
        <v>914035340</v>
      </c>
      <c r="K39" s="1342"/>
      <c r="O39" s="827" t="s">
        <v>2859</v>
      </c>
      <c r="Q39" s="1300">
        <v>3107175578</v>
      </c>
      <c r="R39" s="1305"/>
      <c r="S39" s="1301"/>
    </row>
    <row r="40" spans="3:19" s="449" customFormat="1" ht="12.6" customHeight="1">
      <c r="D40" s="498"/>
      <c r="E40" s="455" t="s">
        <v>2865</v>
      </c>
      <c r="H40" s="1300">
        <v>8183806130</v>
      </c>
      <c r="I40" s="1301"/>
      <c r="J40" s="1371"/>
      <c r="K40" s="836" t="s">
        <v>2658</v>
      </c>
      <c r="L40" s="1329">
        <v>8183806101</v>
      </c>
      <c r="M40" s="1342"/>
      <c r="N40" s="457" t="s">
        <v>2864</v>
      </c>
      <c r="O40" s="1307" t="s">
        <v>4006</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3007</v>
      </c>
      <c r="E42" s="449" t="s">
        <v>1147</v>
      </c>
      <c r="F42" s="452"/>
      <c r="H42" s="1292" t="s">
        <v>4001</v>
      </c>
      <c r="I42" s="1341"/>
      <c r="J42" s="1341"/>
      <c r="K42" s="1341"/>
      <c r="L42" s="1341"/>
      <c r="M42" s="1341"/>
      <c r="N42" s="1342"/>
      <c r="O42" s="827" t="s">
        <v>2870</v>
      </c>
      <c r="P42" s="827"/>
      <c r="Q42" s="1292" t="s">
        <v>4002</v>
      </c>
      <c r="R42" s="1341"/>
      <c r="S42" s="1342"/>
    </row>
    <row r="43" spans="3:19" s="449" customFormat="1" ht="12.6" customHeight="1">
      <c r="D43" s="498"/>
      <c r="E43" s="455" t="s">
        <v>1527</v>
      </c>
      <c r="F43" s="463"/>
      <c r="H43" s="1292" t="s">
        <v>4003</v>
      </c>
      <c r="I43" s="1341"/>
      <c r="J43" s="1341"/>
      <c r="K43" s="1341"/>
      <c r="L43" s="1341"/>
      <c r="M43" s="1341"/>
      <c r="N43" s="1342"/>
      <c r="O43" s="827" t="s">
        <v>2601</v>
      </c>
      <c r="Q43" s="1292" t="s">
        <v>4004</v>
      </c>
      <c r="R43" s="1341"/>
      <c r="S43" s="1342"/>
    </row>
    <row r="44" spans="3:19" s="449" customFormat="1" ht="12.6" customHeight="1">
      <c r="D44" s="498"/>
      <c r="E44" s="455" t="s">
        <v>876</v>
      </c>
      <c r="H44" s="1292" t="s">
        <v>4005</v>
      </c>
      <c r="I44" s="1341"/>
      <c r="J44" s="1342"/>
      <c r="O44" s="827" t="s">
        <v>2659</v>
      </c>
      <c r="Q44" s="1300">
        <v>8183806130</v>
      </c>
      <c r="R44" s="1305"/>
      <c r="S44" s="1301"/>
    </row>
    <row r="45" spans="3:19" s="449" customFormat="1" ht="12.6" customHeight="1">
      <c r="D45" s="452"/>
      <c r="E45" s="455" t="s">
        <v>2655</v>
      </c>
      <c r="H45" s="1306" t="s">
        <v>1331</v>
      </c>
      <c r="I45" s="483" t="s">
        <v>3139</v>
      </c>
      <c r="J45" s="1303">
        <v>914030000</v>
      </c>
      <c r="K45" s="1342"/>
      <c r="O45" s="827" t="s">
        <v>2859</v>
      </c>
      <c r="Q45" s="1300">
        <v>3107175578</v>
      </c>
      <c r="R45" s="1305"/>
      <c r="S45" s="1301"/>
    </row>
    <row r="46" spans="3:19" s="449" customFormat="1" ht="12.6" customHeight="1">
      <c r="D46" s="498"/>
      <c r="E46" s="455" t="s">
        <v>2865</v>
      </c>
      <c r="H46" s="1300">
        <v>8183806130</v>
      </c>
      <c r="I46" s="1301"/>
      <c r="J46" s="1371"/>
      <c r="K46" s="836" t="s">
        <v>2658</v>
      </c>
      <c r="L46" s="1329">
        <v>8183806101</v>
      </c>
      <c r="M46" s="1342"/>
      <c r="N46" s="457" t="s">
        <v>2864</v>
      </c>
      <c r="O46" s="1307" t="s">
        <v>4006</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4058</v>
      </c>
      <c r="I50" s="1341"/>
      <c r="J50" s="1341"/>
      <c r="K50" s="1341"/>
      <c r="L50" s="1341"/>
      <c r="M50" s="1341"/>
      <c r="N50" s="1342"/>
      <c r="O50" s="827" t="s">
        <v>2870</v>
      </c>
      <c r="P50" s="827"/>
      <c r="Q50" s="1292" t="s">
        <v>4059</v>
      </c>
      <c r="R50" s="1341"/>
      <c r="S50" s="1342"/>
    </row>
    <row r="51" spans="1:19" s="449" customFormat="1" ht="12.6" customHeight="1">
      <c r="D51" s="498"/>
      <c r="E51" s="455" t="s">
        <v>1527</v>
      </c>
      <c r="F51" s="463"/>
      <c r="H51" s="1292" t="s">
        <v>4060</v>
      </c>
      <c r="I51" s="1341"/>
      <c r="J51" s="1341"/>
      <c r="K51" s="1341"/>
      <c r="L51" s="1341"/>
      <c r="M51" s="1341"/>
      <c r="N51" s="1342"/>
      <c r="O51" s="827" t="s">
        <v>2601</v>
      </c>
      <c r="Q51" s="1292" t="s">
        <v>4061</v>
      </c>
      <c r="R51" s="1341"/>
      <c r="S51" s="1342"/>
    </row>
    <row r="52" spans="1:19" s="449" customFormat="1" ht="12.6" customHeight="1">
      <c r="D52" s="498"/>
      <c r="E52" s="455" t="s">
        <v>876</v>
      </c>
      <c r="H52" s="1292" t="s">
        <v>2823</v>
      </c>
      <c r="I52" s="1341"/>
      <c r="J52" s="1342"/>
      <c r="O52" s="827" t="s">
        <v>2659</v>
      </c>
      <c r="Q52" s="1300">
        <v>9123692402</v>
      </c>
      <c r="R52" s="1305"/>
      <c r="S52" s="1301"/>
    </row>
    <row r="53" spans="1:19" s="449" customFormat="1" ht="12.6" customHeight="1">
      <c r="E53" s="455" t="s">
        <v>2655</v>
      </c>
      <c r="H53" s="1306" t="s">
        <v>1337</v>
      </c>
      <c r="I53" s="483" t="s">
        <v>3139</v>
      </c>
      <c r="J53" s="1303">
        <v>313130000</v>
      </c>
      <c r="K53" s="1342"/>
      <c r="O53" s="827" t="s">
        <v>2859</v>
      </c>
      <c r="Q53" s="1300"/>
      <c r="R53" s="1305"/>
      <c r="S53" s="1301"/>
    </row>
    <row r="54" spans="1:19" s="449" customFormat="1" ht="12.6" customHeight="1">
      <c r="D54" s="498"/>
      <c r="E54" s="455" t="s">
        <v>2865</v>
      </c>
      <c r="H54" s="1300"/>
      <c r="I54" s="1301"/>
      <c r="J54" s="1371"/>
      <c r="K54" s="836" t="s">
        <v>2658</v>
      </c>
      <c r="L54" s="1329"/>
      <c r="M54" s="1342"/>
      <c r="N54" s="457" t="s">
        <v>2864</v>
      </c>
      <c r="O54" s="1307" t="s">
        <v>4062</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2863</v>
      </c>
      <c r="C58" s="452" t="s">
        <v>349</v>
      </c>
      <c r="H58" s="1292" t="s">
        <v>4007</v>
      </c>
      <c r="I58" s="1341"/>
      <c r="J58" s="1341"/>
      <c r="K58" s="1341"/>
      <c r="L58" s="1341"/>
      <c r="M58" s="1341"/>
      <c r="N58" s="1342"/>
      <c r="O58" s="827" t="s">
        <v>2870</v>
      </c>
      <c r="P58" s="827"/>
      <c r="Q58" s="1292" t="s">
        <v>3977</v>
      </c>
      <c r="R58" s="1341"/>
      <c r="S58" s="1342"/>
    </row>
    <row r="59" spans="1:19" s="449" customFormat="1" ht="13.15" customHeight="1">
      <c r="D59" s="498"/>
      <c r="E59" s="455" t="s">
        <v>1527</v>
      </c>
      <c r="F59" s="463"/>
      <c r="H59" s="1292" t="s">
        <v>3997</v>
      </c>
      <c r="I59" s="1341"/>
      <c r="J59" s="1341"/>
      <c r="K59" s="1341"/>
      <c r="L59" s="1341"/>
      <c r="M59" s="1341"/>
      <c r="N59" s="1342"/>
      <c r="O59" s="827" t="s">
        <v>2601</v>
      </c>
      <c r="Q59" s="1292" t="s">
        <v>3978</v>
      </c>
      <c r="R59" s="1341"/>
      <c r="S59" s="1342"/>
    </row>
    <row r="60" spans="1:19" s="449" customFormat="1" ht="13.15" customHeight="1">
      <c r="D60" s="498"/>
      <c r="E60" s="455" t="s">
        <v>876</v>
      </c>
      <c r="H60" s="1292" t="s">
        <v>217</v>
      </c>
      <c r="I60" s="1341"/>
      <c r="J60" s="1342"/>
      <c r="O60" s="827" t="s">
        <v>2659</v>
      </c>
      <c r="Q60" s="1300">
        <v>6017078715</v>
      </c>
      <c r="R60" s="1305"/>
      <c r="S60" s="1301"/>
    </row>
    <row r="61" spans="1:19" s="449" customFormat="1" ht="13.15" customHeight="1">
      <c r="E61" s="455" t="s">
        <v>2655</v>
      </c>
      <c r="H61" s="1306" t="s">
        <v>1351</v>
      </c>
      <c r="I61" s="483" t="s">
        <v>3139</v>
      </c>
      <c r="J61" s="1303">
        <v>313100672</v>
      </c>
      <c r="K61" s="1342"/>
      <c r="O61" s="827" t="s">
        <v>2859</v>
      </c>
      <c r="Q61" s="1300">
        <v>6016726285</v>
      </c>
      <c r="R61" s="1305"/>
      <c r="S61" s="1301"/>
    </row>
    <row r="62" spans="1:19" s="449" customFormat="1" ht="13.15" customHeight="1">
      <c r="D62" s="498"/>
      <c r="E62" s="455" t="s">
        <v>2865</v>
      </c>
      <c r="H62" s="1300">
        <v>6017078715</v>
      </c>
      <c r="I62" s="1301"/>
      <c r="J62" s="1371"/>
      <c r="K62" s="836" t="s">
        <v>2658</v>
      </c>
      <c r="L62" s="1329">
        <v>6017075661</v>
      </c>
      <c r="M62" s="1342"/>
      <c r="N62" s="457" t="s">
        <v>2864</v>
      </c>
      <c r="O62" s="1307" t="s">
        <v>3979</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2866</v>
      </c>
      <c r="C64" s="452" t="s">
        <v>350</v>
      </c>
      <c r="H64" s="1292"/>
      <c r="I64" s="1341"/>
      <c r="J64" s="1341"/>
      <c r="K64" s="1341"/>
      <c r="L64" s="1341"/>
      <c r="M64" s="1341"/>
      <c r="N64" s="1342"/>
      <c r="O64" s="827" t="s">
        <v>2870</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2659</v>
      </c>
      <c r="Q66" s="1300"/>
      <c r="R66" s="1305"/>
      <c r="S66" s="1301"/>
    </row>
    <row r="67" spans="2:19" s="449" customFormat="1" ht="13.15" customHeight="1">
      <c r="E67" s="455" t="s">
        <v>2655</v>
      </c>
      <c r="H67" s="1306"/>
      <c r="I67" s="483" t="s">
        <v>3139</v>
      </c>
      <c r="J67" s="1303"/>
      <c r="K67" s="1342"/>
      <c r="O67" s="827" t="s">
        <v>2859</v>
      </c>
      <c r="Q67" s="1300"/>
      <c r="R67" s="1305"/>
      <c r="S67" s="1301"/>
    </row>
    <row r="68" spans="2:19" s="449" customFormat="1" ht="13.15" customHeight="1">
      <c r="D68" s="498"/>
      <c r="E68" s="455" t="s">
        <v>2865</v>
      </c>
      <c r="H68" s="1300"/>
      <c r="I68" s="1301"/>
      <c r="J68" s="1371"/>
      <c r="K68" s="836" t="s">
        <v>2658</v>
      </c>
      <c r="L68" s="1329"/>
      <c r="M68" s="1342"/>
      <c r="N68" s="457" t="s">
        <v>2864</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2870</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2659</v>
      </c>
      <c r="Q72" s="1300"/>
      <c r="R72" s="1305"/>
      <c r="S72" s="1301"/>
    </row>
    <row r="73" spans="2:19" s="449" customFormat="1" ht="13.15" customHeight="1">
      <c r="E73" s="455" t="s">
        <v>2655</v>
      </c>
      <c r="H73" s="1306"/>
      <c r="I73" s="483" t="s">
        <v>3139</v>
      </c>
      <c r="J73" s="1303"/>
      <c r="K73" s="1342"/>
      <c r="O73" s="827" t="s">
        <v>2859</v>
      </c>
      <c r="Q73" s="1300"/>
      <c r="R73" s="1305"/>
      <c r="S73" s="1301"/>
    </row>
    <row r="74" spans="2:19" s="449" customFormat="1" ht="13.15" customHeight="1">
      <c r="D74" s="498"/>
      <c r="E74" s="455" t="s">
        <v>2865</v>
      </c>
      <c r="H74" s="1300"/>
      <c r="I74" s="1301"/>
      <c r="J74" s="1371"/>
      <c r="K74" s="836" t="s">
        <v>2658</v>
      </c>
      <c r="L74" s="1329"/>
      <c r="M74" s="1342"/>
      <c r="N74" s="457" t="s">
        <v>2864</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3005</v>
      </c>
      <c r="C76" s="452" t="s">
        <v>351</v>
      </c>
      <c r="H76" s="1292" t="s">
        <v>4008</v>
      </c>
      <c r="I76" s="1341"/>
      <c r="J76" s="1341"/>
      <c r="K76" s="1341"/>
      <c r="L76" s="1341"/>
      <c r="M76" s="1341"/>
      <c r="N76" s="1342"/>
      <c r="O76" s="827" t="s">
        <v>2870</v>
      </c>
      <c r="P76" s="827"/>
      <c r="Q76" s="1292" t="s">
        <v>4009</v>
      </c>
      <c r="R76" s="1341"/>
      <c r="S76" s="1342"/>
    </row>
    <row r="77" spans="2:19" s="449" customFormat="1" ht="13.15" customHeight="1">
      <c r="D77" s="498"/>
      <c r="E77" s="455" t="s">
        <v>1527</v>
      </c>
      <c r="F77" s="463"/>
      <c r="H77" s="1292" t="s">
        <v>4010</v>
      </c>
      <c r="I77" s="1341"/>
      <c r="J77" s="1341"/>
      <c r="K77" s="1341"/>
      <c r="L77" s="1341"/>
      <c r="M77" s="1341"/>
      <c r="N77" s="1342"/>
      <c r="O77" s="827" t="s">
        <v>2601</v>
      </c>
      <c r="Q77" s="1292" t="s">
        <v>3978</v>
      </c>
      <c r="R77" s="1341"/>
      <c r="S77" s="1342"/>
    </row>
    <row r="78" spans="2:19" s="449" customFormat="1" ht="13.15" customHeight="1">
      <c r="D78" s="498"/>
      <c r="E78" s="455" t="s">
        <v>876</v>
      </c>
      <c r="H78" s="1292" t="s">
        <v>4011</v>
      </c>
      <c r="I78" s="1341"/>
      <c r="J78" s="1342"/>
      <c r="O78" s="827" t="s">
        <v>2659</v>
      </c>
      <c r="Q78" s="1300">
        <v>3219517767</v>
      </c>
      <c r="R78" s="1305"/>
      <c r="S78" s="1301"/>
    </row>
    <row r="79" spans="2:19" s="449" customFormat="1" ht="13.15" customHeight="1">
      <c r="E79" s="455" t="s">
        <v>2655</v>
      </c>
      <c r="H79" s="1306" t="s">
        <v>1336</v>
      </c>
      <c r="I79" s="483" t="s">
        <v>3139</v>
      </c>
      <c r="J79" s="1303">
        <v>329034102</v>
      </c>
      <c r="K79" s="1342"/>
      <c r="O79" s="827" t="s">
        <v>2859</v>
      </c>
      <c r="Q79" s="1300">
        <v>3216934797</v>
      </c>
      <c r="R79" s="1305"/>
      <c r="S79" s="1301"/>
    </row>
    <row r="80" spans="2:19" s="449" customFormat="1" ht="13.15" customHeight="1">
      <c r="D80" s="498"/>
      <c r="E80" s="455" t="s">
        <v>2865</v>
      </c>
      <c r="H80" s="1300">
        <v>3219517767</v>
      </c>
      <c r="I80" s="1301"/>
      <c r="J80" s="1371"/>
      <c r="K80" s="836" t="s">
        <v>2658</v>
      </c>
      <c r="L80" s="1329"/>
      <c r="M80" s="1342"/>
      <c r="N80" s="457" t="s">
        <v>2864</v>
      </c>
      <c r="O80" s="1307" t="s">
        <v>4012</v>
      </c>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2863</v>
      </c>
      <c r="C84" s="452" t="s">
        <v>353</v>
      </c>
      <c r="H84" s="1292"/>
      <c r="I84" s="1341"/>
      <c r="J84" s="1341"/>
      <c r="K84" s="1341"/>
      <c r="L84" s="1341"/>
      <c r="M84" s="1341"/>
      <c r="N84" s="1342"/>
      <c r="O84" s="827" t="s">
        <v>2870</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2659</v>
      </c>
      <c r="Q86" s="1300"/>
      <c r="R86" s="1305"/>
      <c r="S86" s="1301"/>
    </row>
    <row r="87" spans="1:19" s="449" customFormat="1" ht="13.15" customHeight="1">
      <c r="E87" s="455" t="s">
        <v>2655</v>
      </c>
      <c r="H87" s="1306"/>
      <c r="I87" s="483" t="s">
        <v>3139</v>
      </c>
      <c r="J87" s="1303"/>
      <c r="K87" s="1342"/>
      <c r="O87" s="827" t="s">
        <v>2859</v>
      </c>
      <c r="Q87" s="1300"/>
      <c r="R87" s="1305"/>
      <c r="S87" s="1301"/>
    </row>
    <row r="88" spans="1:19" s="449" customFormat="1" ht="13.15" customHeight="1">
      <c r="D88" s="498"/>
      <c r="E88" s="455" t="s">
        <v>2865</v>
      </c>
      <c r="H88" s="1300"/>
      <c r="I88" s="1301"/>
      <c r="J88" s="1371"/>
      <c r="K88" s="836" t="s">
        <v>2658</v>
      </c>
      <c r="L88" s="1329"/>
      <c r="M88" s="1342"/>
      <c r="N88" s="457" t="s">
        <v>2864</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2866</v>
      </c>
      <c r="C90" s="452" t="s">
        <v>354</v>
      </c>
      <c r="H90" s="1292" t="s">
        <v>4013</v>
      </c>
      <c r="I90" s="1341"/>
      <c r="J90" s="1341"/>
      <c r="K90" s="1341"/>
      <c r="L90" s="1341"/>
      <c r="M90" s="1341"/>
      <c r="N90" s="1342"/>
      <c r="O90" s="827" t="s">
        <v>2870</v>
      </c>
      <c r="P90" s="827"/>
      <c r="Q90" s="1292" t="s">
        <v>4014</v>
      </c>
      <c r="R90" s="1341"/>
      <c r="S90" s="1342"/>
    </row>
    <row r="91" spans="1:19" s="449" customFormat="1" ht="13.15" customHeight="1">
      <c r="D91" s="498"/>
      <c r="E91" s="455" t="s">
        <v>1527</v>
      </c>
      <c r="F91" s="463"/>
      <c r="H91" s="1292" t="s">
        <v>3997</v>
      </c>
      <c r="I91" s="1341"/>
      <c r="J91" s="1341"/>
      <c r="K91" s="1341"/>
      <c r="L91" s="1341"/>
      <c r="M91" s="1341"/>
      <c r="N91" s="1342"/>
      <c r="O91" s="827" t="s">
        <v>2601</v>
      </c>
      <c r="Q91" s="1292" t="s">
        <v>3978</v>
      </c>
      <c r="R91" s="1341"/>
      <c r="S91" s="1342"/>
    </row>
    <row r="92" spans="1:19" s="449" customFormat="1" ht="13.15" customHeight="1">
      <c r="D92" s="498"/>
      <c r="E92" s="455" t="s">
        <v>876</v>
      </c>
      <c r="H92" s="1292" t="s">
        <v>217</v>
      </c>
      <c r="I92" s="1341"/>
      <c r="J92" s="1342"/>
      <c r="O92" s="827" t="s">
        <v>2659</v>
      </c>
      <c r="Q92" s="1300">
        <v>6017078716</v>
      </c>
      <c r="R92" s="1305"/>
      <c r="S92" s="1301"/>
    </row>
    <row r="93" spans="1:19" s="449" customFormat="1" ht="13.15" customHeight="1">
      <c r="E93" s="455" t="s">
        <v>2655</v>
      </c>
      <c r="H93" s="1306" t="s">
        <v>1351</v>
      </c>
      <c r="I93" s="483" t="s">
        <v>3139</v>
      </c>
      <c r="J93" s="1303">
        <v>313100672</v>
      </c>
      <c r="K93" s="1342"/>
      <c r="O93" s="827" t="s">
        <v>2859</v>
      </c>
      <c r="Q93" s="1300">
        <v>6018139154</v>
      </c>
      <c r="R93" s="1305"/>
      <c r="S93" s="1301"/>
    </row>
    <row r="94" spans="1:19" s="449" customFormat="1" ht="13.15" customHeight="1">
      <c r="D94" s="498"/>
      <c r="E94" s="455" t="s">
        <v>2865</v>
      </c>
      <c r="H94" s="1300">
        <v>6017078716</v>
      </c>
      <c r="I94" s="1301"/>
      <c r="J94" s="1371"/>
      <c r="K94" s="836" t="s">
        <v>2658</v>
      </c>
      <c r="L94" s="1329">
        <v>6017075661</v>
      </c>
      <c r="M94" s="1342"/>
      <c r="N94" s="457" t="s">
        <v>2864</v>
      </c>
      <c r="O94" s="1307" t="s">
        <v>4015</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4016</v>
      </c>
      <c r="I96" s="1341"/>
      <c r="J96" s="1341"/>
      <c r="K96" s="1341"/>
      <c r="L96" s="1341"/>
      <c r="M96" s="1341"/>
      <c r="N96" s="1342"/>
      <c r="O96" s="827" t="s">
        <v>2870</v>
      </c>
      <c r="P96" s="827"/>
      <c r="Q96" s="1292" t="s">
        <v>4017</v>
      </c>
      <c r="R96" s="1341"/>
      <c r="S96" s="1342"/>
    </row>
    <row r="97" spans="2:19" s="449" customFormat="1" ht="13.15" customHeight="1">
      <c r="D97" s="498"/>
      <c r="E97" s="455" t="s">
        <v>1527</v>
      </c>
      <c r="F97" s="463"/>
      <c r="H97" s="1292" t="s">
        <v>4018</v>
      </c>
      <c r="I97" s="1341"/>
      <c r="J97" s="1341"/>
      <c r="K97" s="1341"/>
      <c r="L97" s="1341"/>
      <c r="M97" s="1341"/>
      <c r="N97" s="1342"/>
      <c r="O97" s="827" t="s">
        <v>2601</v>
      </c>
      <c r="Q97" s="1292" t="s">
        <v>4019</v>
      </c>
      <c r="R97" s="1341"/>
      <c r="S97" s="1342"/>
    </row>
    <row r="98" spans="2:19" s="449" customFormat="1" ht="13.15" customHeight="1">
      <c r="D98" s="498"/>
      <c r="E98" s="455" t="s">
        <v>876</v>
      </c>
      <c r="H98" s="1292" t="s">
        <v>4020</v>
      </c>
      <c r="I98" s="1341"/>
      <c r="J98" s="1342"/>
      <c r="O98" s="827" t="s">
        <v>2659</v>
      </c>
      <c r="Q98" s="1300">
        <v>9014357720</v>
      </c>
      <c r="R98" s="1305"/>
      <c r="S98" s="1301"/>
    </row>
    <row r="99" spans="2:19" s="449" customFormat="1" ht="13.15" customHeight="1">
      <c r="D99" s="498"/>
      <c r="E99" s="455" t="s">
        <v>2655</v>
      </c>
      <c r="H99" s="1306" t="s">
        <v>1926</v>
      </c>
      <c r="I99" s="483" t="s">
        <v>3139</v>
      </c>
      <c r="J99" s="1303">
        <v>381182459</v>
      </c>
      <c r="K99" s="1342"/>
      <c r="O99" s="827" t="s">
        <v>2859</v>
      </c>
      <c r="Q99" s="1300">
        <v>9015089195</v>
      </c>
      <c r="R99" s="1305"/>
      <c r="S99" s="1301"/>
    </row>
    <row r="100" spans="2:19" s="449" customFormat="1" ht="13.15" customHeight="1">
      <c r="D100" s="498"/>
      <c r="E100" s="455" t="s">
        <v>2865</v>
      </c>
      <c r="H100" s="1300">
        <v>9014357720</v>
      </c>
      <c r="I100" s="1301"/>
      <c r="J100" s="1371"/>
      <c r="K100" s="836" t="s">
        <v>2658</v>
      </c>
      <c r="L100" s="1329">
        <v>9014357701</v>
      </c>
      <c r="M100" s="1342"/>
      <c r="N100" s="457" t="s">
        <v>2864</v>
      </c>
      <c r="O100" s="1307" t="s">
        <v>4021</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3005</v>
      </c>
      <c r="C102" s="452" t="s">
        <v>356</v>
      </c>
      <c r="H102" s="1292" t="s">
        <v>4022</v>
      </c>
      <c r="I102" s="1341"/>
      <c r="J102" s="1341"/>
      <c r="K102" s="1341"/>
      <c r="L102" s="1341"/>
      <c r="M102" s="1341"/>
      <c r="N102" s="1342"/>
      <c r="O102" s="827" t="s">
        <v>2870</v>
      </c>
      <c r="P102" s="827"/>
      <c r="Q102" s="1292" t="s">
        <v>4023</v>
      </c>
      <c r="R102" s="1341"/>
      <c r="S102" s="1342"/>
    </row>
    <row r="103" spans="2:19" s="449" customFormat="1" ht="13.15" customHeight="1">
      <c r="D103" s="498"/>
      <c r="E103" s="455" t="s">
        <v>1527</v>
      </c>
      <c r="F103" s="463"/>
      <c r="H103" s="1292" t="s">
        <v>4024</v>
      </c>
      <c r="I103" s="1341"/>
      <c r="J103" s="1341"/>
      <c r="K103" s="1341"/>
      <c r="L103" s="1341"/>
      <c r="M103" s="1341"/>
      <c r="N103" s="1342"/>
      <c r="O103" s="827" t="s">
        <v>2601</v>
      </c>
      <c r="Q103" s="1292" t="s">
        <v>4025</v>
      </c>
      <c r="R103" s="1341"/>
      <c r="S103" s="1342"/>
    </row>
    <row r="104" spans="2:19" s="449" customFormat="1" ht="13.15" customHeight="1">
      <c r="D104" s="498"/>
      <c r="E104" s="455" t="s">
        <v>876</v>
      </c>
      <c r="H104" s="1292" t="s">
        <v>392</v>
      </c>
      <c r="I104" s="1341"/>
      <c r="J104" s="1342"/>
      <c r="O104" s="827" t="s">
        <v>2659</v>
      </c>
      <c r="Q104" s="1300">
        <v>6019494621</v>
      </c>
      <c r="R104" s="1305"/>
      <c r="S104" s="1301"/>
    </row>
    <row r="105" spans="2:19" s="449" customFormat="1" ht="13.15" customHeight="1">
      <c r="D105" s="498"/>
      <c r="E105" s="455" t="s">
        <v>2655</v>
      </c>
      <c r="H105" s="1306" t="s">
        <v>1351</v>
      </c>
      <c r="I105" s="483" t="s">
        <v>3139</v>
      </c>
      <c r="J105" s="1303">
        <v>392050427</v>
      </c>
      <c r="K105" s="1342"/>
      <c r="O105" s="827" t="s">
        <v>2859</v>
      </c>
      <c r="Q105" s="1300">
        <v>6019248544</v>
      </c>
      <c r="R105" s="1305"/>
      <c r="S105" s="1301"/>
    </row>
    <row r="106" spans="2:19" ht="13.15" customHeight="1">
      <c r="E106" s="455" t="s">
        <v>2865</v>
      </c>
      <c r="F106" s="449"/>
      <c r="G106" s="449"/>
      <c r="H106" s="1300">
        <v>6019494900</v>
      </c>
      <c r="I106" s="1301"/>
      <c r="J106" s="1371"/>
      <c r="K106" s="836" t="s">
        <v>2658</v>
      </c>
      <c r="L106" s="1329">
        <v>6019494804</v>
      </c>
      <c r="M106" s="1342"/>
      <c r="N106" s="457" t="s">
        <v>2864</v>
      </c>
      <c r="O106" s="1307" t="s">
        <v>4026</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4027</v>
      </c>
      <c r="I109" s="1341"/>
      <c r="J109" s="1341"/>
      <c r="K109" s="1341"/>
      <c r="L109" s="1341"/>
      <c r="M109" s="1341"/>
      <c r="N109" s="1342"/>
      <c r="O109" s="827" t="s">
        <v>2870</v>
      </c>
      <c r="P109" s="827"/>
      <c r="Q109" s="1292" t="s">
        <v>4028</v>
      </c>
      <c r="R109" s="1341"/>
      <c r="S109" s="1342"/>
    </row>
    <row r="110" spans="2:19" s="449" customFormat="1" ht="13.15" customHeight="1">
      <c r="D110" s="498"/>
      <c r="E110" s="455" t="s">
        <v>1527</v>
      </c>
      <c r="F110" s="463"/>
      <c r="H110" s="1292" t="s">
        <v>4029</v>
      </c>
      <c r="I110" s="1341"/>
      <c r="J110" s="1341"/>
      <c r="K110" s="1341"/>
      <c r="L110" s="1341"/>
      <c r="M110" s="1341"/>
      <c r="N110" s="1342"/>
      <c r="O110" s="827" t="s">
        <v>2601</v>
      </c>
      <c r="Q110" s="1292" t="s">
        <v>3978</v>
      </c>
      <c r="R110" s="1341"/>
      <c r="S110" s="1342"/>
    </row>
    <row r="111" spans="2:19" s="449" customFormat="1" ht="13.15" customHeight="1">
      <c r="D111" s="498"/>
      <c r="E111" s="455" t="s">
        <v>876</v>
      </c>
      <c r="H111" s="1292" t="s">
        <v>2152</v>
      </c>
      <c r="I111" s="1341"/>
      <c r="J111" s="1342"/>
      <c r="O111" s="827" t="s">
        <v>2659</v>
      </c>
      <c r="Q111" s="1300">
        <v>4044185905</v>
      </c>
      <c r="R111" s="1305"/>
      <c r="S111" s="1301"/>
    </row>
    <row r="112" spans="2:19" s="449" customFormat="1" ht="13.15" customHeight="1">
      <c r="D112" s="498"/>
      <c r="E112" s="455" t="s">
        <v>2655</v>
      </c>
      <c r="H112" s="1306" t="s">
        <v>1337</v>
      </c>
      <c r="I112" s="483" t="s">
        <v>3139</v>
      </c>
      <c r="J112" s="1303">
        <v>301896797</v>
      </c>
      <c r="K112" s="1342"/>
      <c r="O112" s="827" t="s">
        <v>2859</v>
      </c>
      <c r="Q112" s="1300">
        <v>4049344190</v>
      </c>
      <c r="R112" s="1305"/>
      <c r="S112" s="1301"/>
    </row>
    <row r="113" spans="1:19" ht="13.15" customHeight="1">
      <c r="E113" s="455" t="s">
        <v>2865</v>
      </c>
      <c r="F113" s="449"/>
      <c r="G113" s="449"/>
      <c r="H113" s="1300">
        <v>4044185905</v>
      </c>
      <c r="I113" s="1301"/>
      <c r="J113" s="1371"/>
      <c r="K113" s="836" t="s">
        <v>2658</v>
      </c>
      <c r="L113" s="1329"/>
      <c r="M113" s="1342"/>
      <c r="N113" s="457" t="s">
        <v>2864</v>
      </c>
      <c r="O113" s="1307" t="s">
        <v>4030</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4031</v>
      </c>
      <c r="I115" s="1341"/>
      <c r="J115" s="1341"/>
      <c r="K115" s="1341"/>
      <c r="L115" s="1341"/>
      <c r="M115" s="1341"/>
      <c r="N115" s="1342"/>
      <c r="O115" s="827" t="s">
        <v>2870</v>
      </c>
      <c r="P115" s="827"/>
      <c r="Q115" s="1292" t="s">
        <v>4032</v>
      </c>
      <c r="R115" s="1341"/>
      <c r="S115" s="1342"/>
    </row>
    <row r="116" spans="1:19" s="449" customFormat="1" ht="13.15" customHeight="1">
      <c r="D116" s="498"/>
      <c r="E116" s="455" t="s">
        <v>1527</v>
      </c>
      <c r="F116" s="463"/>
      <c r="H116" s="1292" t="s">
        <v>4033</v>
      </c>
      <c r="I116" s="1341"/>
      <c r="J116" s="1341"/>
      <c r="K116" s="1341"/>
      <c r="L116" s="1341"/>
      <c r="M116" s="1341"/>
      <c r="N116" s="1342"/>
      <c r="O116" s="827" t="s">
        <v>2601</v>
      </c>
      <c r="Q116" s="1292" t="s">
        <v>3978</v>
      </c>
      <c r="R116" s="1341"/>
      <c r="S116" s="1342"/>
    </row>
    <row r="117" spans="1:19" s="449" customFormat="1" ht="13.15" customHeight="1">
      <c r="D117" s="498"/>
      <c r="E117" s="455" t="s">
        <v>876</v>
      </c>
      <c r="H117" s="1292" t="s">
        <v>4034</v>
      </c>
      <c r="I117" s="1341"/>
      <c r="J117" s="1342"/>
      <c r="O117" s="827" t="s">
        <v>2659</v>
      </c>
      <c r="Q117" s="1300">
        <v>6019662577</v>
      </c>
      <c r="R117" s="1305"/>
      <c r="S117" s="1301"/>
    </row>
    <row r="118" spans="1:19" s="449" customFormat="1" ht="13.15" customHeight="1">
      <c r="D118" s="503"/>
      <c r="E118" s="455" t="s">
        <v>2655</v>
      </c>
      <c r="H118" s="1306" t="s">
        <v>1351</v>
      </c>
      <c r="I118" s="483" t="s">
        <v>3139</v>
      </c>
      <c r="J118" s="1303">
        <v>391575226</v>
      </c>
      <c r="K118" s="1342"/>
      <c r="O118" s="827" t="s">
        <v>2859</v>
      </c>
      <c r="Q118" s="1300">
        <v>6019820341</v>
      </c>
      <c r="R118" s="1305"/>
      <c r="S118" s="1301"/>
    </row>
    <row r="119" spans="1:19" s="449" customFormat="1" ht="13.15" customHeight="1">
      <c r="D119" s="503"/>
      <c r="E119" s="455" t="s">
        <v>2865</v>
      </c>
      <c r="H119" s="1300">
        <v>6019662577</v>
      </c>
      <c r="I119" s="1301"/>
      <c r="J119" s="1371"/>
      <c r="K119" s="836" t="s">
        <v>2658</v>
      </c>
      <c r="L119" s="1329">
        <v>6019820342</v>
      </c>
      <c r="M119" s="1342"/>
      <c r="N119" s="457" t="s">
        <v>2864</v>
      </c>
      <c r="O119" s="1307" t="s">
        <v>4035</v>
      </c>
      <c r="P119" s="1308"/>
      <c r="Q119" s="1308"/>
      <c r="R119" s="1308"/>
      <c r="S119" s="1309"/>
    </row>
    <row r="120" spans="1:19" ht="13.15" customHeight="1"/>
    <row r="121" spans="1:19" s="449" customFormat="1" ht="13.15" customHeight="1">
      <c r="A121" s="452" t="s">
        <v>2648</v>
      </c>
      <c r="B121" s="452" t="s">
        <v>3644</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3309</v>
      </c>
      <c r="F123" s="922" t="s">
        <v>3302</v>
      </c>
      <c r="G123" s="926" t="s">
        <v>3303</v>
      </c>
      <c r="H123" s="927"/>
      <c r="I123" s="928"/>
      <c r="J123" s="926" t="s">
        <v>3304</v>
      </c>
      <c r="K123" s="935"/>
      <c r="L123" s="926" t="s">
        <v>3305</v>
      </c>
      <c r="M123" s="940"/>
      <c r="N123" s="926" t="s">
        <v>3306</v>
      </c>
      <c r="O123" s="928"/>
      <c r="P123" s="926" t="s">
        <v>3307</v>
      </c>
      <c r="Q123" s="928"/>
      <c r="R123" s="926" t="s">
        <v>3308</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3301</v>
      </c>
      <c r="B128" s="835"/>
      <c r="C128" s="835"/>
      <c r="D128" s="841"/>
      <c r="E128" s="1385" t="s">
        <v>3980</v>
      </c>
      <c r="F128" s="1385" t="s">
        <v>3980</v>
      </c>
      <c r="G128" s="1386" t="s">
        <v>3980</v>
      </c>
      <c r="H128" s="1387"/>
      <c r="I128" s="1388"/>
      <c r="J128" s="1386" t="s">
        <v>3981</v>
      </c>
      <c r="K128" s="1388"/>
      <c r="L128" s="1386" t="s">
        <v>3980</v>
      </c>
      <c r="M128" s="1388"/>
      <c r="N128" s="1386" t="s">
        <v>3980</v>
      </c>
      <c r="O128" s="1388"/>
      <c r="P128" s="1389" t="s">
        <v>4036</v>
      </c>
      <c r="Q128" s="1390"/>
      <c r="R128" s="1391">
        <v>8.9999999999999998E-4</v>
      </c>
      <c r="S128" s="1392"/>
    </row>
    <row r="129" spans="1:19" s="449" customFormat="1" ht="13.9" customHeight="1">
      <c r="A129" s="832" t="s">
        <v>3291</v>
      </c>
      <c r="B129" s="833"/>
      <c r="C129" s="833"/>
      <c r="D129" s="839"/>
      <c r="E129" s="1393" t="s">
        <v>3980</v>
      </c>
      <c r="F129" s="1393" t="s">
        <v>3980</v>
      </c>
      <c r="G129" s="1394" t="s">
        <v>3980</v>
      </c>
      <c r="H129" s="1395"/>
      <c r="I129" s="1396"/>
      <c r="J129" s="1394" t="s">
        <v>3981</v>
      </c>
      <c r="K129" s="1396"/>
      <c r="L129" s="1394" t="s">
        <v>3980</v>
      </c>
      <c r="M129" s="1396"/>
      <c r="N129" s="1394" t="s">
        <v>3980</v>
      </c>
      <c r="O129" s="1396"/>
      <c r="P129" s="1397" t="s">
        <v>4036</v>
      </c>
      <c r="Q129" s="1398"/>
      <c r="R129" s="1399">
        <v>1E-4</v>
      </c>
      <c r="S129" s="1400"/>
    </row>
    <row r="130" spans="1:19" s="449" customFormat="1" ht="13.9" customHeight="1">
      <c r="A130" s="832" t="s">
        <v>3292</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3293</v>
      </c>
      <c r="B131" s="833"/>
      <c r="C131" s="833"/>
      <c r="D131" s="839"/>
      <c r="E131" s="1393" t="s">
        <v>3980</v>
      </c>
      <c r="F131" s="1393" t="s">
        <v>3980</v>
      </c>
      <c r="G131" s="1394" t="s">
        <v>3980</v>
      </c>
      <c r="H131" s="1395"/>
      <c r="I131" s="1396"/>
      <c r="J131" s="1394" t="s">
        <v>3980</v>
      </c>
      <c r="K131" s="1396"/>
      <c r="L131" s="1394" t="s">
        <v>3980</v>
      </c>
      <c r="M131" s="1396"/>
      <c r="N131" s="1394" t="s">
        <v>3980</v>
      </c>
      <c r="O131" s="1396"/>
      <c r="P131" s="1397" t="s">
        <v>4036</v>
      </c>
      <c r="Q131" s="1398"/>
      <c r="R131" s="1399">
        <v>0.999</v>
      </c>
      <c r="S131" s="1400"/>
    </row>
    <row r="132" spans="1:19" s="449" customFormat="1" ht="13.9" customHeight="1">
      <c r="A132" s="832" t="s">
        <v>3294</v>
      </c>
      <c r="B132" s="833"/>
      <c r="C132" s="833"/>
      <c r="D132" s="839"/>
      <c r="E132" s="1393" t="s">
        <v>3980</v>
      </c>
      <c r="F132" s="1393" t="s">
        <v>3980</v>
      </c>
      <c r="G132" s="1394" t="s">
        <v>3980</v>
      </c>
      <c r="H132" s="1395"/>
      <c r="I132" s="1396"/>
      <c r="J132" s="1394" t="s">
        <v>3980</v>
      </c>
      <c r="K132" s="1396"/>
      <c r="L132" s="1394" t="s">
        <v>3980</v>
      </c>
      <c r="M132" s="1396"/>
      <c r="N132" s="1394" t="s">
        <v>3980</v>
      </c>
      <c r="O132" s="1396"/>
      <c r="P132" s="1397" t="s">
        <v>4036</v>
      </c>
      <c r="Q132" s="1398"/>
      <c r="R132" s="1399">
        <v>0</v>
      </c>
      <c r="S132" s="1400"/>
    </row>
    <row r="133" spans="1:19" s="449" customFormat="1" ht="13.9" customHeight="1">
      <c r="A133" s="832" t="s">
        <v>3295</v>
      </c>
      <c r="B133" s="833"/>
      <c r="C133" s="833"/>
      <c r="D133" s="839"/>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9"/>
      <c r="E134" s="1393" t="s">
        <v>3980</v>
      </c>
      <c r="F134" s="1393" t="s">
        <v>3980</v>
      </c>
      <c r="G134" s="1394" t="s">
        <v>3980</v>
      </c>
      <c r="H134" s="1395"/>
      <c r="I134" s="1396"/>
      <c r="J134" s="1394" t="s">
        <v>3981</v>
      </c>
      <c r="K134" s="1396"/>
      <c r="L134" s="1394" t="s">
        <v>3980</v>
      </c>
      <c r="M134" s="1396"/>
      <c r="N134" s="1394" t="s">
        <v>3980</v>
      </c>
      <c r="O134" s="1396"/>
      <c r="P134" s="1397" t="s">
        <v>4036</v>
      </c>
      <c r="Q134" s="1398"/>
      <c r="R134" s="1399">
        <v>0</v>
      </c>
      <c r="S134" s="1400"/>
    </row>
    <row r="135" spans="1:19" s="449" customFormat="1" ht="13.9" customHeight="1">
      <c r="A135" s="832" t="s">
        <v>3296</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3297</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3298</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3299</v>
      </c>
      <c r="B138" s="833"/>
      <c r="C138" s="833"/>
      <c r="D138" s="839"/>
      <c r="E138" s="1393" t="s">
        <v>3980</v>
      </c>
      <c r="F138" s="1393" t="s">
        <v>3980</v>
      </c>
      <c r="G138" s="1394" t="s">
        <v>3980</v>
      </c>
      <c r="H138" s="1395"/>
      <c r="I138" s="1396"/>
      <c r="J138" s="1394" t="s">
        <v>3980</v>
      </c>
      <c r="K138" s="1396"/>
      <c r="L138" s="1394" t="s">
        <v>3980</v>
      </c>
      <c r="M138" s="1396"/>
      <c r="N138" s="1394" t="s">
        <v>3980</v>
      </c>
      <c r="O138" s="1396"/>
      <c r="P138" s="1397" t="s">
        <v>4036</v>
      </c>
      <c r="Q138" s="1398"/>
      <c r="R138" s="1399">
        <v>0</v>
      </c>
      <c r="S138" s="1400"/>
    </row>
    <row r="139" spans="1:19" s="449" customFormat="1" ht="13.9" customHeight="1">
      <c r="A139" s="832" t="s">
        <v>2130</v>
      </c>
      <c r="B139" s="833"/>
      <c r="C139" s="833"/>
      <c r="D139" s="839"/>
      <c r="E139" s="1393" t="s">
        <v>3980</v>
      </c>
      <c r="F139" s="1393" t="s">
        <v>3980</v>
      </c>
      <c r="G139" s="1394" t="s">
        <v>3980</v>
      </c>
      <c r="H139" s="1395"/>
      <c r="I139" s="1396"/>
      <c r="J139" s="1394" t="s">
        <v>3981</v>
      </c>
      <c r="K139" s="1396"/>
      <c r="L139" s="1394" t="s">
        <v>3980</v>
      </c>
      <c r="M139" s="1396"/>
      <c r="N139" s="1394" t="s">
        <v>3980</v>
      </c>
      <c r="O139" s="1396"/>
      <c r="P139" s="1397" t="s">
        <v>4036</v>
      </c>
      <c r="Q139" s="1398"/>
      <c r="R139" s="1399">
        <v>0</v>
      </c>
      <c r="S139" s="1400"/>
    </row>
    <row r="140" spans="1:19" s="449" customFormat="1" ht="13.9" customHeight="1">
      <c r="A140" s="837" t="s">
        <v>3300</v>
      </c>
      <c r="B140" s="838"/>
      <c r="C140" s="838"/>
      <c r="D140" s="504"/>
      <c r="E140" s="1401" t="s">
        <v>3980</v>
      </c>
      <c r="F140" s="1401" t="s">
        <v>3980</v>
      </c>
      <c r="G140" s="1402" t="s">
        <v>3980</v>
      </c>
      <c r="H140" s="1403"/>
      <c r="I140" s="1404"/>
      <c r="J140" s="1402" t="s">
        <v>3980</v>
      </c>
      <c r="K140" s="1404"/>
      <c r="L140" s="1402" t="s">
        <v>3980</v>
      </c>
      <c r="M140" s="1404"/>
      <c r="N140" s="1402" t="s">
        <v>3980</v>
      </c>
      <c r="O140" s="1404"/>
      <c r="P140" s="1405" t="s">
        <v>4036</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0"/>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2012-006 Hidden Glen Village, Hinesville, Liberty County</v>
      </c>
      <c r="B1" s="916"/>
      <c r="C1" s="916"/>
      <c r="D1" s="916"/>
      <c r="E1" s="916"/>
      <c r="F1" s="916"/>
      <c r="G1" s="916"/>
      <c r="H1" s="916"/>
      <c r="I1" s="916"/>
      <c r="J1" s="916"/>
      <c r="K1" s="916"/>
      <c r="L1" s="916"/>
      <c r="M1" s="916"/>
      <c r="N1" s="916"/>
      <c r="O1" s="916"/>
      <c r="P1" s="916"/>
      <c r="Q1" s="917"/>
      <c r="S1" s="988" t="str">
        <f>$A$1</f>
        <v>PART THREE - SOURCES OF FUNDS  -  2012-006 Hidden Glen Village, Hinesville, Liberty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3866</v>
      </c>
      <c r="T4" s="976"/>
    </row>
    <row r="5" spans="1:20" s="397" customFormat="1" ht="16.899999999999999" customHeight="1">
      <c r="A5" s="844"/>
      <c r="B5" s="1306" t="s">
        <v>3981</v>
      </c>
      <c r="C5" s="827" t="s">
        <v>3393</v>
      </c>
      <c r="D5" s="449"/>
      <c r="E5" s="1306" t="s">
        <v>3980</v>
      </c>
      <c r="F5" s="829" t="s">
        <v>2494</v>
      </c>
      <c r="G5" s="449"/>
      <c r="J5" s="1410"/>
      <c r="K5" s="1411"/>
      <c r="M5" s="1306" t="s">
        <v>3980</v>
      </c>
      <c r="N5" s="827" t="s">
        <v>786</v>
      </c>
      <c r="P5" s="1306" t="s">
        <v>3980</v>
      </c>
      <c r="Q5" s="990" t="s">
        <v>3656</v>
      </c>
      <c r="S5" s="1412"/>
      <c r="T5" s="1413"/>
    </row>
    <row r="6" spans="1:20" s="397" customFormat="1" ht="16.899999999999999" customHeight="1">
      <c r="A6" s="844"/>
      <c r="B6" s="1306" t="s">
        <v>3980</v>
      </c>
      <c r="C6" s="827" t="s">
        <v>2660</v>
      </c>
      <c r="D6" s="449"/>
      <c r="E6" s="1306" t="s">
        <v>3980</v>
      </c>
      <c r="F6" s="829" t="s">
        <v>3100</v>
      </c>
      <c r="H6" s="1306" t="s">
        <v>3980</v>
      </c>
      <c r="I6" s="833" t="s">
        <v>787</v>
      </c>
      <c r="J6" s="1306" t="s">
        <v>3980</v>
      </c>
      <c r="K6" s="833" t="s">
        <v>2140</v>
      </c>
      <c r="M6" s="1306" t="s">
        <v>3980</v>
      </c>
      <c r="N6" s="829" t="s">
        <v>785</v>
      </c>
      <c r="Q6" s="990"/>
      <c r="S6" s="1414"/>
      <c r="T6" s="1415"/>
    </row>
    <row r="7" spans="1:20" s="397" customFormat="1" ht="16.899999999999999" customHeight="1">
      <c r="A7" s="449"/>
      <c r="B7" s="1306" t="s">
        <v>3980</v>
      </c>
      <c r="C7" s="827" t="s">
        <v>2661</v>
      </c>
      <c r="E7" s="1306" t="s">
        <v>3980</v>
      </c>
      <c r="F7" s="829" t="s">
        <v>3099</v>
      </c>
      <c r="G7" s="449"/>
      <c r="H7" s="1306" t="s">
        <v>3980</v>
      </c>
      <c r="I7" s="989" t="s">
        <v>3654</v>
      </c>
      <c r="J7" s="1306" t="s">
        <v>3980</v>
      </c>
      <c r="K7" s="990" t="s">
        <v>3653</v>
      </c>
      <c r="L7" s="991"/>
      <c r="M7" s="1306" t="s">
        <v>3980</v>
      </c>
      <c r="N7" s="455" t="s">
        <v>3655</v>
      </c>
      <c r="Q7" s="992"/>
      <c r="S7" s="1414"/>
      <c r="T7" s="1415"/>
    </row>
    <row r="8" spans="1:20" s="397" customFormat="1" ht="16.899999999999999" customHeight="1">
      <c r="A8" s="844"/>
      <c r="B8" s="1306" t="s">
        <v>3980</v>
      </c>
      <c r="C8" s="833" t="s">
        <v>3641</v>
      </c>
      <c r="D8" s="449"/>
      <c r="E8" s="1306" t="s">
        <v>3980</v>
      </c>
      <c r="F8" s="477" t="s">
        <v>3642</v>
      </c>
      <c r="I8" s="989"/>
      <c r="K8" s="990"/>
      <c r="L8" s="991"/>
      <c r="M8" s="1306"/>
      <c r="N8" s="1292" t="s">
        <v>3025</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2744</v>
      </c>
      <c r="C13" s="449"/>
      <c r="D13" s="449"/>
      <c r="E13" s="449"/>
      <c r="F13" s="449"/>
      <c r="G13" s="449"/>
      <c r="H13" s="964" t="s">
        <v>1864</v>
      </c>
      <c r="I13" s="964"/>
      <c r="J13" s="964"/>
      <c r="K13" s="964"/>
      <c r="L13" s="896" t="s">
        <v>2871</v>
      </c>
      <c r="M13" s="896"/>
      <c r="N13" s="896" t="s">
        <v>2108</v>
      </c>
      <c r="O13" s="896"/>
      <c r="P13" s="896" t="s">
        <v>2381</v>
      </c>
      <c r="Q13" s="896"/>
      <c r="S13" s="976" t="s">
        <v>3866</v>
      </c>
      <c r="T13" s="976"/>
    </row>
    <row r="14" spans="1:20" s="397" customFormat="1" ht="16.899999999999999" customHeight="1">
      <c r="A14" s="449"/>
      <c r="B14" s="959" t="s">
        <v>2195</v>
      </c>
      <c r="C14" s="960"/>
      <c r="D14" s="960"/>
      <c r="E14" s="835"/>
      <c r="F14" s="835"/>
      <c r="G14" s="835"/>
      <c r="H14" s="1292" t="s">
        <v>4001</v>
      </c>
      <c r="I14" s="1293"/>
      <c r="J14" s="1293"/>
      <c r="K14" s="1294"/>
      <c r="L14" s="1418">
        <v>5029186</v>
      </c>
      <c r="M14" s="1419"/>
      <c r="N14" s="1420">
        <v>5.5E-2</v>
      </c>
      <c r="O14" s="1421"/>
      <c r="P14" s="1422">
        <v>24</v>
      </c>
      <c r="Q14" s="1423"/>
      <c r="S14" s="1412"/>
      <c r="T14" s="1413"/>
    </row>
    <row r="15" spans="1:20" s="397" customFormat="1" ht="16.899999999999999" customHeight="1">
      <c r="A15" s="449"/>
      <c r="B15" s="957" t="s">
        <v>2196</v>
      </c>
      <c r="C15" s="958"/>
      <c r="D15" s="958"/>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3119</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t="s">
        <v>4007</v>
      </c>
      <c r="I19" s="1293"/>
      <c r="J19" s="1293"/>
      <c r="K19" s="1294"/>
      <c r="L19" s="1418">
        <v>959572</v>
      </c>
      <c r="M19" s="1419"/>
      <c r="N19" s="970"/>
      <c r="O19" s="971"/>
      <c r="P19" s="969"/>
      <c r="Q19" s="969"/>
      <c r="S19" s="1414"/>
      <c r="T19" s="1415"/>
    </row>
    <row r="20" spans="1:20" s="397" customFormat="1" ht="16.899999999999999" customHeight="1">
      <c r="A20" s="449"/>
      <c r="B20" s="957" t="s">
        <v>1288</v>
      </c>
      <c r="C20" s="958"/>
      <c r="D20" s="958"/>
      <c r="E20" s="833"/>
      <c r="H20" s="1292" t="s">
        <v>4037</v>
      </c>
      <c r="I20" s="1293"/>
      <c r="J20" s="1293"/>
      <c r="K20" s="1294"/>
      <c r="L20" s="1418">
        <v>2331191</v>
      </c>
      <c r="M20" s="1419"/>
      <c r="N20" s="449"/>
      <c r="O20" s="449"/>
      <c r="P20" s="449"/>
      <c r="Q20" s="449"/>
      <c r="S20" s="1416"/>
      <c r="T20" s="1417"/>
    </row>
    <row r="21" spans="1:20" s="397" customFormat="1" ht="16.899999999999999" customHeight="1">
      <c r="A21" s="449"/>
      <c r="B21" s="957" t="s">
        <v>1289</v>
      </c>
      <c r="C21" s="958"/>
      <c r="D21" s="958"/>
      <c r="E21" s="833"/>
      <c r="H21" s="1292" t="s">
        <v>4037</v>
      </c>
      <c r="I21" s="1293"/>
      <c r="J21" s="1293"/>
      <c r="K21" s="1294"/>
      <c r="L21" s="1418">
        <v>697962</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9017911</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f>'Part IV-Uses of Funds'!$G$17+'Part IV-Uses of Funds'!$G$23+'Part IV-Uses of Funds'!$G$27+'Part IV-Uses of Funds'!$G$32+'Part IV-Uses of Funds'!$G$36+'Part IV-Uses of Funds'!G42+('Part IV-Uses of Funds'!$G$57-'Part IV-Uses of Funds'!$G$54)+'Part IV-Uses of Funds'!$G$69+'Part IV-Uses of Funds'!$G$75+('Part IV-Uses of Funds'!$G$98-'Part IV-Uses of Funds'!$G$93)+'Part IV-Uses of Funds'!$G$106+'Part IV-Uses of Funds'!$G$107+'Part IV-Uses of Funds'!$G$111+'Part IV-Uses of Funds'!G69+'Part IV-Uses of Funds'!G75+'Part IV-Uses of Funds'!G98+'Part IV-Uses of Funds'!G104+'Part IV-Uses of Funds'!G104+'Part IV-Uses of Funds'!G115+'Part IV-Uses of Funds'!G79+'Part IV-Uses of Funds'!G77+'Part IV-Uses of Funds'!G57</f>
        <v>9017911</v>
      </c>
      <c r="M26" s="1428"/>
      <c r="N26" s="967"/>
      <c r="O26" s="968"/>
      <c r="P26" s="968"/>
      <c r="Q26" s="968"/>
      <c r="S26" s="1414"/>
      <c r="T26" s="1415"/>
    </row>
    <row r="27" spans="1:20" s="397" customFormat="1" ht="16.899999999999999" customHeight="1">
      <c r="A27" s="449"/>
      <c r="B27" s="455" t="s">
        <v>3050</v>
      </c>
      <c r="C27" s="449"/>
      <c r="D27" s="449"/>
      <c r="E27" s="449"/>
      <c r="F27" s="449"/>
      <c r="G27" s="449"/>
      <c r="H27" s="449"/>
      <c r="I27" s="449"/>
      <c r="L27" s="974">
        <f>L25-L26</f>
        <v>0</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2988</v>
      </c>
      <c r="K30" s="836" t="s">
        <v>1862</v>
      </c>
      <c r="L30" s="836" t="s">
        <v>1867</v>
      </c>
      <c r="M30" s="903" t="s">
        <v>39</v>
      </c>
      <c r="N30" s="903"/>
      <c r="O30" s="828"/>
      <c r="P30" s="836"/>
      <c r="Q30" s="977" t="s">
        <v>3268</v>
      </c>
      <c r="S30" s="507"/>
    </row>
    <row r="31" spans="1:20" s="397" customFormat="1" ht="13.15" customHeight="1">
      <c r="A31" s="449"/>
      <c r="B31" s="840" t="s">
        <v>2744</v>
      </c>
      <c r="C31" s="838"/>
      <c r="D31" s="838"/>
      <c r="E31" s="958" t="s">
        <v>1864</v>
      </c>
      <c r="F31" s="958"/>
      <c r="G31" s="958"/>
      <c r="H31" s="896" t="s">
        <v>676</v>
      </c>
      <c r="I31" s="896"/>
      <c r="J31" s="826" t="s">
        <v>2667</v>
      </c>
      <c r="K31" s="826" t="s">
        <v>3118</v>
      </c>
      <c r="L31" s="826" t="s">
        <v>3118</v>
      </c>
      <c r="M31" s="1429"/>
      <c r="N31" s="1429"/>
      <c r="O31" s="896" t="s">
        <v>80</v>
      </c>
      <c r="P31" s="896"/>
      <c r="Q31" s="978"/>
      <c r="S31" s="976" t="s">
        <v>3866</v>
      </c>
      <c r="T31" s="976"/>
    </row>
    <row r="32" spans="1:20" s="397" customFormat="1" ht="13.15" customHeight="1">
      <c r="A32" s="449"/>
      <c r="B32" s="959" t="s">
        <v>3664</v>
      </c>
      <c r="C32" s="960"/>
      <c r="D32" s="960"/>
      <c r="E32" s="1430" t="s">
        <v>4037</v>
      </c>
      <c r="F32" s="1431"/>
      <c r="G32" s="1432"/>
      <c r="H32" s="1433">
        <v>500000</v>
      </c>
      <c r="I32" s="1434"/>
      <c r="J32" s="1435">
        <v>7.2499999999999995E-2</v>
      </c>
      <c r="K32" s="1306">
        <v>30</v>
      </c>
      <c r="L32" s="1306">
        <v>30</v>
      </c>
      <c r="M32" s="1436">
        <f t="shared" ref="M32:M37" si="0">IF(OR(H32&lt;=0,H32=""),"",IF(O32="Amortizing",-PMT(J32/12,L32*12,H32,0,0)*12,""))</f>
        <v>40930.576803371514</v>
      </c>
      <c r="N32" s="1437"/>
      <c r="O32" s="1286" t="s">
        <v>4038</v>
      </c>
      <c r="P32" s="1287"/>
      <c r="Q32" s="1438">
        <v>1.85</v>
      </c>
      <c r="S32" s="1412"/>
      <c r="T32" s="1413"/>
    </row>
    <row r="33" spans="1:20" s="397" customFormat="1" ht="13.15" customHeight="1">
      <c r="A33" s="449"/>
      <c r="B33" s="957" t="s">
        <v>3665</v>
      </c>
      <c r="C33" s="958"/>
      <c r="D33" s="958"/>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7" t="s">
        <v>3666</v>
      </c>
      <c r="C34" s="958"/>
      <c r="D34" s="958"/>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0.23120428869591014</v>
      </c>
      <c r="E37" s="1292" t="s">
        <v>4007</v>
      </c>
      <c r="F37" s="1442"/>
      <c r="G37" s="1434"/>
      <c r="H37" s="1441">
        <v>261874</v>
      </c>
      <c r="I37" s="1434"/>
      <c r="J37" s="1435"/>
      <c r="K37" s="1306"/>
      <c r="L37" s="1306"/>
      <c r="M37" s="1436" t="str">
        <f t="shared" si="0"/>
        <v/>
      </c>
      <c r="N37" s="1437"/>
      <c r="O37" s="1286"/>
      <c r="P37" s="1287"/>
      <c r="Q37" s="1438"/>
      <c r="S37" s="1414"/>
      <c r="T37" s="1415"/>
    </row>
    <row r="38" spans="1:20" s="397" customFormat="1" ht="13.15" customHeight="1">
      <c r="A38" s="449"/>
      <c r="B38" s="959" t="s">
        <v>3119</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c r="F40" s="1293"/>
      <c r="G40" s="1294"/>
      <c r="H40" s="1441">
        <v>6660546</v>
      </c>
      <c r="I40" s="1445"/>
      <c r="J40" s="983">
        <f>'Part IV-Uses of Funds'!$J$165*10*'Part IV-Uses of Funds'!$N$158</f>
        <v>6701100</v>
      </c>
      <c r="K40" s="984"/>
      <c r="L40" s="979">
        <f>H40-J40</f>
        <v>-40554</v>
      </c>
      <c r="M40" s="979"/>
      <c r="O40" s="626" t="s">
        <v>3591</v>
      </c>
      <c r="P40" s="545"/>
      <c r="Q40" s="544"/>
      <c r="S40" s="1414"/>
      <c r="T40" s="1415"/>
    </row>
    <row r="41" spans="1:20" s="397" customFormat="1" ht="13.15" customHeight="1">
      <c r="A41" s="449"/>
      <c r="B41" s="957" t="s">
        <v>1289</v>
      </c>
      <c r="C41" s="958"/>
      <c r="D41" s="963"/>
      <c r="E41" s="1292"/>
      <c r="F41" s="1293"/>
      <c r="G41" s="1294"/>
      <c r="H41" s="1441">
        <v>1994176</v>
      </c>
      <c r="I41" s="1445"/>
      <c r="J41" s="983">
        <f>'Part IV-Uses of Funds'!$J$165*10*'Part IV-Uses of Funds'!$Q$158</f>
        <v>1994375</v>
      </c>
      <c r="K41" s="984"/>
      <c r="L41" s="979">
        <f>H41-J41</f>
        <v>-199</v>
      </c>
      <c r="M41" s="979"/>
      <c r="O41" s="627">
        <f>H40/H50</f>
        <v>0.70731992749821693</v>
      </c>
      <c r="P41" s="545"/>
      <c r="Q41" s="544"/>
      <c r="S41" s="1414"/>
      <c r="T41" s="1415"/>
    </row>
    <row r="42" spans="1:20" s="397" customFormat="1" ht="13.15" customHeight="1">
      <c r="A42" s="449"/>
      <c r="B42" s="957" t="s">
        <v>1984</v>
      </c>
      <c r="C42" s="958"/>
      <c r="D42" s="963"/>
      <c r="E42" s="1292"/>
      <c r="F42" s="1293"/>
      <c r="G42" s="1294"/>
      <c r="H42" s="1441"/>
      <c r="I42" s="1445"/>
      <c r="M42" s="545"/>
      <c r="O42" s="627">
        <f>H41/H50</f>
        <v>0.21177249188560282</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0.91909241938381969</v>
      </c>
      <c r="P43" s="545"/>
      <c r="Q43" s="544"/>
      <c r="S43" s="1414"/>
      <c r="T43" s="1415"/>
    </row>
    <row r="44" spans="1:20" s="397" customFormat="1" ht="13.15" customHeight="1">
      <c r="A44" s="449"/>
      <c r="B44" s="832" t="s">
        <v>2742</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2743</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3120</v>
      </c>
      <c r="C49" s="449"/>
      <c r="D49" s="449"/>
      <c r="E49" s="449"/>
      <c r="F49" s="449"/>
      <c r="G49" s="449"/>
      <c r="H49" s="954">
        <f>SUM(H32:I48)</f>
        <v>9416596</v>
      </c>
      <c r="I49" s="955"/>
      <c r="J49" s="472"/>
      <c r="K49" s="449"/>
      <c r="L49" s="546"/>
      <c r="M49" s="545"/>
      <c r="N49" s="545"/>
      <c r="O49" s="545"/>
      <c r="P49" s="545"/>
      <c r="Q49" s="544"/>
      <c r="S49" s="1414"/>
      <c r="T49" s="1415"/>
    </row>
    <row r="50" spans="1:23" s="397" customFormat="1" ht="13.15" customHeight="1" thickBot="1">
      <c r="A50" s="449"/>
      <c r="B50" s="827" t="s">
        <v>3121</v>
      </c>
      <c r="C50" s="449"/>
      <c r="D50" s="449"/>
      <c r="E50" s="449"/>
      <c r="F50" s="449"/>
      <c r="G50" s="449"/>
      <c r="H50" s="952">
        <f>'Part IV-Uses of Funds'!$G$123</f>
        <v>9416596</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4057</v>
      </c>
      <c r="B55" s="1446"/>
      <c r="C55" s="1446"/>
      <c r="D55" s="1446"/>
      <c r="E55" s="1446"/>
      <c r="F55" s="1446"/>
      <c r="G55" s="1446"/>
      <c r="H55" s="1446"/>
      <c r="I55" s="1446"/>
      <c r="J55" s="1447"/>
      <c r="K55" s="1363"/>
      <c r="L55" s="1446"/>
      <c r="M55" s="1446"/>
      <c r="N55" s="1446"/>
      <c r="O55" s="1446"/>
      <c r="P55" s="1446"/>
      <c r="Q55" s="1447"/>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2012-006 Hidden Glen Village, Hinesville, Liberty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2497</v>
      </c>
      <c r="E7" s="40"/>
    </row>
    <row r="8" spans="1:17" ht="13.15" customHeight="1">
      <c r="A8" s="40" t="s">
        <v>3473</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3486</v>
      </c>
      <c r="B16" s="286" t="s">
        <v>3483</v>
      </c>
      <c r="C16" s="286" t="s">
        <v>3484</v>
      </c>
      <c r="D16" s="999" t="s">
        <v>3168</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2012-006 Hidden Glen Village, Hinesville, Liberty County</v>
      </c>
      <c r="B58" s="1000"/>
      <c r="C58" s="1000"/>
      <c r="D58" s="1000"/>
      <c r="E58" s="1000"/>
      <c r="F58" s="1000"/>
      <c r="G58" s="1000" t="str">
        <f>CONCATENATE('Part I-Project Information'!$O$4," ",'Part I-Project Information'!$F$22,", ",'Part I-Project Information'!$F$24,", ",'Part I-Project Information'!$J$25," County")</f>
        <v>2012-006 Hidden Glen Village, Hinesville, Liberty County</v>
      </c>
      <c r="H58" s="1000"/>
      <c r="I58" s="1000"/>
      <c r="J58" s="1000"/>
      <c r="K58" s="1000"/>
      <c r="L58" s="1000"/>
    </row>
    <row r="59" spans="1:12" ht="15">
      <c r="A59" s="1001" t="s">
        <v>3477</v>
      </c>
      <c r="B59" s="1001"/>
      <c r="C59" s="1001"/>
      <c r="D59" s="1001"/>
      <c r="E59" s="1001"/>
      <c r="F59" s="1001"/>
      <c r="G59" s="1001" t="s">
        <v>3477</v>
      </c>
      <c r="H59" s="1001"/>
      <c r="I59" s="1001"/>
      <c r="J59" s="1001"/>
      <c r="K59" s="1001"/>
      <c r="L59" s="1001"/>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2012-006 Hidden Glen Village, Hinesville, Liberty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3169</v>
      </c>
      <c r="D5" s="304"/>
      <c r="E5" s="1005" t="s">
        <v>1451</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3168</v>
      </c>
      <c r="D26" s="316"/>
      <c r="E26" s="108"/>
      <c r="F26" s="1007" t="s">
        <v>3168</v>
      </c>
      <c r="J26" s="321"/>
    </row>
    <row r="27" spans="1:10">
      <c r="A27" s="322" t="s">
        <v>3486</v>
      </c>
      <c r="B27" s="87" t="s">
        <v>1532</v>
      </c>
      <c r="C27" s="1008"/>
      <c r="D27" s="323" t="s">
        <v>3486</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2012-006 Hidden Glen Village, Hinesville, Liberty County</v>
      </c>
      <c r="B50" s="1000"/>
      <c r="C50" s="1000"/>
      <c r="D50" s="1000"/>
      <c r="E50" s="1000"/>
      <c r="F50" s="1000"/>
      <c r="G50" s="297"/>
      <c r="H50" s="297"/>
    </row>
    <row r="51" spans="1:10" ht="15">
      <c r="A51" s="1001" t="s">
        <v>3477</v>
      </c>
      <c r="B51" s="1001"/>
      <c r="C51" s="1001"/>
      <c r="D51" s="1001"/>
      <c r="E51" s="1001"/>
      <c r="F51" s="1001"/>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710937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2012-006 Hidden Glen Village, Hinesville, Liberty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2012-006 Hidden Glen Village, Hinesville, Liberty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3866</v>
      </c>
      <c r="W6" s="1009"/>
    </row>
    <row r="7" spans="1:23" s="449" customFormat="1" ht="13.15" customHeight="1">
      <c r="B7" s="452" t="s">
        <v>111</v>
      </c>
      <c r="O7" s="844" t="str">
        <f>B7</f>
        <v>PRE-DEVELOPMENT COSTS</v>
      </c>
      <c r="V7" s="449" t="str">
        <f>B7</f>
        <v>PRE-DEVELOPMENT COSTS</v>
      </c>
    </row>
    <row r="8" spans="1:23" s="449" customFormat="1" ht="12.6" customHeight="1">
      <c r="B8" s="449" t="s">
        <v>2881</v>
      </c>
      <c r="G8" s="1418">
        <v>7500</v>
      </c>
      <c r="H8" s="1419"/>
      <c r="J8" s="1418">
        <v>7500</v>
      </c>
      <c r="K8" s="1419"/>
      <c r="L8" s="843"/>
      <c r="M8" s="1418"/>
      <c r="N8" s="1419"/>
      <c r="P8" s="1418"/>
      <c r="Q8" s="1419"/>
      <c r="S8" s="1418"/>
      <c r="T8" s="1419"/>
      <c r="V8" s="1448"/>
      <c r="W8" s="1449"/>
    </row>
    <row r="9" spans="1:23" s="449" customFormat="1" ht="12.6" customHeight="1">
      <c r="B9" s="449" t="s">
        <v>631</v>
      </c>
      <c r="G9" s="1418">
        <v>6000</v>
      </c>
      <c r="H9" s="1419"/>
      <c r="J9" s="1418">
        <v>6000</v>
      </c>
      <c r="K9" s="1419"/>
      <c r="L9" s="843"/>
      <c r="M9" s="1418"/>
      <c r="N9" s="1419"/>
      <c r="P9" s="1418"/>
      <c r="Q9" s="1419"/>
      <c r="S9" s="1418"/>
      <c r="T9" s="1419"/>
      <c r="V9" s="1450"/>
      <c r="W9" s="1451"/>
    </row>
    <row r="10" spans="1:23" s="449" customFormat="1" ht="12.6" customHeight="1">
      <c r="B10" s="449" t="s">
        <v>674</v>
      </c>
      <c r="G10" s="1418">
        <v>3000</v>
      </c>
      <c r="H10" s="1419"/>
      <c r="J10" s="1418">
        <v>3000</v>
      </c>
      <c r="K10" s="1419"/>
      <c r="L10" s="843"/>
      <c r="M10" s="1418"/>
      <c r="N10" s="1419"/>
      <c r="P10" s="1418"/>
      <c r="Q10" s="1419"/>
      <c r="S10" s="1418"/>
      <c r="T10" s="1419"/>
      <c r="V10" s="1450"/>
      <c r="W10" s="1451"/>
    </row>
    <row r="11" spans="1:23" s="449" customFormat="1" ht="12.6" customHeight="1">
      <c r="B11" s="449" t="s">
        <v>675</v>
      </c>
      <c r="G11" s="1418">
        <v>3500</v>
      </c>
      <c r="H11" s="1419"/>
      <c r="J11" s="1418">
        <v>3500</v>
      </c>
      <c r="K11" s="1419"/>
      <c r="L11" s="843"/>
      <c r="M11" s="1418"/>
      <c r="N11" s="1419"/>
      <c r="P11" s="1418"/>
      <c r="Q11" s="1419"/>
      <c r="S11" s="1418"/>
      <c r="T11" s="1419"/>
      <c r="V11" s="1450"/>
      <c r="W11" s="1451"/>
    </row>
    <row r="12" spans="1:23" s="449" customFormat="1" ht="12.6" customHeight="1">
      <c r="B12" s="449" t="s">
        <v>3508</v>
      </c>
      <c r="G12" s="1418">
        <v>6000</v>
      </c>
      <c r="H12" s="1419"/>
      <c r="J12" s="1418">
        <v>6000</v>
      </c>
      <c r="K12" s="1419"/>
      <c r="L12" s="843"/>
      <c r="M12" s="1418"/>
      <c r="N12" s="1419"/>
      <c r="P12" s="1418"/>
      <c r="Q12" s="1419"/>
      <c r="S12" s="1418"/>
      <c r="T12" s="1419"/>
      <c r="V12" s="1450"/>
      <c r="W12" s="1451"/>
    </row>
    <row r="13" spans="1:23" s="449" customFormat="1" ht="12.6" customHeight="1">
      <c r="B13" s="449" t="s">
        <v>229</v>
      </c>
      <c r="G13" s="1418">
        <v>1500</v>
      </c>
      <c r="H13" s="1419"/>
      <c r="J13" s="1418">
        <v>1500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3399</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3399</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3399</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27500</v>
      </c>
      <c r="H17" s="1019"/>
      <c r="J17" s="1018">
        <f>SUM(J8:K16)</f>
        <v>27500</v>
      </c>
      <c r="K17" s="1066"/>
      <c r="L17" s="843"/>
      <c r="M17" s="1018">
        <f>SUM(M8:N16)</f>
        <v>0</v>
      </c>
      <c r="N17" s="1019"/>
      <c r="P17" s="1018">
        <f>SUM(P8:Q16)</f>
        <v>0</v>
      </c>
      <c r="Q17" s="1019"/>
      <c r="S17" s="1018">
        <f>SUM(S8:T16)</f>
        <v>0</v>
      </c>
      <c r="T17" s="1019"/>
      <c r="V17" s="1454"/>
      <c r="W17" s="1455"/>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18">
        <v>275000</v>
      </c>
      <c r="H19" s="1419"/>
      <c r="J19" s="515"/>
      <c r="K19" s="512"/>
      <c r="L19" s="515"/>
      <c r="M19" s="515"/>
      <c r="N19" s="512"/>
      <c r="P19" s="515"/>
      <c r="Q19" s="512"/>
      <c r="S19" s="1418">
        <v>275000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275000</v>
      </c>
      <c r="H23" s="1019"/>
      <c r="J23" s="515"/>
      <c r="K23" s="512"/>
      <c r="L23" s="515"/>
      <c r="M23" s="1018">
        <f>SUM(M21:N22)</f>
        <v>0</v>
      </c>
      <c r="N23" s="1019"/>
      <c r="P23" s="515"/>
      <c r="Q23" s="512"/>
      <c r="S23" s="1018">
        <f>SUM(S19:T22)</f>
        <v>275000</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720000</v>
      </c>
      <c r="H25" s="1419"/>
      <c r="J25" s="1452">
        <v>720000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720000</v>
      </c>
      <c r="H27" s="1019"/>
      <c r="J27" s="1018">
        <f>SUM(J25:K26)</f>
        <v>720000</v>
      </c>
      <c r="K27" s="1019"/>
      <c r="L27" s="515"/>
      <c r="M27" s="1018">
        <f>M25</f>
        <v>0</v>
      </c>
      <c r="N27" s="1019"/>
      <c r="P27" s="1018">
        <f>P25</f>
        <v>0</v>
      </c>
      <c r="Q27" s="1019"/>
      <c r="S27" s="1018">
        <f>SUM(S25:T26)</f>
        <v>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4680000</v>
      </c>
      <c r="H29" s="1419"/>
      <c r="J29" s="1418">
        <v>4680000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176250</v>
      </c>
      <c r="H31" s="1419"/>
      <c r="I31" s="449"/>
      <c r="J31" s="1418">
        <v>176250</v>
      </c>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4856250</v>
      </c>
      <c r="H32" s="1019"/>
      <c r="J32" s="1018">
        <f>SUM(J29:K31)</f>
        <v>4856250</v>
      </c>
      <c r="K32" s="1019"/>
      <c r="L32" s="843"/>
      <c r="M32" s="1018">
        <f>SUM(M29:N31)</f>
        <v>0</v>
      </c>
      <c r="N32" s="1019"/>
      <c r="P32" s="1018">
        <f>SUM(P29:Q31)</f>
        <v>0</v>
      </c>
      <c r="Q32" s="1019"/>
      <c r="S32" s="1018">
        <f>SUM(S29:T31)</f>
        <v>0</v>
      </c>
      <c r="T32" s="1019"/>
      <c r="V32" s="1454"/>
      <c r="W32" s="1455"/>
    </row>
    <row r="33" spans="1:23" s="449" customFormat="1" ht="13.15" customHeight="1">
      <c r="B33" s="452" t="s">
        <v>3269</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334575</v>
      </c>
      <c r="G34" s="1418">
        <v>334575</v>
      </c>
      <c r="H34" s="1419"/>
      <c r="I34" s="472"/>
      <c r="J34" s="1418">
        <v>334575</v>
      </c>
      <c r="K34" s="1419"/>
      <c r="L34" s="843"/>
      <c r="M34" s="1418"/>
      <c r="N34" s="1419"/>
      <c r="P34" s="1418"/>
      <c r="Q34" s="1419"/>
      <c r="S34" s="1418"/>
      <c r="T34" s="1419"/>
      <c r="V34" s="1448"/>
      <c r="W34" s="1449"/>
    </row>
    <row r="35" spans="1:23" s="449" customFormat="1" ht="12.6" customHeight="1" thickBot="1">
      <c r="B35" s="449" t="s">
        <v>2924</v>
      </c>
      <c r="E35" s="604">
        <f>'DCA Underwriting Assumptions'!$R$39+'DCA Underwriting Assumptions'!$R$40</f>
        <v>0.08</v>
      </c>
      <c r="F35" s="605">
        <f>E35*($G$27+$G$32)</f>
        <v>446100</v>
      </c>
      <c r="G35" s="1418">
        <v>446100</v>
      </c>
      <c r="H35" s="1419"/>
      <c r="I35" s="472"/>
      <c r="J35" s="1418">
        <v>446100</v>
      </c>
      <c r="K35" s="1419"/>
      <c r="L35" s="843"/>
      <c r="M35" s="1418"/>
      <c r="N35" s="1419"/>
      <c r="P35" s="1418"/>
      <c r="Q35" s="1419"/>
      <c r="S35" s="1418"/>
      <c r="T35" s="1419"/>
      <c r="V35" s="1450"/>
      <c r="W35" s="1451"/>
    </row>
    <row r="36" spans="1:23" s="449" customFormat="1" ht="12.6" customHeight="1" thickTop="1">
      <c r="B36" s="449" t="s">
        <v>2925</v>
      </c>
      <c r="D36" s="520"/>
      <c r="E36" s="833"/>
      <c r="F36" s="606" t="s">
        <v>230</v>
      </c>
      <c r="G36" s="1018">
        <f>SUM(G34:H35)</f>
        <v>780675</v>
      </c>
      <c r="H36" s="1019"/>
      <c r="J36" s="1018">
        <f>SUM(J34:K35)</f>
        <v>780675</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105948.75</v>
      </c>
      <c r="E38" s="523"/>
      <c r="F38" s="524" t="s">
        <v>1974</v>
      </c>
      <c r="V38" s="1448"/>
      <c r="W38" s="1449"/>
    </row>
    <row r="39" spans="1:23" s="449" customFormat="1" ht="12.6" customHeight="1">
      <c r="B39" s="1062">
        <f>G27+G32+G36</f>
        <v>6356925</v>
      </c>
      <c r="C39" s="1063"/>
      <c r="D39" s="525">
        <f>B39/'Part VI-Revenues &amp; Expenses'!$M$100</f>
        <v>90.169148936170217</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4.9999960672809575E-2</v>
      </c>
      <c r="G42" s="1418">
        <v>317846</v>
      </c>
      <c r="H42" s="1419"/>
      <c r="I42" s="449"/>
      <c r="J42" s="1418">
        <v>317846</v>
      </c>
      <c r="K42" s="1419"/>
      <c r="L42" s="843"/>
      <c r="M42" s="1418"/>
      <c r="N42" s="1419"/>
      <c r="O42" s="449"/>
      <c r="P42" s="1418"/>
      <c r="Q42" s="1419"/>
      <c r="R42" s="449"/>
      <c r="S42" s="1418"/>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3866</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18">
        <v>55000</v>
      </c>
      <c r="H48" s="1419"/>
      <c r="J48" s="1418">
        <v>55000</v>
      </c>
      <c r="K48" s="1419"/>
      <c r="L48" s="843"/>
      <c r="M48" s="1418"/>
      <c r="N48" s="1419"/>
      <c r="P48" s="1418"/>
      <c r="Q48" s="1419"/>
      <c r="S48" s="1418"/>
      <c r="T48" s="1419"/>
      <c r="V48" s="1448"/>
      <c r="W48" s="1449"/>
    </row>
    <row r="49" spans="1:23" s="449" customFormat="1" ht="12" customHeight="1">
      <c r="B49" s="449" t="s">
        <v>3273</v>
      </c>
      <c r="G49" s="1418">
        <v>185000</v>
      </c>
      <c r="H49" s="1419"/>
      <c r="J49" s="1418">
        <v>185000</v>
      </c>
      <c r="K49" s="1419"/>
      <c r="L49" s="843"/>
      <c r="M49" s="1418"/>
      <c r="N49" s="1419"/>
      <c r="P49" s="1418"/>
      <c r="Q49" s="1419"/>
      <c r="S49" s="1418"/>
      <c r="T49" s="1419"/>
      <c r="V49" s="1450"/>
      <c r="W49" s="1451"/>
    </row>
    <row r="50" spans="1:23" s="449" customFormat="1" ht="12" customHeight="1">
      <c r="B50" s="449" t="s">
        <v>3274</v>
      </c>
      <c r="G50" s="1418">
        <v>15000</v>
      </c>
      <c r="H50" s="1419"/>
      <c r="J50" s="1418">
        <v>15000</v>
      </c>
      <c r="K50" s="1419"/>
      <c r="L50" s="843"/>
      <c r="M50" s="1418"/>
      <c r="N50" s="1419"/>
      <c r="P50" s="1418"/>
      <c r="Q50" s="1419"/>
      <c r="S50" s="1418"/>
      <c r="T50" s="1419"/>
      <c r="V50" s="1450"/>
      <c r="W50" s="1451"/>
    </row>
    <row r="51" spans="1:23" s="449" customFormat="1" ht="12" customHeight="1">
      <c r="B51" s="449" t="s">
        <v>3935</v>
      </c>
      <c r="G51" s="1418">
        <v>15000</v>
      </c>
      <c r="H51" s="1419"/>
      <c r="J51" s="1418">
        <v>15000</v>
      </c>
      <c r="K51" s="1419"/>
      <c r="L51" s="843"/>
      <c r="M51" s="1418"/>
      <c r="N51" s="1419"/>
      <c r="P51" s="1418"/>
      <c r="Q51" s="1419"/>
      <c r="S51" s="1418"/>
      <c r="T51" s="1419"/>
      <c r="V51" s="1450"/>
      <c r="W51" s="1451"/>
    </row>
    <row r="52" spans="1:23" s="449" customFormat="1" ht="12" customHeight="1">
      <c r="B52" s="449" t="s">
        <v>1004</v>
      </c>
      <c r="G52" s="1418">
        <v>10000</v>
      </c>
      <c r="H52" s="1419"/>
      <c r="J52" s="1418">
        <v>10000</v>
      </c>
      <c r="K52" s="1419"/>
      <c r="L52" s="843"/>
      <c r="M52" s="1418"/>
      <c r="N52" s="1419"/>
      <c r="P52" s="1418"/>
      <c r="Q52" s="1419"/>
      <c r="S52" s="1418"/>
      <c r="T52" s="1419"/>
      <c r="V52" s="1450"/>
      <c r="W52" s="1451"/>
    </row>
    <row r="53" spans="1:23" s="449" customFormat="1" ht="12" customHeight="1">
      <c r="B53" s="449" t="s">
        <v>3275</v>
      </c>
      <c r="G53" s="1418">
        <v>12500</v>
      </c>
      <c r="H53" s="1419"/>
      <c r="J53" s="1418">
        <v>12500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100000</v>
      </c>
      <c r="H55" s="1419"/>
      <c r="I55" s="472"/>
      <c r="J55" s="1418">
        <v>100000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3399</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392500</v>
      </c>
      <c r="H57" s="1019"/>
      <c r="J57" s="1018">
        <f>SUM(J48:K56)</f>
        <v>392500</v>
      </c>
      <c r="K57" s="1019"/>
      <c r="L57" s="515"/>
      <c r="M57" s="1018">
        <f>SUM(M48:N56)</f>
        <v>0</v>
      </c>
      <c r="N57" s="1019"/>
      <c r="P57" s="1018">
        <f>SUM(P48:Q56)</f>
        <v>0</v>
      </c>
      <c r="Q57" s="1019"/>
      <c r="S57" s="1018">
        <f>SUM(S48:T56)</f>
        <v>0</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250000</v>
      </c>
      <c r="H59" s="1419"/>
      <c r="J59" s="1418">
        <v>250000</v>
      </c>
      <c r="K59" s="1419"/>
      <c r="L59" s="843"/>
      <c r="M59" s="1418"/>
      <c r="N59" s="1419"/>
      <c r="P59" s="1418"/>
      <c r="Q59" s="1419"/>
      <c r="S59" s="1418"/>
      <c r="T59" s="1419"/>
      <c r="V59" s="1448"/>
      <c r="W59" s="1449"/>
    </row>
    <row r="60" spans="1:23" s="449" customFormat="1" ht="12" customHeight="1">
      <c r="B60" s="449" t="s">
        <v>663</v>
      </c>
      <c r="G60" s="1418">
        <v>12000</v>
      </c>
      <c r="H60" s="1419"/>
      <c r="J60" s="1418">
        <v>12000</v>
      </c>
      <c r="K60" s="1419"/>
      <c r="L60" s="843"/>
      <c r="M60" s="1418"/>
      <c r="N60" s="1419"/>
      <c r="P60" s="1418"/>
      <c r="Q60" s="1419"/>
      <c r="S60" s="1418"/>
      <c r="T60" s="1419"/>
      <c r="V60" s="1450"/>
      <c r="W60" s="1451"/>
    </row>
    <row r="61" spans="1:23" s="449" customFormat="1" ht="12" customHeight="1">
      <c r="B61" s="449" t="s">
        <v>1643</v>
      </c>
      <c r="G61" s="1418">
        <v>5000</v>
      </c>
      <c r="H61" s="1419"/>
      <c r="J61" s="1418">
        <v>5000</v>
      </c>
      <c r="K61" s="1419"/>
      <c r="L61" s="843"/>
      <c r="M61" s="1418"/>
      <c r="N61" s="1419"/>
      <c r="P61" s="1418"/>
      <c r="Q61" s="1419"/>
      <c r="S61" s="1418"/>
      <c r="T61" s="1419"/>
      <c r="V61" s="1450"/>
      <c r="W61" s="1451"/>
    </row>
    <row r="62" spans="1:23" s="449" customFormat="1" ht="12" customHeight="1">
      <c r="B62" s="449" t="s">
        <v>1644</v>
      </c>
      <c r="G62" s="1418"/>
      <c r="H62" s="1419"/>
      <c r="J62" s="1418"/>
      <c r="K62" s="1419"/>
      <c r="L62" s="843"/>
      <c r="M62" s="1418"/>
      <c r="N62" s="1419"/>
      <c r="P62" s="1418"/>
      <c r="Q62" s="1419"/>
      <c r="S62" s="1418"/>
      <c r="T62" s="1419"/>
      <c r="V62" s="1450"/>
      <c r="W62" s="1451"/>
    </row>
    <row r="63" spans="1:23" s="449" customFormat="1" ht="12" customHeight="1">
      <c r="B63" s="449" t="s">
        <v>1645</v>
      </c>
      <c r="G63" s="1418"/>
      <c r="H63" s="1419"/>
      <c r="J63" s="1418"/>
      <c r="K63" s="1419"/>
      <c r="L63" s="843"/>
      <c r="M63" s="1418"/>
      <c r="N63" s="1419"/>
      <c r="P63" s="1418"/>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65000</v>
      </c>
      <c r="H65" s="1419"/>
      <c r="J65" s="1418">
        <v>65000</v>
      </c>
      <c r="K65" s="1419"/>
      <c r="L65" s="843"/>
      <c r="M65" s="1418"/>
      <c r="N65" s="1419"/>
      <c r="P65" s="1418"/>
      <c r="Q65" s="1419"/>
      <c r="S65" s="1418"/>
      <c r="T65" s="1419"/>
      <c r="V65" s="1450"/>
      <c r="W65" s="1451"/>
    </row>
    <row r="66" spans="1:23" s="449" customFormat="1" ht="12" customHeight="1">
      <c r="B66" s="449" t="s">
        <v>665</v>
      </c>
      <c r="G66" s="1418">
        <v>30000</v>
      </c>
      <c r="H66" s="1419"/>
      <c r="J66" s="1418">
        <v>30000</v>
      </c>
      <c r="K66" s="1419"/>
      <c r="L66" s="843"/>
      <c r="M66" s="1418"/>
      <c r="N66" s="1419"/>
      <c r="P66" s="1418"/>
      <c r="Q66" s="1419"/>
      <c r="S66" s="1418"/>
      <c r="T66" s="1419"/>
      <c r="V66" s="1450"/>
      <c r="W66" s="1451"/>
    </row>
    <row r="67" spans="1:23" s="449" customFormat="1" ht="12" customHeight="1">
      <c r="B67" s="449" t="s">
        <v>2935</v>
      </c>
      <c r="G67" s="1418">
        <v>15000</v>
      </c>
      <c r="H67" s="1419"/>
      <c r="J67" s="1418">
        <v>15000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4050</v>
      </c>
      <c r="D68" s="1298"/>
      <c r="E68" s="1298"/>
      <c r="F68" s="1299"/>
      <c r="G68" s="1418">
        <v>20000</v>
      </c>
      <c r="H68" s="1419"/>
      <c r="J68" s="1418">
        <v>20000</v>
      </c>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397000</v>
      </c>
      <c r="H69" s="1019"/>
      <c r="J69" s="1018">
        <f>SUM(J59:K68)</f>
        <v>397000</v>
      </c>
      <c r="K69" s="1019"/>
      <c r="L69" s="515"/>
      <c r="M69" s="1018">
        <f>SUM(M59:N68)</f>
        <v>0</v>
      </c>
      <c r="N69" s="1019"/>
      <c r="P69" s="1018">
        <f>SUM(P59:Q68)</f>
        <v>0</v>
      </c>
      <c r="Q69" s="1019"/>
      <c r="S69" s="1018">
        <f>SUM(S59:T68)</f>
        <v>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20000</v>
      </c>
      <c r="H71" s="1419"/>
      <c r="J71" s="1418">
        <v>20000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3980</v>
      </c>
      <c r="G73" s="1418">
        <v>20000</v>
      </c>
      <c r="H73" s="1419"/>
      <c r="I73" s="472"/>
      <c r="J73" s="1418">
        <v>20000</v>
      </c>
      <c r="K73" s="1419"/>
      <c r="L73" s="843"/>
      <c r="M73" s="1418"/>
      <c r="N73" s="1419"/>
      <c r="P73" s="1418"/>
      <c r="Q73" s="1419"/>
      <c r="S73" s="1418"/>
      <c r="T73" s="1419"/>
      <c r="V73" s="1462"/>
      <c r="W73" s="1463"/>
    </row>
    <row r="74" spans="1:23" s="449" customFormat="1" ht="12" customHeight="1" thickBot="1">
      <c r="B74" s="449" t="s">
        <v>1828</v>
      </c>
      <c r="D74" s="529" t="s">
        <v>1975</v>
      </c>
      <c r="E74" s="1464" t="s">
        <v>3980</v>
      </c>
      <c r="G74" s="1418">
        <v>20000</v>
      </c>
      <c r="H74" s="1419"/>
      <c r="I74" s="472"/>
      <c r="J74" s="1418">
        <v>20000</v>
      </c>
      <c r="K74" s="1419"/>
      <c r="L74" s="843"/>
      <c r="M74" s="1418"/>
      <c r="N74" s="1419"/>
      <c r="P74" s="1418"/>
      <c r="Q74" s="1419"/>
      <c r="S74" s="1418"/>
      <c r="T74" s="1419"/>
      <c r="V74" s="1462"/>
      <c r="W74" s="1463"/>
    </row>
    <row r="75" spans="1:23" s="449" customFormat="1" ht="12" customHeight="1" thickTop="1">
      <c r="F75" s="513" t="s">
        <v>230</v>
      </c>
      <c r="G75" s="1018">
        <f>SUM(G71:H74)</f>
        <v>60000</v>
      </c>
      <c r="H75" s="1019"/>
      <c r="J75" s="1018">
        <f>SUM(J71:K74)</f>
        <v>60000</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10000</v>
      </c>
      <c r="H77" s="1419"/>
      <c r="J77" s="1026"/>
      <c r="K77" s="1026"/>
      <c r="L77" s="843"/>
      <c r="M77" s="1026"/>
      <c r="N77" s="1026"/>
      <c r="P77" s="1026"/>
      <c r="Q77" s="1026"/>
      <c r="S77" s="1418">
        <v>10000</v>
      </c>
      <c r="T77" s="1419"/>
      <c r="V77" s="1460"/>
      <c r="W77" s="1461"/>
    </row>
    <row r="78" spans="1:23" s="449" customFormat="1" ht="12" customHeight="1">
      <c r="B78" s="449" t="s">
        <v>1830</v>
      </c>
      <c r="G78" s="1418">
        <v>10000</v>
      </c>
      <c r="H78" s="1419"/>
      <c r="J78" s="1010"/>
      <c r="K78" s="1010"/>
      <c r="L78" s="843"/>
      <c r="M78" s="1010"/>
      <c r="N78" s="1010"/>
      <c r="P78" s="1010"/>
      <c r="Q78" s="1010"/>
      <c r="S78" s="1418">
        <v>10000</v>
      </c>
      <c r="T78" s="1419"/>
      <c r="V78" s="1462"/>
      <c r="W78" s="1463"/>
    </row>
    <row r="79" spans="1:23" s="449" customFormat="1" ht="12" customHeight="1">
      <c r="B79" s="449" t="s">
        <v>1831</v>
      </c>
      <c r="G79" s="1418">
        <v>25000</v>
      </c>
      <c r="H79" s="1419"/>
      <c r="J79" s="1418">
        <v>25000</v>
      </c>
      <c r="K79" s="1419"/>
      <c r="L79" s="843"/>
      <c r="M79" s="1418"/>
      <c r="N79" s="1419"/>
      <c r="P79" s="1418"/>
      <c r="Q79" s="1419"/>
      <c r="S79" s="1418"/>
      <c r="T79" s="1419"/>
      <c r="V79" s="1462"/>
      <c r="W79" s="1463"/>
    </row>
    <row r="80" spans="1:23" s="449" customFormat="1" ht="12" customHeight="1">
      <c r="B80" s="449" t="s">
        <v>1832</v>
      </c>
      <c r="G80" s="1418">
        <v>7500</v>
      </c>
      <c r="H80" s="1419"/>
      <c r="J80" s="1418">
        <v>7500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3217</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52500</v>
      </c>
      <c r="H84" s="1019"/>
      <c r="J84" s="1018">
        <f>SUM(J79:K83)</f>
        <v>32500</v>
      </c>
      <c r="K84" s="1019"/>
      <c r="L84" s="515"/>
      <c r="M84" s="1018">
        <f>SUM(M79:N83)</f>
        <v>0</v>
      </c>
      <c r="N84" s="1019"/>
      <c r="P84" s="1018">
        <f>SUM(P79:Q83)</f>
        <v>0</v>
      </c>
      <c r="Q84" s="1019"/>
      <c r="S84" s="1018">
        <f>SUM(S77:T83)</f>
        <v>20000</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3866</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v>1000</v>
      </c>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3954</v>
      </c>
      <c r="G91" s="1418"/>
      <c r="H91" s="1419"/>
      <c r="J91" s="515"/>
      <c r="K91" s="515"/>
      <c r="L91" s="530"/>
      <c r="M91" s="515"/>
      <c r="N91" s="515"/>
      <c r="O91" s="833"/>
      <c r="P91" s="515"/>
      <c r="Q91" s="515"/>
      <c r="S91" s="1418"/>
      <c r="T91" s="1419"/>
      <c r="V91" s="1462"/>
      <c r="W91" s="1463"/>
    </row>
    <row r="92" spans="1:23" s="449" customFormat="1" ht="12.6" customHeight="1">
      <c r="B92" s="449" t="s">
        <v>754</v>
      </c>
      <c r="E92" s="1064">
        <f>'DCA Underwriting Assumptions'!$Q$41*$J$165</f>
        <v>63820</v>
      </c>
      <c r="F92" s="1065"/>
      <c r="G92" s="1418">
        <v>63820</v>
      </c>
      <c r="H92" s="1419"/>
      <c r="J92" s="515"/>
      <c r="K92" s="515"/>
      <c r="L92" s="843"/>
      <c r="M92" s="515"/>
      <c r="N92" s="515"/>
      <c r="O92" s="833"/>
      <c r="P92" s="515"/>
      <c r="Q92" s="515"/>
      <c r="S92" s="1418">
        <v>63820</v>
      </c>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65"/>
      <c r="G93" s="1418">
        <v>48000</v>
      </c>
      <c r="H93" s="1419"/>
      <c r="J93" s="416"/>
      <c r="K93" s="416"/>
      <c r="L93" s="416"/>
      <c r="M93" s="416"/>
      <c r="N93" s="416"/>
      <c r="O93" s="416"/>
      <c r="P93" s="416"/>
      <c r="Q93" s="416"/>
      <c r="S93" s="1418">
        <v>48000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3316</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3399</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3399</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122320</v>
      </c>
      <c r="H98" s="1019"/>
      <c r="J98" s="515"/>
      <c r="K98" s="515"/>
      <c r="L98" s="843"/>
      <c r="M98" s="515"/>
      <c r="N98" s="515"/>
      <c r="P98" s="515"/>
      <c r="Q98" s="515"/>
      <c r="S98" s="1018">
        <f>SUM(S89:T97)</f>
        <v>122320</v>
      </c>
      <c r="T98" s="1019"/>
      <c r="V98" s="1465"/>
      <c r="W98" s="1466"/>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418"/>
      <c r="H100" s="1419"/>
      <c r="J100" s="1026"/>
      <c r="K100" s="1026"/>
      <c r="L100" s="843"/>
      <c r="M100" s="1026"/>
      <c r="N100" s="1026"/>
      <c r="O100" s="833"/>
      <c r="P100" s="1026"/>
      <c r="Q100" s="1026"/>
      <c r="S100" s="1418"/>
      <c r="T100" s="1419"/>
      <c r="V100" s="1460"/>
      <c r="W100" s="1461"/>
    </row>
    <row r="101" spans="1:23" s="449" customFormat="1" ht="12.6" customHeight="1">
      <c r="B101" s="449" t="s">
        <v>346</v>
      </c>
      <c r="G101" s="1418"/>
      <c r="H101" s="1419"/>
      <c r="J101" s="1026"/>
      <c r="K101" s="1026"/>
      <c r="L101" s="843"/>
      <c r="M101" s="1026"/>
      <c r="N101" s="1026"/>
      <c r="O101" s="833"/>
      <c r="P101" s="1026"/>
      <c r="Q101" s="1026"/>
      <c r="S101" s="1418"/>
      <c r="T101" s="1419"/>
      <c r="V101" s="1462"/>
      <c r="W101" s="1463"/>
    </row>
    <row r="102" spans="1:23" s="449" customFormat="1" ht="12.6" customHeight="1">
      <c r="B102" s="449" t="s">
        <v>3360</v>
      </c>
      <c r="G102" s="1418">
        <v>35000</v>
      </c>
      <c r="H102" s="1419"/>
      <c r="J102" s="1026"/>
      <c r="K102" s="1026"/>
      <c r="L102" s="843"/>
      <c r="M102" s="1026"/>
      <c r="N102" s="1026"/>
      <c r="O102" s="833"/>
      <c r="P102" s="1026"/>
      <c r="Q102" s="1026"/>
      <c r="S102" s="1418">
        <v>35000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3399</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35000</v>
      </c>
      <c r="H104" s="1019"/>
      <c r="J104" s="1026"/>
      <c r="K104" s="1026"/>
      <c r="L104" s="843"/>
      <c r="M104" s="1026"/>
      <c r="N104" s="1026"/>
      <c r="O104" s="833"/>
      <c r="P104" s="1026"/>
      <c r="Q104" s="1026"/>
      <c r="S104" s="1018">
        <f>SUM(S100:T103)</f>
        <v>35000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v>
      </c>
      <c r="G106" s="1418">
        <v>0</v>
      </c>
      <c r="H106" s="1419"/>
      <c r="J106" s="1418"/>
      <c r="K106" s="1419"/>
      <c r="L106" s="514"/>
      <c r="M106" s="1418"/>
      <c r="N106" s="1419"/>
      <c r="P106" s="1418"/>
      <c r="Q106" s="1419"/>
      <c r="S106" s="1418"/>
      <c r="T106" s="1419"/>
      <c r="V106" s="1460"/>
      <c r="W106" s="1461"/>
    </row>
    <row r="107" spans="1:23" s="449" customFormat="1" ht="12.6" customHeight="1">
      <c r="B107" s="449" t="s">
        <v>2733</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2725</v>
      </c>
      <c r="F108" s="624">
        <f>G108/$G$109</f>
        <v>1</v>
      </c>
      <c r="G108" s="1418">
        <v>1132652</v>
      </c>
      <c r="H108" s="1419"/>
      <c r="J108" s="1418">
        <v>1132652</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1132652</v>
      </c>
      <c r="H109" s="1019"/>
      <c r="J109" s="1018">
        <f>SUM(J106:K108)</f>
        <v>1132652</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10000</v>
      </c>
      <c r="H111" s="1419"/>
      <c r="J111" s="531"/>
      <c r="K111" s="531"/>
      <c r="L111" s="531"/>
      <c r="M111" s="531"/>
      <c r="N111" s="531"/>
      <c r="P111" s="531"/>
      <c r="Q111" s="531"/>
      <c r="S111" s="1418">
        <v>10000</v>
      </c>
      <c r="T111" s="1419"/>
      <c r="V111" s="1460"/>
      <c r="W111" s="1461"/>
    </row>
    <row r="112" spans="1:23" s="449" customFormat="1" ht="12.6" customHeight="1">
      <c r="B112" s="449" t="s">
        <v>2137</v>
      </c>
      <c r="G112" s="1418">
        <v>56565</v>
      </c>
      <c r="H112" s="1419"/>
      <c r="J112" s="1026"/>
      <c r="K112" s="1026"/>
      <c r="L112" s="843"/>
      <c r="M112" s="1026"/>
      <c r="N112" s="1026"/>
      <c r="O112" s="833"/>
      <c r="P112" s="1026"/>
      <c r="Q112" s="1026"/>
      <c r="R112" s="833"/>
      <c r="S112" s="1418">
        <v>56565</v>
      </c>
      <c r="T112" s="1419"/>
      <c r="V112" s="1462"/>
      <c r="W112" s="1463"/>
    </row>
    <row r="113" spans="1:23" s="449" customFormat="1" ht="12.6" customHeight="1">
      <c r="B113" s="449" t="s">
        <v>948</v>
      </c>
      <c r="F113" s="472"/>
      <c r="G113" s="1418">
        <v>150788</v>
      </c>
      <c r="H113" s="1419"/>
      <c r="J113" s="530"/>
      <c r="K113" s="530"/>
      <c r="L113" s="530"/>
      <c r="M113" s="530"/>
      <c r="N113" s="530"/>
      <c r="O113" s="833"/>
      <c r="P113" s="530"/>
      <c r="Q113" s="530"/>
      <c r="R113" s="833"/>
      <c r="S113" s="1418">
        <v>150788</v>
      </c>
      <c r="T113" s="1419"/>
      <c r="V113" s="1462"/>
      <c r="W113" s="1463"/>
    </row>
    <row r="114" spans="1:23" s="449" customFormat="1" ht="12.6" customHeight="1">
      <c r="B114" s="449" t="s">
        <v>1796</v>
      </c>
      <c r="G114" s="1418">
        <v>0</v>
      </c>
      <c r="H114" s="1419"/>
      <c r="J114" s="531"/>
      <c r="K114" s="531"/>
      <c r="L114" s="531"/>
      <c r="M114" s="531"/>
      <c r="N114" s="531"/>
      <c r="P114" s="531"/>
      <c r="Q114" s="531"/>
      <c r="S114" s="1418">
        <v>0</v>
      </c>
      <c r="T114" s="1419"/>
      <c r="V114" s="1462"/>
      <c r="W114" s="1463"/>
    </row>
    <row r="115" spans="1:23" s="449" customFormat="1" ht="12.6" customHeight="1">
      <c r="B115" s="449" t="s">
        <v>1797</v>
      </c>
      <c r="E115" s="449" t="s">
        <v>1370</v>
      </c>
      <c r="F115" s="792">
        <f>G115/'Part VI-Revenues &amp; Expenses'!$M$62</f>
        <v>500</v>
      </c>
      <c r="G115" s="1418">
        <v>30000</v>
      </c>
      <c r="H115" s="1419"/>
      <c r="J115" s="1418">
        <v>30000</v>
      </c>
      <c r="K115" s="1419"/>
      <c r="L115" s="843"/>
      <c r="M115" s="1418"/>
      <c r="N115" s="1419"/>
      <c r="P115" s="1418"/>
      <c r="Q115" s="1419"/>
      <c r="S115" s="1418">
        <v>0</v>
      </c>
      <c r="T115" s="1419"/>
      <c r="V115" s="1462"/>
      <c r="W115" s="1463"/>
    </row>
    <row r="116" spans="1:23" s="449" customFormat="1" ht="12.6" customHeight="1" thickBot="1">
      <c r="A116" s="548" t="str">
        <f>IF(AND(G116&gt;0,OR(C116="",C116="&lt;Enter detailed description here; use Comments section if needed&gt;")),"X","")</f>
        <v/>
      </c>
      <c r="B116" s="449" t="s">
        <v>1137</v>
      </c>
      <c r="C116" s="1298" t="s">
        <v>3399</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247353</v>
      </c>
      <c r="H117" s="1019"/>
      <c r="J117" s="1018">
        <f>SUM(J115:K116)</f>
        <v>30000</v>
      </c>
      <c r="K117" s="1019"/>
      <c r="L117" s="843"/>
      <c r="M117" s="1018">
        <f>SUM(M115:N116)</f>
        <v>0</v>
      </c>
      <c r="N117" s="1019"/>
      <c r="P117" s="1018">
        <f>SUM(P115:Q116)</f>
        <v>0</v>
      </c>
      <c r="Q117" s="1019"/>
      <c r="S117" s="1018">
        <f>SUM(S111:T116)</f>
        <v>217353</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3399</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9416596</v>
      </c>
      <c r="H123" s="1023"/>
      <c r="J123" s="1022">
        <f>J17+J23+J27+J32+J36+J42+J57+J69+J75+J84+J98+J104+J109+J117+J121</f>
        <v>8746923</v>
      </c>
      <c r="K123" s="1023"/>
      <c r="M123" s="1022">
        <f>M17+M23+M27+M32+M36+M42+M57+M69+M75+M84+M98+M104+M109+M117+M121</f>
        <v>0</v>
      </c>
      <c r="N123" s="1023"/>
      <c r="P123" s="1022">
        <f>P17+P23+P27+P32+P36+P42+P57+P69+P75+P84+P98+P104+P109+P117+P121</f>
        <v>0</v>
      </c>
      <c r="Q123" s="1023"/>
      <c r="S123" s="1022">
        <f>S17+S23+S27+S32+S36+S42+S57+S69+S75+S84+S98+S104+S109+S117+S121</f>
        <v>669673</v>
      </c>
      <c r="T123" s="1023"/>
      <c r="V123" s="1465"/>
      <c r="W123" s="1466"/>
    </row>
    <row r="124" spans="1:23" s="449" customFormat="1" ht="3" customHeight="1" thickBot="1">
      <c r="C124" s="827"/>
      <c r="H124" s="528"/>
      <c r="I124" s="528"/>
      <c r="L124" s="833"/>
    </row>
    <row r="125" spans="1:23" s="449" customFormat="1" ht="13.9" customHeight="1" thickBot="1">
      <c r="B125" s="456" t="s">
        <v>3622</v>
      </c>
      <c r="D125" s="1020">
        <f>IF(AND($T$155 = "Yes", 'Part IX A-Scoring Criteria'!$O$246 &gt; 0),'DCA Underwriting Assumptions'!$R$13, IF(AND('Part IV-Uses of Funds'!$T$156="Yes", 'Part IX A-Scoring Criteria'!$O$67&gt;0),'DCA Underwriting Assumptions'!$R$12, 'DCA Underwriting Assumptions'!$R$11))</f>
        <v>10596960</v>
      </c>
      <c r="E125" s="1021"/>
      <c r="F125" s="452" t="s">
        <v>957</v>
      </c>
      <c r="G125" s="1024">
        <f>G123/'Part VI-Revenues &amp; Expenses'!$M$62</f>
        <v>156943.26666666666</v>
      </c>
      <c r="H125" s="1025"/>
      <c r="I125" s="533"/>
      <c r="J125" s="456" t="s">
        <v>958</v>
      </c>
      <c r="M125" s="1024">
        <f>G123/'Part VI-Revenues &amp; Expenses'!$M$100</f>
        <v>133.56873758865248</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2930</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c r="K131" s="1468"/>
      <c r="P131" s="1467"/>
      <c r="Q131" s="1468"/>
      <c r="V131" s="1460"/>
      <c r="W131" s="1461"/>
    </row>
    <row r="132" spans="2:23" s="449" customFormat="1" ht="13.9" customHeight="1">
      <c r="B132" s="833" t="s">
        <v>3045</v>
      </c>
      <c r="D132" s="833"/>
      <c r="E132" s="833"/>
      <c r="F132" s="833"/>
      <c r="G132" s="833"/>
      <c r="H132" s="833"/>
      <c r="I132" s="535"/>
      <c r="J132" s="1467"/>
      <c r="K132" s="1468"/>
      <c r="P132" s="1467"/>
      <c r="Q132" s="1468"/>
      <c r="V132" s="1462"/>
      <c r="W132" s="1463"/>
    </row>
    <row r="133" spans="2:23" s="449" customFormat="1" ht="13.9" customHeight="1">
      <c r="B133" s="833" t="s">
        <v>2735</v>
      </c>
      <c r="D133" s="833"/>
      <c r="E133" s="833"/>
      <c r="I133" s="535"/>
      <c r="J133" s="1467"/>
      <c r="K133" s="1468"/>
      <c r="P133" s="1467"/>
      <c r="Q133" s="1468"/>
      <c r="V133" s="1462"/>
      <c r="W133" s="1463"/>
    </row>
    <row r="134" spans="2:23" s="449" customFormat="1" ht="13.9" customHeight="1">
      <c r="B134" s="833" t="s">
        <v>2736</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3399</v>
      </c>
      <c r="D136" s="1298"/>
      <c r="E136" s="1298"/>
      <c r="F136" s="1298"/>
      <c r="G136" s="1298"/>
      <c r="H136" s="1298"/>
      <c r="I136" s="1299"/>
      <c r="J136" s="1467"/>
      <c r="K136" s="1468"/>
      <c r="P136" s="1467"/>
      <c r="Q136" s="1468"/>
      <c r="V136" s="1462"/>
      <c r="W136" s="1463"/>
    </row>
    <row r="137" spans="2:23" s="449" customFormat="1" ht="13.9" customHeight="1" thickBot="1">
      <c r="B137" s="461" t="s">
        <v>2737</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55">
        <f>J123</f>
        <v>8746923</v>
      </c>
      <c r="K140" s="1056"/>
      <c r="M140" s="1058">
        <f>M123</f>
        <v>0</v>
      </c>
      <c r="N140" s="1059"/>
      <c r="P140" s="1055">
        <f>P123</f>
        <v>0</v>
      </c>
      <c r="Q140" s="1056"/>
      <c r="V140" s="1460"/>
      <c r="W140" s="1461"/>
    </row>
    <row r="141" spans="2:23" s="449" customFormat="1" ht="13.9" customHeight="1">
      <c r="B141" s="449" t="s">
        <v>3129</v>
      </c>
      <c r="J141" s="1042">
        <f>J137</f>
        <v>0</v>
      </c>
      <c r="K141" s="1049"/>
      <c r="M141" s="1043"/>
      <c r="N141" s="1043"/>
      <c r="P141" s="1042">
        <f>P137</f>
        <v>0</v>
      </c>
      <c r="Q141" s="1049"/>
      <c r="V141" s="1462"/>
      <c r="W141" s="1463"/>
    </row>
    <row r="142" spans="2:23" s="449" customFormat="1" ht="13.9" customHeight="1">
      <c r="B142" s="449" t="s">
        <v>3130</v>
      </c>
      <c r="J142" s="1042">
        <f>J140-J141</f>
        <v>8746923</v>
      </c>
      <c r="K142" s="1049"/>
      <c r="M142" s="1042">
        <f>M140</f>
        <v>0</v>
      </c>
      <c r="N142" s="1049"/>
      <c r="P142" s="1042">
        <f>P140-P141</f>
        <v>0</v>
      </c>
      <c r="Q142" s="1049"/>
      <c r="V142" s="1462"/>
      <c r="W142" s="1463"/>
    </row>
    <row r="143" spans="2:23" s="449" customFormat="1" ht="13.9" customHeight="1">
      <c r="B143" s="449" t="s">
        <v>2080</v>
      </c>
      <c r="G143" s="828" t="s">
        <v>2563</v>
      </c>
      <c r="H143" s="1286" t="s">
        <v>4039</v>
      </c>
      <c r="I143" s="1287"/>
      <c r="J143" s="1469">
        <v>1.2</v>
      </c>
      <c r="K143" s="1470"/>
      <c r="M143" s="1054"/>
      <c r="N143" s="1054"/>
      <c r="P143" s="1469"/>
      <c r="Q143" s="1470"/>
      <c r="V143" s="1462"/>
      <c r="W143" s="1463"/>
    </row>
    <row r="144" spans="2:23" s="449" customFormat="1" ht="13.9" customHeight="1">
      <c r="B144" s="449" t="s">
        <v>2943</v>
      </c>
      <c r="J144" s="1042">
        <f>J142*J143</f>
        <v>10496307.6</v>
      </c>
      <c r="K144" s="1049"/>
      <c r="M144" s="1042">
        <f>+M142</f>
        <v>0</v>
      </c>
      <c r="N144" s="1049"/>
      <c r="P144" s="1042">
        <f>P142*P143</f>
        <v>0</v>
      </c>
      <c r="Q144" s="1049"/>
      <c r="V144" s="1462"/>
      <c r="W144" s="1463"/>
    </row>
    <row r="145" spans="1:23" s="449" customFormat="1" ht="13.9" customHeight="1">
      <c r="B145" s="449" t="s">
        <v>3567</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2"/>
      <c r="W145" s="1463"/>
    </row>
    <row r="146" spans="1:23" s="449" customFormat="1" ht="13.9" customHeight="1">
      <c r="B146" s="449" t="s">
        <v>2931</v>
      </c>
      <c r="J146" s="1042">
        <f>J144*J145</f>
        <v>10496307.6</v>
      </c>
      <c r="K146" s="1049"/>
      <c r="M146" s="1042">
        <f>M144*M145</f>
        <v>0</v>
      </c>
      <c r="N146" s="1049"/>
      <c r="P146" s="1042">
        <f>P144*P145</f>
        <v>0</v>
      </c>
      <c r="Q146" s="1049"/>
      <c r="V146" s="1462"/>
      <c r="W146" s="1463"/>
    </row>
    <row r="147" spans="1:23" s="449" customFormat="1" ht="13.9" customHeight="1">
      <c r="B147" s="449" t="s">
        <v>2932</v>
      </c>
      <c r="J147" s="1469">
        <v>1</v>
      </c>
      <c r="K147" s="1470"/>
      <c r="M147" s="1469"/>
      <c r="N147" s="1470"/>
      <c r="P147" s="1469"/>
      <c r="Q147" s="1470"/>
      <c r="V147" s="1462"/>
      <c r="W147" s="1463"/>
    </row>
    <row r="148" spans="1:23" s="449" customFormat="1" ht="13.9" customHeight="1" thickBot="1">
      <c r="B148" s="449" t="s">
        <v>3568</v>
      </c>
      <c r="J148" s="1052">
        <f>J146*J147</f>
        <v>10496307.6</v>
      </c>
      <c r="K148" s="1053"/>
      <c r="M148" s="1052">
        <f>M146*M147</f>
        <v>0</v>
      </c>
      <c r="N148" s="1053"/>
      <c r="P148" s="1052">
        <f>P146*P147</f>
        <v>0</v>
      </c>
      <c r="Q148" s="1053"/>
      <c r="V148" s="1462"/>
      <c r="W148" s="1463"/>
    </row>
    <row r="149" spans="1:23" s="449" customFormat="1" ht="13.9" customHeight="1" thickBot="1">
      <c r="B149" s="452" t="s">
        <v>2004</v>
      </c>
      <c r="J149" s="965">
        <f>J148+M148+P148</f>
        <v>10496307.6</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9416596</v>
      </c>
      <c r="K152" s="1034"/>
      <c r="L152" s="1034"/>
      <c r="M152" s="1039" t="s">
        <v>3958</v>
      </c>
      <c r="N152" s="1040"/>
      <c r="O152" s="1040"/>
      <c r="P152" s="1040"/>
      <c r="Q152" s="1040"/>
      <c r="R152" s="1041"/>
      <c r="S152" s="1029"/>
      <c r="T152" s="1030"/>
      <c r="V152" s="1460"/>
      <c r="W152" s="1461"/>
    </row>
    <row r="153" spans="1:23" s="449" customFormat="1" ht="13.9" customHeight="1">
      <c r="B153" s="449" t="s">
        <v>2491</v>
      </c>
      <c r="J153" s="1471">
        <v>9416596</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500000</v>
      </c>
      <c r="K154" s="1043"/>
      <c r="L154" s="1043"/>
      <c r="M154" s="1039"/>
      <c r="N154" s="1040"/>
      <c r="O154" s="1040"/>
      <c r="P154" s="1040"/>
      <c r="Q154" s="1040"/>
      <c r="R154" s="1041"/>
      <c r="S154" s="648"/>
      <c r="T154" s="651" t="s">
        <v>322</v>
      </c>
      <c r="V154" s="1462"/>
      <c r="W154" s="1463"/>
    </row>
    <row r="155" spans="1:23" s="449" customFormat="1" ht="13.9" customHeight="1">
      <c r="B155" s="449" t="s">
        <v>3142</v>
      </c>
      <c r="J155" s="1042">
        <f>+J153-J154</f>
        <v>8916596</v>
      </c>
      <c r="K155" s="1043"/>
      <c r="L155" s="1043"/>
      <c r="M155" s="1047" t="s">
        <v>3888</v>
      </c>
      <c r="N155" s="1473"/>
      <c r="O155" s="1473"/>
      <c r="P155" s="1473"/>
      <c r="Q155" s="1473"/>
      <c r="R155" s="1474"/>
      <c r="S155" s="649" t="s">
        <v>2493</v>
      </c>
      <c r="T155" s="1475"/>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c r="V156" s="1462"/>
      <c r="W156" s="1463"/>
    </row>
    <row r="157" spans="1:23" s="449" customFormat="1" ht="13.9" customHeight="1">
      <c r="B157" s="449" t="s">
        <v>1854</v>
      </c>
      <c r="J157" s="1042">
        <f>J155/10</f>
        <v>891659.6</v>
      </c>
      <c r="K157" s="1043"/>
      <c r="L157" s="1049"/>
      <c r="M157" s="472"/>
      <c r="N157" s="896" t="s">
        <v>1855</v>
      </c>
      <c r="O157" s="896"/>
      <c r="Q157" s="896" t="s">
        <v>2655</v>
      </c>
      <c r="R157" s="896"/>
      <c r="V157" s="1462"/>
      <c r="W157" s="1463"/>
    </row>
    <row r="158" spans="1:23" s="449" customFormat="1" ht="13.9" customHeight="1" thickBot="1">
      <c r="B158" s="449" t="s">
        <v>2079</v>
      </c>
      <c r="J158" s="1031">
        <f>N158+Q158</f>
        <v>1.0899999999999999</v>
      </c>
      <c r="K158" s="1032"/>
      <c r="L158" s="1033"/>
      <c r="M158" s="828" t="s">
        <v>1856</v>
      </c>
      <c r="N158" s="1477">
        <v>0.84</v>
      </c>
      <c r="O158" s="1478"/>
      <c r="P158" s="828" t="s">
        <v>868</v>
      </c>
      <c r="Q158" s="1477">
        <v>0.25</v>
      </c>
      <c r="R158" s="1478"/>
      <c r="V158" s="1462"/>
      <c r="W158" s="1463"/>
    </row>
    <row r="159" spans="1:23" s="449" customFormat="1" ht="13.9" customHeight="1" thickBot="1">
      <c r="B159" s="452" t="s">
        <v>2005</v>
      </c>
      <c r="J159" s="965">
        <f>IF(J158=0,"",J157/J158)</f>
        <v>818036.33027522941</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818036.33027522941</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797750</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2648</v>
      </c>
      <c r="B165" s="685" t="s">
        <v>3671</v>
      </c>
      <c r="D165" s="472"/>
      <c r="E165" s="472"/>
      <c r="F165" s="455"/>
      <c r="J165" s="1011">
        <f>IF(J163="",0,+MIN(J161,J163))</f>
        <v>797750</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4074</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2012-006 Hidden Glen Village, Hinesville, Liberty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South</v>
      </c>
    </row>
    <row r="4" spans="1:20" s="9" customFormat="1"/>
    <row r="5" spans="1:20" s="9" customFormat="1">
      <c r="A5" s="16" t="s">
        <v>873</v>
      </c>
      <c r="B5" s="16" t="s">
        <v>3137</v>
      </c>
      <c r="F5" s="9" t="s">
        <v>3533</v>
      </c>
      <c r="I5" s="1487" t="s">
        <v>3983</v>
      </c>
      <c r="J5" s="1488"/>
      <c r="K5" s="1488"/>
      <c r="L5" s="1488"/>
      <c r="M5" s="1489"/>
    </row>
    <row r="6" spans="1:20" s="9" customFormat="1" ht="13.15" customHeight="1">
      <c r="A6" s="16"/>
      <c r="F6" s="9" t="s">
        <v>895</v>
      </c>
      <c r="H6" s="31"/>
      <c r="I6" s="1490">
        <v>40695</v>
      </c>
      <c r="J6" s="1491"/>
      <c r="K6" s="74" t="s">
        <v>776</v>
      </c>
      <c r="L6" s="1492" t="s">
        <v>3984</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3" t="s">
        <v>2204</v>
      </c>
      <c r="E10" s="1494"/>
      <c r="F10" s="1495" t="s">
        <v>612</v>
      </c>
      <c r="G10" s="1495"/>
      <c r="H10" s="343"/>
      <c r="I10" s="1496"/>
      <c r="J10" s="1496"/>
      <c r="K10" s="1496">
        <v>29</v>
      </c>
      <c r="L10" s="1496">
        <v>36</v>
      </c>
      <c r="M10" s="1496"/>
    </row>
    <row r="11" spans="1:20" s="9" customFormat="1">
      <c r="B11" s="344" t="s">
        <v>644</v>
      </c>
      <c r="C11" s="345"/>
      <c r="D11" s="344" t="s">
        <v>2204</v>
      </c>
      <c r="E11" s="345"/>
      <c r="F11" s="1497" t="s">
        <v>612</v>
      </c>
      <c r="G11" s="1497"/>
      <c r="H11" s="346"/>
      <c r="I11" s="1498"/>
      <c r="J11" s="1498"/>
      <c r="K11" s="1498">
        <v>48</v>
      </c>
      <c r="L11" s="1499">
        <v>59</v>
      </c>
      <c r="M11" s="1499"/>
    </row>
    <row r="12" spans="1:20" s="9" customFormat="1">
      <c r="B12" s="344" t="s">
        <v>2205</v>
      </c>
      <c r="C12" s="345"/>
      <c r="D12" s="1500" t="s">
        <v>2204</v>
      </c>
      <c r="E12" s="1501"/>
      <c r="F12" s="1497" t="s">
        <v>612</v>
      </c>
      <c r="G12" s="1497"/>
      <c r="H12" s="346"/>
      <c r="I12" s="1498"/>
      <c r="J12" s="1498"/>
      <c r="K12" s="1498">
        <v>12</v>
      </c>
      <c r="L12" s="1499">
        <v>14</v>
      </c>
      <c r="M12" s="1499"/>
    </row>
    <row r="13" spans="1:20" s="9" customFormat="1">
      <c r="B13" s="344" t="s">
        <v>2206</v>
      </c>
      <c r="C13" s="345"/>
      <c r="D13" s="1500" t="s">
        <v>2204</v>
      </c>
      <c r="E13" s="1501"/>
      <c r="F13" s="1497" t="s">
        <v>612</v>
      </c>
      <c r="G13" s="1497"/>
      <c r="H13" s="346"/>
      <c r="I13" s="1498"/>
      <c r="J13" s="1498"/>
      <c r="K13" s="1498">
        <v>36</v>
      </c>
      <c r="L13" s="1499">
        <v>44</v>
      </c>
      <c r="M13" s="1499"/>
    </row>
    <row r="14" spans="1:20" s="9" customFormat="1">
      <c r="B14" s="344" t="s">
        <v>2207</v>
      </c>
      <c r="C14" s="345"/>
      <c r="D14" s="344" t="s">
        <v>2204</v>
      </c>
      <c r="E14" s="347"/>
      <c r="F14" s="1497" t="s">
        <v>612</v>
      </c>
      <c r="G14" s="1497"/>
      <c r="H14" s="346"/>
      <c r="I14" s="1498"/>
      <c r="J14" s="1498"/>
      <c r="K14" s="1498">
        <v>33</v>
      </c>
      <c r="L14" s="1499">
        <v>41</v>
      </c>
      <c r="M14" s="1499"/>
    </row>
    <row r="15" spans="1:20" s="9" customFormat="1">
      <c r="B15" s="344" t="s">
        <v>1938</v>
      </c>
      <c r="C15" s="345"/>
      <c r="D15" s="344" t="s">
        <v>3136</v>
      </c>
      <c r="E15" s="1502" t="s">
        <v>3980</v>
      </c>
      <c r="F15" s="1497"/>
      <c r="G15" s="1497" t="s">
        <v>612</v>
      </c>
      <c r="H15" s="346"/>
      <c r="I15" s="1498"/>
      <c r="J15" s="1498"/>
      <c r="K15" s="1498"/>
      <c r="L15" s="1499"/>
      <c r="M15" s="1499"/>
    </row>
    <row r="16" spans="1:20" s="9" customFormat="1">
      <c r="B16" s="348" t="s">
        <v>2723</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0</v>
      </c>
      <c r="K17" s="847">
        <f>SUM(K10:K16)</f>
        <v>158</v>
      </c>
      <c r="L17" s="847">
        <f>SUM(L10:L16)</f>
        <v>194</v>
      </c>
      <c r="M17" s="847">
        <f>SUM(M10:M16)</f>
        <v>0</v>
      </c>
    </row>
    <row r="18" spans="1:19" s="9" customFormat="1" ht="11.25" customHeight="1">
      <c r="M18" s="31"/>
      <c r="N18" s="31"/>
      <c r="O18" s="31"/>
      <c r="P18" s="31"/>
      <c r="Q18" s="31"/>
      <c r="R18" s="31"/>
      <c r="S18" s="31"/>
    </row>
    <row r="19" spans="1:19" s="9" customFormat="1">
      <c r="A19" s="16" t="s">
        <v>1136</v>
      </c>
      <c r="B19" s="16" t="s">
        <v>3138</v>
      </c>
      <c r="F19" s="9" t="s">
        <v>3533</v>
      </c>
      <c r="I19" s="1487" t="s">
        <v>4040</v>
      </c>
      <c r="J19" s="1488"/>
      <c r="K19" s="1488"/>
      <c r="L19" s="1488"/>
      <c r="M19" s="1489"/>
    </row>
    <row r="20" spans="1:19" s="9" customFormat="1" ht="13.15" customHeight="1">
      <c r="A20" s="16"/>
      <c r="B20" s="16"/>
      <c r="F20" s="9" t="s">
        <v>895</v>
      </c>
      <c r="H20" s="31"/>
      <c r="I20" s="1490">
        <v>40695</v>
      </c>
      <c r="J20" s="1491"/>
      <c r="K20" s="74" t="s">
        <v>776</v>
      </c>
      <c r="L20" s="1492" t="s">
        <v>3647</v>
      </c>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3136</v>
      </c>
      <c r="E29" s="1502" t="s">
        <v>240</v>
      </c>
      <c r="F29" s="1497"/>
      <c r="G29" s="1497"/>
      <c r="H29" s="346"/>
      <c r="I29" s="1498"/>
      <c r="J29" s="1498"/>
      <c r="K29" s="1498"/>
      <c r="L29" s="1499"/>
      <c r="M29" s="1499"/>
    </row>
    <row r="30" spans="1:19" s="9" customFormat="1">
      <c r="B30" s="348" t="s">
        <v>2723</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c r="C36" s="1507"/>
      <c r="D36" s="1507"/>
      <c r="E36" s="1507"/>
      <c r="F36" s="1507"/>
      <c r="G36" s="1507"/>
      <c r="H36" s="1507"/>
      <c r="I36" s="1507"/>
      <c r="J36" s="1507"/>
      <c r="K36" s="1507"/>
      <c r="L36" s="1507"/>
      <c r="M36" s="150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2012-06-13T21:22:38Z</cp:lastPrinted>
  <dcterms:created xsi:type="dcterms:W3CDTF">2005-09-15T20:51:37Z</dcterms:created>
  <dcterms:modified xsi:type="dcterms:W3CDTF">2012-07-30T21:46:42Z</dcterms:modified>
</cp:coreProperties>
</file>